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3CE449DA-ED92-479B-84BD-8ADFEAC4B28E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50" r:id="rId1"/>
    <sheet name="産業大分類" sheetId="5" r:id="rId2"/>
    <sheet name="産業中分類" sheetId="6" r:id="rId3"/>
    <sheet name="産業小分類" sheetId="7" r:id="rId4"/>
    <sheet name="沖縄県" sheetId="8" r:id="rId5"/>
    <sheet name="那覇市" sheetId="9" r:id="rId6"/>
    <sheet name="宜野湾市" sheetId="10" r:id="rId7"/>
    <sheet name="石垣市" sheetId="11" r:id="rId8"/>
    <sheet name="浦添市" sheetId="12" r:id="rId9"/>
    <sheet name="名護市" sheetId="13" r:id="rId10"/>
    <sheet name="糸満市" sheetId="14" r:id="rId11"/>
    <sheet name="沖縄市" sheetId="15" r:id="rId12"/>
    <sheet name="豊見城市" sheetId="16" r:id="rId13"/>
    <sheet name="うるま市" sheetId="17" r:id="rId14"/>
    <sheet name="宮古島市" sheetId="18" r:id="rId15"/>
    <sheet name="南城市" sheetId="19" r:id="rId16"/>
    <sheet name="国頭郡国頭村" sheetId="20" r:id="rId17"/>
    <sheet name="国頭郡大宜味村" sheetId="21" r:id="rId18"/>
    <sheet name="国頭郡東村" sheetId="22" r:id="rId19"/>
    <sheet name="国頭郡今帰仁村" sheetId="23" r:id="rId20"/>
    <sheet name="国頭郡本部町" sheetId="24" r:id="rId21"/>
    <sheet name="国頭郡恩納村" sheetId="25" r:id="rId22"/>
    <sheet name="国頭郡宜野座村" sheetId="26" r:id="rId23"/>
    <sheet name="国頭郡金武町" sheetId="27" r:id="rId24"/>
    <sheet name="国頭郡伊江村" sheetId="28" r:id="rId25"/>
    <sheet name="中頭郡読谷村" sheetId="29" r:id="rId26"/>
    <sheet name="中頭郡嘉手納町" sheetId="30" r:id="rId27"/>
    <sheet name="中頭郡北谷町" sheetId="31" r:id="rId28"/>
    <sheet name="中頭郡北中城村" sheetId="32" r:id="rId29"/>
    <sheet name="中頭郡中城村" sheetId="33" r:id="rId30"/>
    <sheet name="中頭郡西原町" sheetId="34" r:id="rId31"/>
    <sheet name="島尻郡与那原町" sheetId="35" r:id="rId32"/>
    <sheet name="島尻郡南風原町" sheetId="36" r:id="rId33"/>
    <sheet name="島尻郡渡嘉敷村" sheetId="37" r:id="rId34"/>
    <sheet name="島尻郡座間味村" sheetId="38" r:id="rId35"/>
    <sheet name="島尻郡粟国村" sheetId="39" r:id="rId36"/>
    <sheet name="島尻郡渡名喜村" sheetId="40" r:id="rId37"/>
    <sheet name="島尻郡南大東村" sheetId="41" r:id="rId38"/>
    <sheet name="島尻郡北大東村" sheetId="42" r:id="rId39"/>
    <sheet name="島尻郡伊平屋村" sheetId="43" r:id="rId40"/>
    <sheet name="島尻郡伊是名村" sheetId="44" r:id="rId41"/>
    <sheet name="島尻郡久米島町" sheetId="45" r:id="rId42"/>
    <sheet name="島尻郡八重瀬町" sheetId="46" r:id="rId43"/>
    <sheet name="宮古郡多良間村" sheetId="47" r:id="rId44"/>
    <sheet name="八重山郡竹富町" sheetId="48" r:id="rId45"/>
    <sheet name="八重山郡与那国町" sheetId="49" r:id="rId46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266" r:id="rId47"/>
    <pivotCache cacheId="2267" r:id="rId48"/>
    <pivotCache cacheId="2268" r:id="rId4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49" l="1"/>
  <c r="G21" i="49"/>
  <c r="E21" i="49"/>
  <c r="I20" i="49"/>
  <c r="G20" i="49"/>
  <c r="E20" i="49"/>
  <c r="C20" i="49"/>
  <c r="I21" i="48"/>
  <c r="G21" i="48"/>
  <c r="E21" i="48"/>
  <c r="I20" i="48"/>
  <c r="G20" i="48"/>
  <c r="E20" i="48"/>
  <c r="C20" i="48"/>
  <c r="I21" i="47"/>
  <c r="G21" i="47"/>
  <c r="E21" i="47"/>
  <c r="I20" i="47"/>
  <c r="G20" i="47"/>
  <c r="E20" i="47"/>
  <c r="C20" i="47"/>
  <c r="I21" i="46"/>
  <c r="G21" i="46"/>
  <c r="E21" i="46"/>
  <c r="I20" i="46"/>
  <c r="G20" i="46"/>
  <c r="E20" i="46"/>
  <c r="C20" i="46"/>
  <c r="I21" i="45"/>
  <c r="G21" i="45"/>
  <c r="E21" i="45"/>
  <c r="I20" i="45"/>
  <c r="G20" i="45"/>
  <c r="E20" i="45"/>
  <c r="C20" i="45"/>
  <c r="I21" i="44"/>
  <c r="G21" i="44"/>
  <c r="E21" i="44"/>
  <c r="I20" i="44"/>
  <c r="G20" i="44"/>
  <c r="E20" i="44"/>
  <c r="C20" i="44"/>
  <c r="I21" i="43"/>
  <c r="G21" i="43"/>
  <c r="E21" i="43"/>
  <c r="I20" i="43"/>
  <c r="G20" i="43"/>
  <c r="E20" i="43"/>
  <c r="C20" i="43"/>
  <c r="I21" i="42"/>
  <c r="G21" i="42"/>
  <c r="E21" i="42"/>
  <c r="I20" i="42"/>
  <c r="G20" i="42"/>
  <c r="E20" i="42"/>
  <c r="C20" i="42"/>
  <c r="I21" i="41"/>
  <c r="G21" i="41"/>
  <c r="E21" i="41"/>
  <c r="I20" i="41"/>
  <c r="G20" i="41"/>
  <c r="E20" i="41"/>
  <c r="C20" i="41"/>
  <c r="I21" i="40"/>
  <c r="G21" i="40"/>
  <c r="E21" i="40"/>
  <c r="I20" i="40"/>
  <c r="G20" i="40"/>
  <c r="E20" i="40"/>
  <c r="C20" i="40"/>
  <c r="I21" i="39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<sst xmlns="http://schemas.openxmlformats.org/spreadsheetml/2006/main" count="6402" uniqueCount="348">
  <si>
    <t>47000 沖縄県</t>
  </si>
  <si>
    <t>47201 那覇市</t>
  </si>
  <si>
    <t>47205 宜野湾市</t>
  </si>
  <si>
    <t>47207 石垣市</t>
  </si>
  <si>
    <t>47208 浦添市</t>
  </si>
  <si>
    <t>47209 名護市</t>
  </si>
  <si>
    <t>47210 糸満市</t>
  </si>
  <si>
    <t>47211 沖縄市</t>
  </si>
  <si>
    <t>47212 豊見城市</t>
  </si>
  <si>
    <t>47213 うるま市</t>
  </si>
  <si>
    <t>47214 宮古島市</t>
  </si>
  <si>
    <t>47215 南城市</t>
  </si>
  <si>
    <t>47301 国頭郡国頭村</t>
  </si>
  <si>
    <t>47302 国頭郡大宜味村</t>
  </si>
  <si>
    <t>47303 国頭郡東村</t>
  </si>
  <si>
    <t>47306 国頭郡今帰仁村</t>
  </si>
  <si>
    <t>47308 国頭郡本部町</t>
  </si>
  <si>
    <t>47311 国頭郡恩納村</t>
  </si>
  <si>
    <t>47313 国頭郡宜野座村</t>
  </si>
  <si>
    <t>47314 国頭郡金武町</t>
  </si>
  <si>
    <t>47315 国頭郡伊江村</t>
  </si>
  <si>
    <t>47324 中頭郡読谷村</t>
  </si>
  <si>
    <t>47325 中頭郡嘉手納町</t>
  </si>
  <si>
    <t>47326 中頭郡北谷町</t>
  </si>
  <si>
    <t>47327 中頭郡北中城村</t>
  </si>
  <si>
    <t>47328 中頭郡中城村</t>
  </si>
  <si>
    <t>47329 中頭郡西原町</t>
  </si>
  <si>
    <t>47348 島尻郡与那原町</t>
  </si>
  <si>
    <t>47350 島尻郡南風原町</t>
  </si>
  <si>
    <t>47353 島尻郡渡嘉敷村</t>
  </si>
  <si>
    <t>47354 島尻郡座間味村</t>
  </si>
  <si>
    <t>47355 島尻郡粟国村</t>
  </si>
  <si>
    <t>47356 島尻郡渡名喜村</t>
  </si>
  <si>
    <t>47357 島尻郡南大東村</t>
  </si>
  <si>
    <t>47358 島尻郡北大東村</t>
  </si>
  <si>
    <t>47359 島尻郡伊平屋村</t>
  </si>
  <si>
    <t>47360 島尻郡伊是名村</t>
  </si>
  <si>
    <t>47361 島尻郡久米島町</t>
  </si>
  <si>
    <t>47362 島尻郡八重瀬町</t>
  </si>
  <si>
    <t>47375 宮古郡多良間村</t>
  </si>
  <si>
    <t>47381 八重山郡竹富町</t>
  </si>
  <si>
    <t>47382 八重山郡与那国町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</si>
  <si>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</si>
  <si>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</si>
  <si>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</si>
  <si>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</si>
  <si>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</si>
  <si>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</si>
  <si>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</si>
  <si>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</si>
  <si>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</si>
  <si>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</si>
  <si>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</si>
  <si>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</si>
  <si>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</si>
  <si>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</si>
  <si>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</si>
  <si>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</si>
  <si>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</si>
  <si>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</si>
  <si>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</si>
  <si>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</si>
  <si>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</si>
  <si>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</si>
  <si>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</si>
  <si>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</si>
  <si>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</si>
  <si>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</si>
  <si>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</si>
  <si>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</si>
  <si>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</si>
  <si>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</si>
  <si>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</si>
  <si>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</si>
  <si>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</si>
  <si>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</si>
  <si>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75 宿泊業</t>
  </si>
  <si>
    <t>76 飲食店</t>
  </si>
  <si>
    <t>78 洗濯・理容・美容・浴場業</t>
  </si>
  <si>
    <t>79 その他の生活関連サービス業</t>
  </si>
  <si>
    <t>80 娯楽業</t>
  </si>
  <si>
    <t>82 その他の教育，学習支援業</t>
  </si>
  <si>
    <t>83 医療業</t>
  </si>
  <si>
    <t>85 社会保険・社会福祉・介護事業</t>
  </si>
  <si>
    <t>89 自動車整備業</t>
  </si>
  <si>
    <t>54 機械器具卸売業</t>
  </si>
  <si>
    <t>55 その他の卸売業</t>
  </si>
  <si>
    <t>92 その他の事業サービス業</t>
  </si>
  <si>
    <t>09 食料品製造業</t>
  </si>
  <si>
    <t>52 飲食料品卸売業</t>
  </si>
  <si>
    <t>53 建築材料，鉱物・金属材料等卸売業</t>
  </si>
  <si>
    <t>77 持ち帰り・配達飲食サービス業</t>
  </si>
  <si>
    <t>24 金属製品製造業</t>
  </si>
  <si>
    <t>44 道路貨物運送業</t>
  </si>
  <si>
    <t>70 物品賃貸業</t>
  </si>
  <si>
    <t>21 窯業・土石製品製造業</t>
  </si>
  <si>
    <t>43 道路旅客運送業</t>
  </si>
  <si>
    <t>10 飲料・たばこ・飼料製造業</t>
  </si>
  <si>
    <t>11 繊維工業</t>
  </si>
  <si>
    <t>12 木材・木製品製造業（家具を除く）</t>
  </si>
  <si>
    <t>16 化学工業</t>
  </si>
  <si>
    <t>36 水道業</t>
  </si>
  <si>
    <t>95 その他のサービス業</t>
  </si>
  <si>
    <t>48 運輸に附帯するサービス業</t>
  </si>
  <si>
    <t>88 廃棄物処理業</t>
  </si>
  <si>
    <t>32 その他の製造業</t>
  </si>
  <si>
    <t>61 無店舗小売業</t>
  </si>
  <si>
    <t>47 倉庫業</t>
  </si>
  <si>
    <t>15 印刷・同関連業</t>
  </si>
  <si>
    <t>67 保険業（保険媒介代理業，保険サービス業を含む）</t>
  </si>
  <si>
    <t>90 機械等修理業（別掲を除く）</t>
  </si>
  <si>
    <t>41 映像・音声・文字情報制作業</t>
  </si>
  <si>
    <t>73 広告業</t>
  </si>
  <si>
    <t>33 電気業</t>
  </si>
  <si>
    <t>49 郵便業（信書便事業を含む）</t>
  </si>
  <si>
    <t>45 水運業</t>
  </si>
  <si>
    <t>71 学術・開発研究機関</t>
  </si>
  <si>
    <t>13 家具・装備品製造業</t>
  </si>
  <si>
    <t>17 石油製品・石炭製品製造業</t>
  </si>
  <si>
    <t>31 輸送用機械器具製造業</t>
  </si>
  <si>
    <t>自治体</t>
  </si>
  <si>
    <t>産業中分類</t>
  </si>
  <si>
    <t>062 土木工事業（舗装工事業を除く）</t>
  </si>
  <si>
    <t>589 その他の飲食料品小売業</t>
  </si>
  <si>
    <t>591 自動車小売業</t>
  </si>
  <si>
    <t>603 医薬品・化粧品小売業</t>
  </si>
  <si>
    <t>609 他に分類されない小売業</t>
  </si>
  <si>
    <t>691 不動産賃貸業（貸家業，貸間業を除く）</t>
  </si>
  <si>
    <t>692 貸家業，貸間業</t>
  </si>
  <si>
    <t>742 土木建築サービス業</t>
  </si>
  <si>
    <t>751 旅館，ホテル</t>
  </si>
  <si>
    <t>762 専門料理店</t>
  </si>
  <si>
    <t>765 酒場，ビヤホール</t>
  </si>
  <si>
    <t>766 バー，キャバレー，ナイトクラブ</t>
  </si>
  <si>
    <t>767 喫茶店</t>
  </si>
  <si>
    <t>782 理容業</t>
  </si>
  <si>
    <t>783 美容業</t>
  </si>
  <si>
    <t>789 その他の洗濯・理容・美容・浴場業</t>
  </si>
  <si>
    <t>823 学習塾</t>
  </si>
  <si>
    <t>824 教養・技能教授業</t>
  </si>
  <si>
    <t>835 療術業</t>
  </si>
  <si>
    <t>891 自動車整備業</t>
  </si>
  <si>
    <t>573 婦人・子供服小売業</t>
  </si>
  <si>
    <t>579 その他の織物・衣服・身の回り品小売業</t>
  </si>
  <si>
    <t>586 菓子・パン小売業</t>
  </si>
  <si>
    <t>682 不動産代理業・仲介業</t>
  </si>
  <si>
    <t>081 電気工事業</t>
  </si>
  <si>
    <t>083 管工事業（さく井工事業を除く）</t>
  </si>
  <si>
    <t>752 簡易宿所</t>
  </si>
  <si>
    <t>761 食堂，レストラン（専門料理店を除く）</t>
  </si>
  <si>
    <t>809 その他の娯楽業</t>
  </si>
  <si>
    <t>064 建築工事業（木造建築工事業を除く）</t>
  </si>
  <si>
    <t>853 児童福祉事業</t>
  </si>
  <si>
    <t>606 書籍・文房具小売業</t>
  </si>
  <si>
    <t>607 スポーツ用品・がん具・娯楽用品・楽器小売業</t>
  </si>
  <si>
    <t>441 一般貨物自動車運送業</t>
  </si>
  <si>
    <t>581 各種食料品小売業</t>
  </si>
  <si>
    <t>432 一般乗用旅客自動車運送業</t>
  </si>
  <si>
    <t>585 酒小売業</t>
  </si>
  <si>
    <t>602 じゅう器小売業</t>
  </si>
  <si>
    <t>605 燃料小売業</t>
  </si>
  <si>
    <t>769 その他の飲食店</t>
  </si>
  <si>
    <t>066 建築リフォーム工事業</t>
  </si>
  <si>
    <t>097 パン・菓子製造業</t>
  </si>
  <si>
    <t>101 清涼飲料製造業</t>
  </si>
  <si>
    <t>102 酒類製造業</t>
  </si>
  <si>
    <t>106 飼料・有機質肥料製造業</t>
  </si>
  <si>
    <t>112 織物業</t>
  </si>
  <si>
    <t>129 その他の木製品製造業（竹，とうを含む）</t>
  </si>
  <si>
    <t>166 化粧品・歯磨・その他の化粧用調整品製造業</t>
  </si>
  <si>
    <t>214 陶磁器・同関連製品製造業</t>
  </si>
  <si>
    <t>360 管理，補助的経済活動を行う事業所</t>
  </si>
  <si>
    <t>361 上水道業</t>
  </si>
  <si>
    <t>522 食料・飲料卸売業</t>
  </si>
  <si>
    <t>582 野菜・果実小売業</t>
  </si>
  <si>
    <t>593 機械器具小売業（自動車，自転車を除く）</t>
  </si>
  <si>
    <t>601 家具・建具・畳小売業</t>
  </si>
  <si>
    <t>722 公証人役場，司法書士事務所，土地家屋調査士事務所</t>
  </si>
  <si>
    <t>727 著述・芸術家業</t>
  </si>
  <si>
    <t>749 その他の技術サービス業</t>
  </si>
  <si>
    <t>772 配達飲食サービス業</t>
  </si>
  <si>
    <t>791 旅行業</t>
  </si>
  <si>
    <t>821 社会教育</t>
  </si>
  <si>
    <t>854 老人福祉・介護事業</t>
  </si>
  <si>
    <t>855 障害者福祉事業</t>
  </si>
  <si>
    <t>951 集会場</t>
  </si>
  <si>
    <t>063 舗装工事業</t>
  </si>
  <si>
    <t>072 とび・土工・コンクリート工事業</t>
  </si>
  <si>
    <t>094 調味料製造業</t>
  </si>
  <si>
    <t>118 和装製品・その他の衣服・繊維製身の回り品製造業</t>
  </si>
  <si>
    <t>164 油脂加工製品・石けん・合成洗剤・界面活性剤・塗料製造業</t>
  </si>
  <si>
    <t>559 他に分類されない卸売業</t>
  </si>
  <si>
    <t>729 その他の専門サービス業</t>
  </si>
  <si>
    <t>759 その他の宿泊業</t>
  </si>
  <si>
    <t>799 他に分類されない生活関連サービス業</t>
  </si>
  <si>
    <t>804 スポーツ施設提供業</t>
  </si>
  <si>
    <t>833 歯科診療所</t>
  </si>
  <si>
    <t>061 一般土木建築工事業</t>
  </si>
  <si>
    <t>099 その他の食料品製造業</t>
  </si>
  <si>
    <t>584 鮮魚小売業</t>
  </si>
  <si>
    <t>763 そば・うどん店</t>
  </si>
  <si>
    <t>244 建設用・建築用金属製品製造業（製缶板金業を含む）</t>
  </si>
  <si>
    <t>521 農畜産物・水産物卸売業</t>
  </si>
  <si>
    <t>881 一般廃棄物処理業</t>
  </si>
  <si>
    <t>929 他に分類されない事業サービス業</t>
  </si>
  <si>
    <t>611 通信販売・訪問販売小売業</t>
  </si>
  <si>
    <t>771 持ち帰り飲食サービス業</t>
  </si>
  <si>
    <t>764 すし店</t>
  </si>
  <si>
    <t>119 その他の繊維製品製造業</t>
  </si>
  <si>
    <t>151 印刷業</t>
  </si>
  <si>
    <t>572 男子服小売業</t>
  </si>
  <si>
    <t>077 塗装工事業</t>
  </si>
  <si>
    <t>079 その他の職別工事業</t>
  </si>
  <si>
    <t>694 不動産管理業</t>
  </si>
  <si>
    <t>212 セメント・同製品製造業</t>
  </si>
  <si>
    <t>415 広告制作業</t>
  </si>
  <si>
    <t>489 その他の運輸に附帯するサービス業</t>
  </si>
  <si>
    <t>704 自動車賃貸業</t>
  </si>
  <si>
    <t>726 デザイン業</t>
  </si>
  <si>
    <t>731 広告業</t>
  </si>
  <si>
    <t>805 公園，遊園地</t>
  </si>
  <si>
    <t>922 建物サービス業</t>
  </si>
  <si>
    <t>071 大工工事業</t>
  </si>
  <si>
    <t>078 床・内装工事業</t>
  </si>
  <si>
    <t>443 貨物軽自動車運送業</t>
  </si>
  <si>
    <t>485 運輸施設提供業</t>
  </si>
  <si>
    <t>553 紙・紙製品卸売業</t>
  </si>
  <si>
    <t>705 スポーツ・娯楽用品賃貸業</t>
  </si>
  <si>
    <t>753 下宿業</t>
  </si>
  <si>
    <t>859 その他の社会保険・社会福祉・介護事業</t>
  </si>
  <si>
    <t>095 糖類製造業</t>
  </si>
  <si>
    <t>331 電気業</t>
  </si>
  <si>
    <t>491 郵便業（信書便事業を含む）</t>
  </si>
  <si>
    <t>452 沿海海運業</t>
  </si>
  <si>
    <t>092 水産食料品製造業</t>
  </si>
  <si>
    <t>471 倉庫業（冷蔵倉庫業を除く）</t>
  </si>
  <si>
    <t>533 石油・鉱物卸売業</t>
  </si>
  <si>
    <t>604 農耕用品小売業</t>
  </si>
  <si>
    <t>612 自動販売機による小売業</t>
  </si>
  <si>
    <t>702 産業用機械器具賃貸業</t>
  </si>
  <si>
    <t>711 自然科学研究所</t>
  </si>
  <si>
    <t>806 遊戯場</t>
  </si>
  <si>
    <t>822 職業・教育支援施設</t>
  </si>
  <si>
    <t>882 産業廃棄物処理業</t>
  </si>
  <si>
    <t>104 製氷業</t>
  </si>
  <si>
    <t>162 無機化学工業製品製造業</t>
  </si>
  <si>
    <t>481 港湾運送業</t>
  </si>
  <si>
    <t>531 建築材料卸売業</t>
  </si>
  <si>
    <t>795 火葬・墓地管理業</t>
  </si>
  <si>
    <t>901 機械修理業（電気機械器具を除く）</t>
  </si>
  <si>
    <t>541 産業機械器具卸売業</t>
  </si>
  <si>
    <t>082 電気通信・信号装置工事業</t>
  </si>
  <si>
    <t>091 畜産食料品製造業</t>
  </si>
  <si>
    <t>093 野菜缶詰・果実缶詰・農産保存食料品製造業</t>
  </si>
  <si>
    <t>174 舗装材料製造業</t>
  </si>
  <si>
    <t>583 食肉小売業</t>
  </si>
  <si>
    <t>592 自転車小売業</t>
  </si>
  <si>
    <t>産業小分類</t>
  </si>
  <si>
    <t>47000　沖縄県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</si>
  <si>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</si>
  <si>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</si>
  <si>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</si>
  <si>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</si>
  <si>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</si>
  <si>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47201　那覇市</t>
  </si>
  <si>
    <t>47205　宜野湾市</t>
  </si>
  <si>
    <t>47207　石垣市</t>
  </si>
  <si>
    <t>47208　浦添市</t>
  </si>
  <si>
    <t>47209　名護市</t>
  </si>
  <si>
    <t>47210　糸満市</t>
  </si>
  <si>
    <t>47211　沖縄市</t>
  </si>
  <si>
    <t>47212　豊見城市</t>
  </si>
  <si>
    <t>47213　うるま市</t>
  </si>
  <si>
    <t>47214　宮古島市</t>
  </si>
  <si>
    <t>47215　南城市</t>
  </si>
  <si>
    <t>47301　国頭郡国頭村</t>
  </si>
  <si>
    <t>47302　国頭郡大宜味村</t>
  </si>
  <si>
    <t>47303　国頭郡東村</t>
  </si>
  <si>
    <t>47306　国頭郡今帰仁村</t>
  </si>
  <si>
    <t>47308　国頭郡本部町</t>
  </si>
  <si>
    <t>47311　国頭郡恩納村</t>
  </si>
  <si>
    <t>47313　国頭郡宜野座村</t>
  </si>
  <si>
    <t>47314　国頭郡金武町</t>
  </si>
  <si>
    <t>47315　国頭郡伊江村</t>
  </si>
  <si>
    <t>47324　中頭郡読谷村</t>
  </si>
  <si>
    <t>47325　中頭郡嘉手納町</t>
  </si>
  <si>
    <t>47326　中頭郡北谷町</t>
  </si>
  <si>
    <t>47327　中頭郡北中城村</t>
  </si>
  <si>
    <t>47328　中頭郡中城村</t>
  </si>
  <si>
    <t>47329　中頭郡西原町</t>
  </si>
  <si>
    <t>47348　島尻郡与那原町</t>
  </si>
  <si>
    <t>47350　島尻郡南風原町</t>
  </si>
  <si>
    <t>47353　島尻郡渡嘉敷村</t>
  </si>
  <si>
    <t>47354　島尻郡座間味村</t>
  </si>
  <si>
    <t>47355　島尻郡粟国村</t>
  </si>
  <si>
    <t>47356　島尻郡渡名喜村</t>
  </si>
  <si>
    <t>47357　島尻郡南大東村</t>
  </si>
  <si>
    <t>47358　島尻郡北大東村</t>
  </si>
  <si>
    <t>47359　島尻郡伊平屋村</t>
  </si>
  <si>
    <t>47360　島尻郡伊是名村</t>
  </si>
  <si>
    <t>47361　島尻郡久米島町</t>
  </si>
  <si>
    <t>47362　島尻郡八重瀬町</t>
  </si>
  <si>
    <t>47375　宮古郡多良間村</t>
  </si>
  <si>
    <t>47381　八重山郡竹富町</t>
  </si>
  <si>
    <t>47382　八重山郡与那国町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</si>
  <si>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</si>
  <si>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</si>
  <si>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</si>
  <si>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</si>
  <si>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</si>
  <si>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</si>
  <si>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</si>
  <si>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</si>
  <si>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</si>
  <si>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</si>
  <si>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</si>
  <si>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</si>
  <si>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国頭郡国頭村</t>
  </si>
  <si>
    <t>国頭郡大宜味村</t>
  </si>
  <si>
    <t>国頭郡東村</t>
  </si>
  <si>
    <t>国頭郡今帰仁村</t>
  </si>
  <si>
    <t>国頭郡本部町</t>
  </si>
  <si>
    <t>国頭郡恩納村</t>
  </si>
  <si>
    <t>国頭郡宜野座村</t>
  </si>
  <si>
    <t>国頭郡金武町</t>
  </si>
  <si>
    <t>国頭郡伊江村</t>
  </si>
  <si>
    <t>中頭郡読谷村</t>
  </si>
  <si>
    <t>中頭郡嘉手納町</t>
  </si>
  <si>
    <t>中頭郡北谷町</t>
  </si>
  <si>
    <t>中頭郡北中城村</t>
  </si>
  <si>
    <t>中頭郡中城村</t>
  </si>
  <si>
    <t>中頭郡西原町</t>
  </si>
  <si>
    <t>島尻郡与那原町</t>
  </si>
  <si>
    <t>島尻郡南風原町</t>
  </si>
  <si>
    <t>島尻郡渡嘉敷村</t>
  </si>
  <si>
    <t>島尻郡座間味村</t>
  </si>
  <si>
    <t>島尻郡粟国村</t>
  </si>
  <si>
    <t>島尻郡渡名喜村</t>
  </si>
  <si>
    <t>島尻郡南大東村</t>
  </si>
  <si>
    <t>島尻郡北大東村</t>
  </si>
  <si>
    <t>島尻郡伊平屋村</t>
  </si>
  <si>
    <t>島尻郡伊是名村</t>
  </si>
  <si>
    <t>島尻郡久米島町</t>
  </si>
  <si>
    <t>島尻郡八重瀬町</t>
  </si>
  <si>
    <t>宮古郡多良間村</t>
  </si>
  <si>
    <t>八重山郡竹富町</t>
  </si>
  <si>
    <t>八重山郡与那国町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</si>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</sst>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638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pivotCacheDefinition" Target="pivotCache/pivotCacheDefinition1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pivotCacheDefinition" Target="pivotCache/pivotCacheDefinition2.xml"/><Relationship Id="rId8" Type="http://schemas.openxmlformats.org/officeDocument/2006/relationships/worksheet" Target="worksheets/sheet8.xml"/><Relationship Id="rId51" Type="http://schemas.openxmlformats.org/officeDocument/2006/relationships/connections" Target="connection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70952430558" createdVersion="5" refreshedVersion="8" minRefreshableVersion="3" recordCount="630" xr:uid="{5134EBE1-3A9B-460E-B419-7A00760A2CF9}">
  <cacheSource type="external" connectionId="1"/>
  <cacheFields count="11">
    <cacheField name="都道府県" numFmtId="0" sqlType="-9">
      <sharedItems count="1">
        <s v="47 沖縄県"/>
      </sharedItems>
    </cacheField>
    <cacheField name="自治体名" numFmtId="0" sqlType="-9">
      <sharedItems/>
    </cacheField>
    <cacheField name="自治体" numFmtId="0" sqlType="-9">
      <sharedItems count="42">
        <s v="47000 沖縄県"/>
        <s v="47201 那覇市"/>
        <s v="47205 宜野湾市"/>
        <s v="47207 石垣市"/>
        <s v="47208 浦添市"/>
        <s v="47209 名護市"/>
        <s v="47210 糸満市"/>
        <s v="47211 沖縄市"/>
        <s v="47212 豊見城市"/>
        <s v="47213 うるま市"/>
        <s v="47214 宮古島市"/>
        <s v="47215 南城市"/>
        <s v="47301 国頭郡国頭村"/>
        <s v="47302 国頭郡大宜味村"/>
        <s v="47303 国頭郡東村"/>
        <s v="47306 国頭郡今帰仁村"/>
        <s v="47308 国頭郡本部町"/>
        <s v="47311 国頭郡恩納村"/>
        <s v="47313 国頭郡宜野座村"/>
        <s v="47314 国頭郡金武町"/>
        <s v="47315 国頭郡伊江村"/>
        <s v="47324 中頭郡読谷村"/>
        <s v="47325 中頭郡嘉手納町"/>
        <s v="47326 中頭郡北谷町"/>
        <s v="47327 中頭郡北中城村"/>
        <s v="47328 中頭郡中城村"/>
        <s v="47329 中頭郡西原町"/>
        <s v="47348 島尻郡与那原町"/>
        <s v="47350 島尻郡南風原町"/>
        <s v="47353 島尻郡渡嘉敷村"/>
        <s v="47354 島尻郡座間味村"/>
        <s v="47355 島尻郡粟国村"/>
        <s v="47356 島尻郡渡名喜村"/>
        <s v="47357 島尻郡南大東村"/>
        <s v="47358 島尻郡北大東村"/>
        <s v="47359 島尻郡伊平屋村"/>
        <s v="47360 島尻郡伊是名村"/>
        <s v="47361 島尻郡久米島町"/>
        <s v="47362 島尻郡八重瀬町"/>
        <s v="47375 宮古郡多良間村"/>
        <s v="47381 八重山郡竹富町"/>
        <s v="47382 八重山郡与那国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8480"/>
    </cacheField>
    <cacheField name="構成比" numFmtId="0" sqlType="3">
      <sharedItems containsSemiMixedTypes="0" containsString="0" containsNumber="1" minValue="0" maxValue="50"/>
    </cacheField>
    <cacheField name="総数（個人）" numFmtId="0" sqlType="4">
      <sharedItems containsSemiMixedTypes="0" containsString="0" containsNumber="1" containsInteger="1" minValue="0" maxValue="6187"/>
    </cacheField>
    <cacheField name="構成比（個人）" numFmtId="0" sqlType="3">
      <sharedItems containsSemiMixedTypes="0" containsString="0" containsNumber="1" minValue="0" maxValue="63.33"/>
    </cacheField>
    <cacheField name="総数（法人）" numFmtId="0" sqlType="4">
      <sharedItems containsSemiMixedTypes="0" containsString="0" containsNumber="1" containsInteger="1" minValue="0" maxValue="3027"/>
    </cacheField>
    <cacheField name="構成比（法人）" numFmtId="0" sqlType="3">
      <sharedItems containsSemiMixedTypes="0" containsString="0" containsNumber="1" minValue="0" maxValue="55"/>
    </cacheField>
    <cacheField name="総数（法人以外の団体）" numFmtId="0" sqlType="4">
      <sharedItems containsSemiMixedTypes="0" containsString="0" containsNumber="1" containsInteger="1" minValue="0" maxValue="40" count="15">
        <n v="0"/>
        <n v="1"/>
        <n v="3"/>
        <n v="2"/>
        <n v="19"/>
        <n v="5"/>
        <n v="8"/>
        <n v="12"/>
        <n v="40"/>
        <n v="20"/>
        <n v="39"/>
        <n v="10"/>
        <n v="6"/>
        <n v="4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7107777778" createdVersion="5" refreshedVersion="8" minRefreshableVersion="3" recordCount="890" xr:uid="{2C80246B-6E67-4097-9962-8609B6BB6C72}">
  <cacheSource type="external" connectionId="2"/>
  <cacheFields count="14">
    <cacheField name="都道府県" numFmtId="0" sqlType="-9">
      <sharedItems count="1">
        <s v="47 沖縄県"/>
      </sharedItems>
    </cacheField>
    <cacheField name="自治体名" numFmtId="0" sqlType="-9">
      <sharedItems count="42">
        <s v="沖縄県"/>
        <s v="那覇市"/>
        <s v="宜野湾市"/>
        <s v="石垣市"/>
        <s v="浦添市"/>
        <s v="名護市"/>
        <s v="糸満市"/>
        <s v="沖縄市"/>
        <s v="豊見城市"/>
        <s v="うるま市"/>
        <s v="宮古島市"/>
        <s v="南城市"/>
        <s v="国頭郡国頭村"/>
        <s v="国頭郡大宜味村"/>
        <s v="国頭郡東村"/>
        <s v="国頭郡今帰仁村"/>
        <s v="国頭郡本部町"/>
        <s v="国頭郡恩納村"/>
        <s v="国頭郡宜野座村"/>
        <s v="国頭郡金武町"/>
        <s v="国頭郡伊江村"/>
        <s v="中頭郡読谷村"/>
        <s v="中頭郡嘉手納町"/>
        <s v="中頭郡北谷町"/>
        <s v="中頭郡北中城村"/>
        <s v="中頭郡中城村"/>
        <s v="中頭郡西原町"/>
        <s v="島尻郡与那原町"/>
        <s v="島尻郡南風原町"/>
        <s v="島尻郡渡嘉敷村"/>
        <s v="島尻郡座間味村"/>
        <s v="島尻郡粟国村"/>
        <s v="島尻郡渡名喜村"/>
        <s v="島尻郡南大東村"/>
        <s v="島尻郡北大東村"/>
        <s v="島尻郡伊平屋村"/>
        <s v="島尻郡伊是名村"/>
        <s v="島尻郡久米島町"/>
        <s v="島尻郡八重瀬町"/>
        <s v="宮古郡多良間村"/>
        <s v="八重山郡竹富町"/>
        <s v="八重山郡与那国町"/>
      </sharedItems>
    </cacheField>
    <cacheField name="自治体" numFmtId="0" sqlType="-9">
      <sharedItems count="42">
        <s v="47000 沖縄県"/>
        <s v="47201 那覇市"/>
        <s v="47205 宜野湾市"/>
        <s v="47207 石垣市"/>
        <s v="47208 浦添市"/>
        <s v="47209 名護市"/>
        <s v="47210 糸満市"/>
        <s v="47211 沖縄市"/>
        <s v="47212 豊見城市"/>
        <s v="47213 うるま市"/>
        <s v="47214 宮古島市"/>
        <s v="47215 南城市"/>
        <s v="47301 国頭郡国頭村"/>
        <s v="47302 国頭郡大宜味村"/>
        <s v="47303 国頭郡東村"/>
        <s v="47306 国頭郡今帰仁村"/>
        <s v="47308 国頭郡本部町"/>
        <s v="47311 国頭郡恩納村"/>
        <s v="47313 国頭郡宜野座村"/>
        <s v="47314 国頭郡金武町"/>
        <s v="47315 国頭郡伊江村"/>
        <s v="47324 中頭郡読谷村"/>
        <s v="47325 中頭郡嘉手納町"/>
        <s v="47326 中頭郡北谷町"/>
        <s v="47327 中頭郡北中城村"/>
        <s v="47328 中頭郡中城村"/>
        <s v="47329 中頭郡西原町"/>
        <s v="47348 島尻郡与那原町"/>
        <s v="47350 島尻郡南風原町"/>
        <s v="47353 島尻郡渡嘉敷村"/>
        <s v="47354 島尻郡座間味村"/>
        <s v="47355 島尻郡粟国村"/>
        <s v="47356 島尻郡渡名喜村"/>
        <s v="47357 島尻郡南大東村"/>
        <s v="47358 島尻郡北大東村"/>
        <s v="47359 島尻郡伊平屋村"/>
        <s v="47360 島尻郡伊是名村"/>
        <s v="47361 島尻郡久米島町"/>
        <s v="47362 島尻郡八重瀬町"/>
        <s v="47375 宮古郡多良間村"/>
        <s v="47381 八重山郡竹富町"/>
        <s v="47382 八重山郡与那国町"/>
      </sharedItems>
    </cacheField>
    <cacheField name="産業分類コード" numFmtId="0" sqlType="-8">
      <sharedItems count="55">
        <s v="76"/>
        <s v="69"/>
        <s v="78"/>
        <s v="60"/>
        <s v="58"/>
        <s v="82"/>
        <s v="06"/>
        <s v="57"/>
        <s v="59"/>
        <s v="08"/>
        <s v="07"/>
        <s v="72"/>
        <s v="74"/>
        <s v="83"/>
        <s v="75"/>
        <s v="89"/>
        <s v="85"/>
        <s v="68"/>
        <s v="80"/>
        <s v="79"/>
        <s v="54"/>
        <s v="92"/>
        <s v="55"/>
        <s v="09"/>
        <s v="52"/>
        <s v="53"/>
        <s v="77"/>
        <s v="24"/>
        <s v="44"/>
        <s v="70"/>
        <s v="43"/>
        <s v="21"/>
        <s v="10"/>
        <s v="95"/>
        <s v="36"/>
        <s v="11"/>
        <s v="12"/>
        <s v="16"/>
        <s v="48"/>
        <s v="88"/>
        <s v="32"/>
        <s v="61"/>
        <s v="47"/>
        <s v="15"/>
        <s v="67"/>
        <s v="90"/>
        <s v="41"/>
        <s v="73"/>
        <s v="33"/>
        <s v="49"/>
        <s v="45"/>
        <s v="71"/>
        <s v="13"/>
        <s v="17"/>
        <s v="31"/>
      </sharedItems>
    </cacheField>
    <cacheField name="産業分類" numFmtId="0" sqlType="-9">
      <sharedItems count="55">
        <s v="飲食店"/>
        <s v="不動産賃貸業・管理業"/>
        <s v="洗濯・理容・美容・浴場業"/>
        <s v="その他の小売業"/>
        <s v="飲食料品小売業"/>
        <s v="その他の教育，学習支援業"/>
        <s v="総合工事業"/>
        <s v="織物・衣服・身の回り品小売業"/>
        <s v="機械器具小売業"/>
        <s v="設備工事業"/>
        <s v="職別工事業（設備工事業を除く）"/>
        <s v="専門サービス業（他に分類されないもの）"/>
        <s v="技術サービス業（他に分類されないもの）"/>
        <s v="医療業"/>
        <s v="宿泊業"/>
        <s v="自動車整備業"/>
        <s v="社会保険・社会福祉・介護事業"/>
        <s v="不動産取引業"/>
        <s v="娯楽業"/>
        <s v="その他の生活関連サービス業"/>
        <s v="機械器具卸売業"/>
        <s v="その他の事業サービス業"/>
        <s v="その他の卸売業"/>
        <s v="食料品製造業"/>
        <s v="飲食料品卸売業"/>
        <s v="建築材料，鉱物・金属材料等卸売業"/>
        <s v="持ち帰り・配達飲食サービス業"/>
        <s v="金属製品製造業"/>
        <s v="道路貨物運送業"/>
        <s v="物品賃貸業"/>
        <s v="道路旅客運送業"/>
        <s v="窯業・土石製品製造業"/>
        <s v="飲料・たばこ・飼料製造業"/>
        <s v="その他のサービス業"/>
        <s v="水道業"/>
        <s v="繊維工業"/>
        <s v="木材・木製品製造業（家具を除く）"/>
        <s v="化学工業"/>
        <s v="運輸に附帯するサービス業"/>
        <s v="廃棄物処理業"/>
        <s v="その他の製造業"/>
        <s v="無店舗小売業"/>
        <s v="倉庫業"/>
        <s v="印刷・同関連業"/>
        <s v="保険業（保険媒介代理業，保険サービス業を含む）"/>
        <s v="機械等修理業（別掲を除く）"/>
        <s v="映像・音声・文字情報制作業"/>
        <s v="広告業"/>
        <s v="電気業"/>
        <s v="郵便業（信書便事業を含む）"/>
        <s v="水運業"/>
        <s v="学術・開発研究機関"/>
        <s v="家具・装備品製造業"/>
        <s v="石油製品・石炭製品製造業"/>
        <s v="輸送用機械器具製造業"/>
      </sharedItems>
    </cacheField>
    <cacheField name="産業中分類" numFmtId="0" sqlType="-9">
      <sharedItems count="55">
        <s v="76 飲食店"/>
        <s v="69 不動産賃貸業・管理業"/>
        <s v="78 洗濯・理容・美容・浴場業"/>
        <s v="60 その他の小売業"/>
        <s v="58 飲食料品小売業"/>
        <s v="82 その他の教育，学習支援業"/>
        <s v="06 総合工事業"/>
        <s v="57 織物・衣服・身の回り品小売業"/>
        <s v="59 機械器具小売業"/>
        <s v="08 設備工事業"/>
        <s v="07 職別工事業（設備工事業を除く）"/>
        <s v="72 専門サービス業（他に分類されないもの）"/>
        <s v="74 技術サービス業（他に分類されないもの）"/>
        <s v="83 医療業"/>
        <s v="75 宿泊業"/>
        <s v="89 自動車整備業"/>
        <s v="85 社会保険・社会福祉・介護事業"/>
        <s v="68 不動産取引業"/>
        <s v="80 娯楽業"/>
        <s v="79 その他の生活関連サービス業"/>
        <s v="54 機械器具卸売業"/>
        <s v="92 その他の事業サービス業"/>
        <s v="55 その他の卸売業"/>
        <s v="09 食料品製造業"/>
        <s v="52 飲食料品卸売業"/>
        <s v="53 建築材料，鉱物・金属材料等卸売業"/>
        <s v="77 持ち帰り・配達飲食サービス業"/>
        <s v="24 金属製品製造業"/>
        <s v="44 道路貨物運送業"/>
        <s v="70 物品賃貸業"/>
        <s v="43 道路旅客運送業"/>
        <s v="21 窯業・土石製品製造業"/>
        <s v="10 飲料・たばこ・飼料製造業"/>
        <s v="95 その他のサービス業"/>
        <s v="36 水道業"/>
        <s v="11 繊維工業"/>
        <s v="12 木材・木製品製造業（家具を除く）"/>
        <s v="16 化学工業"/>
        <s v="48 運輸に附帯するサービス業"/>
        <s v="88 廃棄物処理業"/>
        <s v="32 その他の製造業"/>
        <s v="61 無店舗小売業"/>
        <s v="47 倉庫業"/>
        <s v="15 印刷・同関連業"/>
        <s v="67 保険業（保険媒介代理業，保険サービス業を含む）"/>
        <s v="90 機械等修理業（別掲を除く）"/>
        <s v="41 映像・音声・文字情報制作業"/>
        <s v="73 広告業"/>
        <s v="33 電気業"/>
        <s v="49 郵便業（信書便事業を含む）"/>
        <s v="45 水運業"/>
        <s v="71 学術・開発研究機関"/>
        <s v="13 家具・装備品製造業"/>
        <s v="17 石油製品・石炭製品製造業"/>
        <s v="31 輸送用機械器具製造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5930" count="166">
        <n v="5930"/>
        <n v="3864"/>
        <n v="3570"/>
        <n v="2582"/>
        <n v="2108"/>
        <n v="2018"/>
        <n v="1356"/>
        <n v="1040"/>
        <n v="1002"/>
        <n v="976"/>
        <n v="975"/>
        <n v="874"/>
        <n v="823"/>
        <n v="792"/>
        <n v="743"/>
        <n v="723"/>
        <n v="720"/>
        <n v="640"/>
        <n v="614"/>
        <n v="502"/>
        <n v="1890"/>
        <n v="1326"/>
        <n v="846"/>
        <n v="646"/>
        <n v="510"/>
        <n v="507"/>
        <n v="361"/>
        <n v="327"/>
        <n v="238"/>
        <n v="234"/>
        <n v="232"/>
        <n v="227"/>
        <n v="200"/>
        <n v="166"/>
        <n v="162"/>
        <n v="159"/>
        <n v="142"/>
        <n v="141"/>
        <n v="140"/>
        <n v="139"/>
        <n v="313"/>
        <n v="235"/>
        <n v="192"/>
        <n v="150"/>
        <n v="107"/>
        <n v="75"/>
        <n v="71"/>
        <n v="68"/>
        <n v="67"/>
        <n v="63"/>
        <n v="61"/>
        <n v="52"/>
        <n v="50"/>
        <n v="48"/>
        <n v="47"/>
        <n v="31"/>
        <n v="25"/>
        <n v="323"/>
        <n v="151"/>
        <n v="137"/>
        <n v="129"/>
        <n v="111"/>
        <n v="102"/>
        <n v="79"/>
        <n v="73"/>
        <n v="69"/>
        <n v="53"/>
        <n v="46"/>
        <n v="43"/>
        <n v="35"/>
        <n v="32"/>
        <n v="28"/>
        <n v="27"/>
        <n v="26"/>
        <n v="516"/>
        <n v="445"/>
        <n v="242"/>
        <n v="105"/>
        <n v="101"/>
        <n v="95"/>
        <n v="93"/>
        <n v="87"/>
        <n v="77"/>
        <n v="66"/>
        <n v="65"/>
        <n v="62"/>
        <n v="44"/>
        <n v="297"/>
        <n v="189"/>
        <n v="109"/>
        <n v="74"/>
        <n v="70"/>
        <n v="40"/>
        <n v="29"/>
        <n v="24"/>
        <n v="21"/>
        <n v="18"/>
        <n v="17"/>
        <n v="191"/>
        <n v="143"/>
        <n v="120"/>
        <n v="106"/>
        <n v="97"/>
        <n v="85"/>
        <n v="78"/>
        <n v="34"/>
        <n v="30"/>
        <n v="19"/>
        <n v="517"/>
        <n v="329"/>
        <n v="260"/>
        <n v="208"/>
        <n v="132"/>
        <n v="90"/>
        <n v="81"/>
        <n v="76"/>
        <n v="57"/>
        <n v="56"/>
        <n v="38"/>
        <n v="92"/>
        <n v="54"/>
        <n v="42"/>
        <n v="39"/>
        <n v="37"/>
        <n v="20"/>
        <n v="16"/>
        <n v="382"/>
        <n v="362"/>
        <n v="286"/>
        <n v="172"/>
        <n v="98"/>
        <n v="80"/>
        <n v="292"/>
        <n v="182"/>
        <n v="146"/>
        <n v="100"/>
        <n v="84"/>
        <n v="36"/>
        <n v="58"/>
        <n v="23"/>
        <n v="13"/>
        <n v="41"/>
        <n v="14"/>
        <n v="12"/>
        <n v="9"/>
        <n v="5"/>
        <n v="4"/>
        <n v="3"/>
        <n v="2"/>
        <n v="8"/>
        <n v="7"/>
        <n v="6"/>
        <n v="1"/>
        <n v="11"/>
        <n v="51"/>
        <n v="33"/>
        <n v="15"/>
        <n v="126"/>
        <n v="10"/>
        <n v="22"/>
        <n v="82"/>
        <n v="45"/>
        <n v="91"/>
        <n v="55"/>
        <n v="195"/>
        <n v="59"/>
      </sharedItems>
    </cacheField>
    <cacheField name="構成比" numFmtId="0" sqlType="3">
      <sharedItems containsSemiMixedTypes="0" containsString="0" containsNumber="1" minValue="0.67" maxValue="34" count="404">
        <n v="15.51"/>
        <n v="10.1"/>
        <n v="9.34"/>
        <n v="6.75"/>
        <n v="5.51"/>
        <n v="5.28"/>
        <n v="3.55"/>
        <n v="2.72"/>
        <n v="2.62"/>
        <n v="2.5499999999999998"/>
        <n v="2.29"/>
        <n v="2.15"/>
        <n v="2.0699999999999998"/>
        <n v="1.94"/>
        <n v="1.89"/>
        <n v="1.88"/>
        <n v="1.67"/>
        <n v="1.61"/>
        <n v="1.31"/>
        <n v="18.84"/>
        <n v="13.22"/>
        <n v="8.43"/>
        <n v="6.44"/>
        <n v="5.08"/>
        <n v="5.05"/>
        <n v="3.6"/>
        <n v="3.26"/>
        <n v="2.37"/>
        <n v="2.33"/>
        <n v="2.31"/>
        <n v="2.2599999999999998"/>
        <n v="1.99"/>
        <n v="1.65"/>
        <n v="1.58"/>
        <n v="1.42"/>
        <n v="1.41"/>
        <n v="1.4"/>
        <n v="1.39"/>
        <n v="14.4"/>
        <n v="10.81"/>
        <n v="8.83"/>
        <n v="6.9"/>
        <n v="6.49"/>
        <n v="4.92"/>
        <n v="3.45"/>
        <n v="3.27"/>
        <n v="3.13"/>
        <n v="3.08"/>
        <n v="2.9"/>
        <n v="2.81"/>
        <n v="2.39"/>
        <n v="2.2999999999999998"/>
        <n v="2.21"/>
        <n v="2.16"/>
        <n v="1.43"/>
        <n v="1.1499999999999999"/>
        <n v="16.95"/>
        <n v="7.92"/>
        <n v="7.19"/>
        <n v="6.77"/>
        <n v="5.82"/>
        <n v="5.35"/>
        <n v="4.1399999999999997"/>
        <n v="3.83"/>
        <n v="3.62"/>
        <n v="2.78"/>
        <n v="2.41"/>
        <n v="1.84"/>
        <n v="1.68"/>
        <n v="1.63"/>
        <n v="1.47"/>
        <n v="1.36"/>
        <n v="16.89"/>
        <n v="14.57"/>
        <n v="5.2"/>
        <n v="4.58"/>
        <n v="3.44"/>
        <n v="3.34"/>
        <n v="3.31"/>
        <n v="3.11"/>
        <n v="3.04"/>
        <n v="2.85"/>
        <n v="2.52"/>
        <n v="2.13"/>
        <n v="2.0299999999999998"/>
        <n v="1.51"/>
        <n v="1.44"/>
        <n v="19.96"/>
        <n v="12.7"/>
        <n v="9.48"/>
        <n v="7.33"/>
        <n v="4.97"/>
        <n v="4.7"/>
        <n v="3.49"/>
        <n v="2.69"/>
        <n v="2.08"/>
        <n v="1.95"/>
        <n v="1.81"/>
        <n v="1.21"/>
        <n v="1.1399999999999999"/>
        <n v="12.97"/>
        <n v="9.7100000000000009"/>
        <n v="8.15"/>
        <n v="7.2"/>
        <n v="6.59"/>
        <n v="5.77"/>
        <n v="5.3"/>
        <n v="3.53"/>
        <n v="2.99"/>
        <n v="2.17"/>
        <n v="2.1"/>
        <n v="2.04"/>
        <n v="1.83"/>
        <n v="1.77"/>
        <n v="1.29"/>
        <n v="17.100000000000001"/>
        <n v="10.88"/>
        <n v="8.6"/>
        <n v="6.88"/>
        <n v="6.32"/>
        <n v="4.7300000000000004"/>
        <n v="4.37"/>
        <n v="2.98"/>
        <n v="2.88"/>
        <n v="2.68"/>
        <n v="2.58"/>
        <n v="2.5099999999999998"/>
        <n v="2.48"/>
        <n v="2.1800000000000002"/>
        <n v="1.85"/>
        <n v="1.26"/>
        <n v="1.06"/>
        <n v="0.93"/>
        <n v="11.17"/>
        <n v="8.56"/>
        <n v="7.5"/>
        <n v="4.4000000000000004"/>
        <n v="3.59"/>
        <n v="3.5"/>
        <n v="3.42"/>
        <n v="3.18"/>
        <n v="3.1"/>
        <n v="3.02"/>
        <n v="2.77"/>
        <n v="2.5299999999999998"/>
        <n v="2.2799999999999998"/>
        <n v="1.3"/>
        <n v="14.81"/>
        <n v="14.03"/>
        <n v="11.09"/>
        <n v="6.67"/>
        <n v="5.54"/>
        <n v="4.6500000000000004"/>
        <n v="3.8"/>
        <n v="3.37"/>
        <n v="2.95"/>
        <n v="2.83"/>
        <n v="1.24"/>
        <n v="1.1599999999999999"/>
        <n v="1.0900000000000001"/>
        <n v="15.26"/>
        <n v="9.51"/>
        <n v="7.63"/>
        <n v="5.23"/>
        <n v="4.8600000000000003"/>
        <n v="4.3899999999999997"/>
        <n v="3.4"/>
        <n v="2.93"/>
        <n v="2.46"/>
        <n v="2.09"/>
        <n v="1.93"/>
        <n v="11.41"/>
        <n v="10.26"/>
        <n v="9.11"/>
        <n v="6.6"/>
        <n v="6.07"/>
        <n v="5.55"/>
        <n v="3.87"/>
        <n v="3.35"/>
        <n v="1.78"/>
        <n v="23.7"/>
        <n v="11.56"/>
        <n v="10.98"/>
        <n v="8.09"/>
        <n v="6.94"/>
        <n v="2.89"/>
        <n v="1.73"/>
        <n v="20.65"/>
        <n v="9.7799999999999994"/>
        <n v="8.6999999999999993"/>
        <n v="7.61"/>
        <n v="6.52"/>
        <n v="4.3499999999999996"/>
        <n v="23.91"/>
        <n v="13.04"/>
        <n v="10.87"/>
        <n v="17.829999999999998"/>
        <n v="12.59"/>
        <n v="11.54"/>
        <n v="8.0399999999999991"/>
        <n v="5.24"/>
        <n v="4.2"/>
        <n v="3.15"/>
        <n v="2.4500000000000002"/>
        <n v="1.75"/>
        <n v="1.05"/>
        <n v="0.7"/>
        <n v="26.75"/>
        <n v="12.1"/>
        <n v="8.49"/>
        <n v="6.79"/>
        <n v="3.61"/>
        <n v="2.97"/>
        <n v="2.12"/>
        <n v="1.91"/>
        <n v="1.7"/>
        <n v="1.27"/>
        <n v="0.85"/>
        <n v="12.12"/>
        <n v="11.11"/>
        <n v="9.09"/>
        <n v="7.58"/>
        <n v="7.07"/>
        <n v="4.55"/>
        <n v="3.03"/>
        <n v="2.02"/>
        <n v="1.52"/>
        <n v="1.01"/>
        <n v="8.7200000000000006"/>
        <n v="7.38"/>
        <n v="6.71"/>
        <n v="6.04"/>
        <n v="5.37"/>
        <n v="4.03"/>
        <n v="3.36"/>
        <n v="2.0099999999999998"/>
        <n v="1.34"/>
        <n v="23.41"/>
        <n v="11.04"/>
        <n v="7.02"/>
        <n v="6.35"/>
        <n v="4.68"/>
        <n v="4.01"/>
        <n v="3.68"/>
        <n v="2.34"/>
        <n v="1"/>
        <n v="23.81"/>
        <n v="12.86"/>
        <n v="7.62"/>
        <n v="7.14"/>
        <n v="6.19"/>
        <n v="5.71"/>
        <n v="4.76"/>
        <n v="2.86"/>
        <n v="2.38"/>
        <n v="1.9"/>
        <n v="0.95"/>
        <n v="11.65"/>
        <n v="11.51"/>
        <n v="11.08"/>
        <n v="6.53"/>
        <n v="6.39"/>
        <n v="5.97"/>
        <n v="3.98"/>
        <n v="3.84"/>
        <n v="3.69"/>
        <n v="1.56"/>
        <n v="1.28"/>
        <n v="0.99"/>
        <n v="17.899999999999999"/>
        <n v="13.07"/>
        <n v="8.24"/>
        <n v="6.82"/>
        <n v="5.1100000000000003"/>
        <n v="4.26"/>
        <n v="3.41"/>
        <n v="2.84"/>
        <n v="2.56"/>
        <n v="13.12"/>
        <n v="12.98"/>
        <n v="12.84"/>
        <n v="8.1300000000000008"/>
        <n v="6.28"/>
        <n v="4.8499999999999996"/>
        <n v="4.28"/>
        <n v="3.28"/>
        <n v="2.71"/>
        <n v="2.57"/>
        <n v="2.4300000000000002"/>
        <n v="2.14"/>
        <n v="1.71"/>
        <n v="1.57"/>
        <n v="11.62"/>
        <n v="9.85"/>
        <n v="8.08"/>
        <n v="6.57"/>
        <n v="5.81"/>
        <n v="5.56"/>
        <n v="3.54"/>
        <n v="2.27"/>
        <n v="11.05"/>
        <n v="9.6300000000000008"/>
        <n v="8.2200000000000006"/>
        <n v="7.37"/>
        <n v="6.8"/>
        <n v="5.95"/>
        <n v="4.53"/>
        <n v="4.25"/>
        <n v="3.97"/>
        <n v="1.98"/>
        <n v="9.01"/>
        <n v="8.8699999999999992"/>
        <n v="7.28"/>
        <n v="6.62"/>
        <n v="6.36"/>
        <n v="5.17"/>
        <n v="4.7699999999999996"/>
        <n v="4.6399999999999997"/>
        <n v="3.58"/>
        <n v="3.05"/>
        <n v="1.72"/>
        <n v="1.59"/>
        <n v="1.46"/>
        <n v="1.32"/>
        <n v="15"/>
        <n v="10.24"/>
        <n v="9.2899999999999991"/>
        <n v="8.57"/>
        <n v="4.05"/>
        <n v="3.57"/>
        <n v="3.33"/>
        <n v="1.19"/>
        <n v="21.71"/>
        <n v="7.68"/>
        <n v="4.79"/>
        <n v="3.9"/>
        <n v="3.79"/>
        <n v="3.12"/>
        <n v="3.01"/>
        <n v="2.23"/>
        <n v="2"/>
        <n v="1.45"/>
        <n v="22.54"/>
        <n v="16.899999999999999"/>
        <n v="12.68"/>
        <n v="5.63"/>
        <n v="4.2300000000000004"/>
        <n v="2.82"/>
        <n v="34"/>
        <n v="24"/>
        <n v="14.67"/>
        <n v="5.33"/>
        <n v="2.67"/>
        <n v="1.33"/>
        <n v="0.67"/>
        <n v="23.68"/>
        <n v="15.79"/>
        <n v="10.53"/>
        <n v="7.89"/>
        <n v="5.26"/>
        <n v="2.63"/>
        <n v="25"/>
        <n v="12.5"/>
        <n v="6.25"/>
        <n v="8"/>
        <n v="6"/>
        <n v="4"/>
        <n v="18.75"/>
        <n v="9.3800000000000008"/>
        <n v="26.42"/>
        <n v="16.98"/>
        <n v="7.55"/>
        <n v="5.66"/>
        <n v="3.77"/>
        <n v="18.03"/>
        <n v="13.11"/>
        <n v="11.48"/>
        <n v="6.56"/>
        <n v="1.64"/>
        <n v="14.44"/>
        <n v="13.91"/>
        <n v="8.92"/>
        <n v="4.99"/>
        <n v="4.46"/>
        <n v="11.66"/>
        <n v="8.0299999999999994"/>
        <n v="7.84"/>
        <n v="7.65"/>
        <n v="2.87"/>
        <n v="1.53"/>
        <n v="16.670000000000002"/>
        <n v="9.26"/>
        <n v="7.41"/>
        <n v="3.7"/>
        <n v="23.98"/>
        <n v="14.62"/>
        <n v="4.09"/>
        <n v="2.0499999999999998"/>
        <n v="1.17"/>
        <n v="0.88"/>
        <n v="16.55"/>
        <n v="14.39"/>
        <n v="10.79"/>
        <n v="0.72"/>
      </sharedItems>
    </cacheField>
    <cacheField name="総数（個人）" numFmtId="0" sqlType="4">
      <sharedItems containsSemiMixedTypes="0" containsString="0" containsNumber="1" containsInteger="1" minValue="0" maxValue="5475" count="145">
        <n v="5475"/>
        <n v="2280"/>
        <n v="3193"/>
        <n v="1809"/>
        <n v="1730"/>
        <n v="1678"/>
        <n v="232"/>
        <n v="692"/>
        <n v="778"/>
        <n v="329"/>
        <n v="495"/>
        <n v="584"/>
        <n v="377"/>
        <n v="690"/>
        <n v="562"/>
        <n v="661"/>
        <n v="90"/>
        <n v="122"/>
        <n v="394"/>
        <n v="259"/>
        <n v="1708"/>
        <n v="714"/>
        <n v="725"/>
        <n v="428"/>
        <n v="419"/>
        <n v="375"/>
        <n v="244"/>
        <n v="189"/>
        <n v="25"/>
        <n v="91"/>
        <n v="207"/>
        <n v="44"/>
        <n v="43"/>
        <n v="54"/>
        <n v="125"/>
        <n v="16"/>
        <n v="8"/>
        <n v="66"/>
        <n v="28"/>
        <n v="296"/>
        <n v="206"/>
        <n v="72"/>
        <n v="108"/>
        <n v="83"/>
        <n v="7"/>
        <n v="17"/>
        <n v="47"/>
        <n v="30"/>
        <n v="46"/>
        <n v="51"/>
        <n v="22"/>
        <n v="11"/>
        <n v="295"/>
        <n v="142"/>
        <n v="120"/>
        <n v="84"/>
        <n v="73"/>
        <n v="80"/>
        <n v="63"/>
        <n v="59"/>
        <n v="32"/>
        <n v="27"/>
        <n v="33"/>
        <n v="24"/>
        <n v="13"/>
        <n v="18"/>
        <n v="3"/>
        <n v="373"/>
        <n v="412"/>
        <n v="129"/>
        <n v="78"/>
        <n v="20"/>
        <n v="56"/>
        <n v="39"/>
        <n v="71"/>
        <n v="12"/>
        <n v="49"/>
        <n v="9"/>
        <n v="19"/>
        <n v="36"/>
        <n v="279"/>
        <n v="174"/>
        <n v="106"/>
        <n v="98"/>
        <n v="38"/>
        <n v="26"/>
        <n v="10"/>
        <n v="6"/>
        <n v="5"/>
        <n v="179"/>
        <n v="130"/>
        <n v="65"/>
        <n v="93"/>
        <n v="82"/>
        <n v="14"/>
        <n v="1"/>
        <n v="15"/>
        <n v="23"/>
        <n v="498"/>
        <n v="303"/>
        <n v="118"/>
        <n v="139"/>
        <n v="158"/>
        <n v="116"/>
        <n v="79"/>
        <n v="64"/>
        <n v="48"/>
        <n v="119"/>
        <n v="42"/>
        <n v="31"/>
        <n v="29"/>
        <n v="4"/>
        <n v="322"/>
        <n v="261"/>
        <n v="143"/>
        <n v="103"/>
        <n v="62"/>
        <n v="75"/>
        <n v="35"/>
        <n v="2"/>
        <n v="275"/>
        <n v="176"/>
        <n v="132"/>
        <n v="76"/>
        <n v="60"/>
        <n v="70"/>
        <n v="52"/>
        <n v="45"/>
        <n v="34"/>
        <n v="105"/>
        <n v="89"/>
        <n v="77"/>
        <n v="55"/>
        <n v="53"/>
        <n v="0"/>
        <n v="21"/>
        <n v="41"/>
        <n v="112"/>
        <n v="57"/>
        <n v="69"/>
        <n v="81"/>
        <n v="37"/>
        <n v="58"/>
        <n v="61"/>
        <n v="144"/>
      </sharedItems>
    </cacheField>
    <cacheField name="構成比（個人）" numFmtId="0" sqlType="3">
      <sharedItems containsSemiMixedTypes="0" containsString="0" containsNumber="1" minValue="0" maxValue="56.67" count="424">
        <n v="21.91"/>
        <n v="9.1300000000000008"/>
        <n v="12.78"/>
        <n v="7.24"/>
        <n v="6.92"/>
        <n v="6.72"/>
        <n v="0.93"/>
        <n v="2.77"/>
        <n v="3.11"/>
        <n v="1.32"/>
        <n v="1.98"/>
        <n v="2.34"/>
        <n v="1.51"/>
        <n v="2.76"/>
        <n v="2.25"/>
        <n v="2.65"/>
        <n v="0.36"/>
        <n v="0.49"/>
        <n v="1.58"/>
        <n v="1.04"/>
        <n v="28.55"/>
        <n v="11.93"/>
        <n v="12.12"/>
        <n v="7.15"/>
        <n v="7"/>
        <n v="6.27"/>
        <n v="4.08"/>
        <n v="3.16"/>
        <n v="0.42"/>
        <n v="1.52"/>
        <n v="3.46"/>
        <n v="0.74"/>
        <n v="0.72"/>
        <n v="0.9"/>
        <n v="2.09"/>
        <n v="0.27"/>
        <n v="0.13"/>
        <n v="1.1000000000000001"/>
        <n v="0.47"/>
        <n v="21.28"/>
        <n v="14.81"/>
        <n v="5.18"/>
        <n v="7.76"/>
        <n v="8.99"/>
        <n v="5.97"/>
        <n v="3.88"/>
        <n v="0.5"/>
        <n v="1.22"/>
        <n v="3.38"/>
        <n v="2.16"/>
        <n v="3.31"/>
        <n v="1.8"/>
        <n v="3.67"/>
        <n v="3.09"/>
        <n v="0.57999999999999996"/>
        <n v="0.79"/>
        <n v="22.23"/>
        <n v="10.7"/>
        <n v="9.0399999999999991"/>
        <n v="6.33"/>
        <n v="5.5"/>
        <n v="6.03"/>
        <n v="1.21"/>
        <n v="4.75"/>
        <n v="4.07"/>
        <n v="4.45"/>
        <n v="2.41"/>
        <n v="2.0299999999999998"/>
        <n v="2.4900000000000002"/>
        <n v="1.81"/>
        <n v="0.98"/>
        <n v="1.36"/>
        <n v="0.23"/>
        <n v="20.25"/>
        <n v="22.37"/>
        <n v="11.24"/>
        <n v="4.2300000000000004"/>
        <n v="1.0900000000000001"/>
        <n v="2.33"/>
        <n v="1.79"/>
        <n v="3.04"/>
        <n v="2.12"/>
        <n v="1.74"/>
        <n v="3.85"/>
        <n v="0.65"/>
        <n v="2.66"/>
        <n v="0.38"/>
        <n v="0.43"/>
        <n v="1.03"/>
        <n v="1.95"/>
        <n v="26.22"/>
        <n v="16.350000000000001"/>
        <n v="9.9600000000000009"/>
        <n v="9.2100000000000009"/>
        <n v="3.57"/>
        <n v="4.79"/>
        <n v="1.1299999999999999"/>
        <n v="0.85"/>
        <n v="2.0699999999999998"/>
        <n v="2.44"/>
        <n v="0.28000000000000003"/>
        <n v="0.94"/>
        <n v="0.56000000000000005"/>
        <n v="1.88"/>
        <n v="1.6"/>
        <n v="0.75"/>
        <n v="18.04"/>
        <n v="13.1"/>
        <n v="6.55"/>
        <n v="9.3800000000000008"/>
        <n v="8.27"/>
        <n v="7.86"/>
        <n v="1.41"/>
        <n v="4.9400000000000004"/>
        <n v="2.2200000000000002"/>
        <n v="1.61"/>
        <n v="0.1"/>
        <n v="2.62"/>
        <n v="2.3199999999999998"/>
        <n v="2.42"/>
        <n v="1.1100000000000001"/>
        <n v="0.3"/>
        <n v="1.31"/>
        <n v="24.57"/>
        <n v="14.95"/>
        <n v="5.82"/>
        <n v="6.86"/>
        <n v="7.79"/>
        <n v="5.72"/>
        <n v="4.83"/>
        <n v="3.9"/>
        <n v="0.25"/>
        <n v="3.5"/>
        <n v="2.37"/>
        <n v="0.69"/>
        <n v="1.28"/>
        <n v="0.44"/>
        <n v="19.16"/>
        <n v="3.22"/>
        <n v="6.28"/>
        <n v="13.2"/>
        <n v="0.81"/>
        <n v="6.76"/>
        <n v="4.3499999999999996"/>
        <n v="4.99"/>
        <n v="4.51"/>
        <n v="1.77"/>
        <n v="1.45"/>
        <n v="5.31"/>
        <n v="1.29"/>
        <n v="4.67"/>
        <n v="0.64"/>
        <n v="0.48"/>
        <n v="19.3"/>
        <n v="16.57"/>
        <n v="13.43"/>
        <n v="7.36"/>
        <n v="5.3"/>
        <n v="3.19"/>
        <n v="3.71"/>
        <n v="3.86"/>
        <n v="1.24"/>
        <n v="1.34"/>
        <n v="1.65"/>
        <n v="2.0099999999999998"/>
        <n v="0.87"/>
        <n v="0.51"/>
        <n v="19.829999999999998"/>
        <n v="12.69"/>
        <n v="9.52"/>
        <n v="1.01"/>
        <n v="5.26"/>
        <n v="5.48"/>
        <n v="4.33"/>
        <n v="5.05"/>
        <n v="3.1"/>
        <n v="3.75"/>
        <n v="3.24"/>
        <n v="2.4500000000000002"/>
        <n v="1.44"/>
        <n v="1.73"/>
        <n v="0.14000000000000001"/>
        <n v="15.67"/>
        <n v="13.28"/>
        <n v="11.49"/>
        <n v="8.2100000000000009"/>
        <n v="7.91"/>
        <n v="2.99"/>
        <n v="0"/>
        <n v="4.78"/>
        <n v="3.13"/>
        <n v="3.73"/>
        <n v="2.39"/>
        <n v="1.64"/>
        <n v="1.49"/>
        <n v="29.29"/>
        <n v="10.71"/>
        <n v="11.43"/>
        <n v="6.43"/>
        <n v="8.57"/>
        <n v="2.14"/>
        <n v="2.86"/>
        <n v="0.71"/>
        <n v="1.43"/>
        <n v="33.93"/>
        <n v="14.29"/>
        <n v="12.5"/>
        <n v="5.36"/>
        <n v="31.03"/>
        <n v="17.239999999999998"/>
        <n v="3.45"/>
        <n v="6.9"/>
        <n v="21.66"/>
        <n v="10.6"/>
        <n v="10.14"/>
        <n v="5.53"/>
        <n v="0.46"/>
        <n v="4.1500000000000004"/>
        <n v="3.69"/>
        <n v="1.38"/>
        <n v="3.23"/>
        <n v="2.2999999999999998"/>
        <n v="0.92"/>
        <n v="1.84"/>
        <n v="29.87"/>
        <n v="15.2"/>
        <n v="9.6"/>
        <n v="10.130000000000001"/>
        <n v="6.67"/>
        <n v="3.2"/>
        <n v="2.4"/>
        <n v="0.8"/>
        <n v="1.33"/>
        <n v="1.07"/>
        <n v="2.13"/>
        <n v="0.53"/>
        <n v="14.41"/>
        <n v="16.22"/>
        <n v="5.41"/>
        <n v="7.21"/>
        <n v="10.81"/>
        <n v="4.5"/>
        <n v="8.11"/>
        <n v="2.7"/>
        <n v="3.6"/>
        <n v="12.24"/>
        <n v="2.04"/>
        <n v="9.18"/>
        <n v="6.12"/>
        <n v="10.199999999999999"/>
        <n v="8.16"/>
        <n v="1.02"/>
        <n v="3.06"/>
        <n v="32.39"/>
        <n v="11.74"/>
        <n v="9.39"/>
        <n v="7.51"/>
        <n v="5.16"/>
        <n v="2.35"/>
        <n v="3.29"/>
        <n v="29.45"/>
        <n v="14.11"/>
        <n v="9.82"/>
        <n v="8.59"/>
        <n v="7.98"/>
        <n v="4.91"/>
        <n v="0.61"/>
        <n v="3.07"/>
        <n v="1.23"/>
        <n v="15.08"/>
        <n v="13.97"/>
        <n v="14.53"/>
        <n v="4.28"/>
        <n v="6.52"/>
        <n v="7.08"/>
        <n v="6.89"/>
        <n v="4.47"/>
        <n v="2.0499999999999998"/>
        <n v="1.68"/>
        <n v="3.54"/>
        <n v="2.23"/>
        <n v="1.86"/>
        <n v="1.3"/>
        <n v="1.1200000000000001"/>
        <n v="0.37"/>
        <n v="23.6"/>
        <n v="17.600000000000001"/>
        <n v="8.4"/>
        <n v="8.8000000000000007"/>
        <n v="5.2"/>
        <n v="4.8"/>
        <n v="2"/>
        <n v="0.4"/>
        <n v="1.2"/>
        <n v="9.41"/>
        <n v="20.43"/>
        <n v="15.59"/>
        <n v="8.6"/>
        <n v="7.26"/>
        <n v="5.1100000000000003"/>
        <n v="4.84"/>
        <n v="2.96"/>
        <n v="1.08"/>
        <n v="2.69"/>
        <n v="2.15"/>
        <n v="16.27"/>
        <n v="12.3"/>
        <n v="7.94"/>
        <n v="3.97"/>
        <n v="8.33"/>
        <n v="6.75"/>
        <n v="4.76"/>
        <n v="3.17"/>
        <n v="4.37"/>
        <n v="1.59"/>
        <n v="2.78"/>
        <n v="2.38"/>
        <n v="1.19"/>
        <n v="8.0399999999999991"/>
        <n v="15.18"/>
        <n v="8.48"/>
        <n v="2.68"/>
        <n v="6.25"/>
        <n v="0.89"/>
        <n v="0.45"/>
        <n v="13.57"/>
        <n v="13.35"/>
        <n v="11.6"/>
        <n v="5.91"/>
        <n v="7.88"/>
        <n v="7.66"/>
        <n v="2.84"/>
        <n v="2.19"/>
        <n v="5.69"/>
        <n v="3.94"/>
        <n v="0.66"/>
        <n v="1.75"/>
        <n v="0.88"/>
        <n v="22.55"/>
        <n v="13.82"/>
        <n v="8"/>
        <n v="8.36"/>
        <n v="9.4499999999999993"/>
        <n v="0.73"/>
        <n v="4"/>
        <n v="3.27"/>
        <n v="5.09"/>
        <n v="3.64"/>
        <n v="2.1800000000000002"/>
        <n v="24.62"/>
        <n v="13.33"/>
        <n v="9.06"/>
        <n v="1.37"/>
        <n v="4.0999999999999996"/>
        <n v="2.74"/>
        <n v="3.42"/>
        <n v="3.25"/>
        <n v="1.71"/>
        <n v="2.56"/>
        <n v="1.54"/>
        <n v="0.68"/>
        <n v="24.53"/>
        <n v="20.75"/>
        <n v="13.21"/>
        <n v="5.66"/>
        <n v="3.77"/>
        <n v="1.89"/>
        <n v="34.92"/>
        <n v="24.6"/>
        <n v="16.670000000000002"/>
        <n v="5.56"/>
        <n v="6.35"/>
        <n v="30"/>
        <n v="3.33"/>
        <n v="10"/>
        <n v="33.33"/>
        <n v="22.22"/>
        <n v="11.11"/>
        <n v="56.67"/>
        <n v="28.57"/>
        <n v="21.43"/>
        <n v="7.14"/>
        <n v="30.3"/>
        <n v="27.27"/>
        <n v="3.03"/>
        <n v="9.09"/>
        <n v="6.06"/>
        <n v="25.71"/>
        <n v="20"/>
        <n v="5.71"/>
        <n v="17.36"/>
        <n v="16.399999999999999"/>
        <n v="10.93"/>
        <n v="9.65"/>
        <n v="9.32"/>
        <n v="4.82"/>
        <n v="2.89"/>
        <n v="1.93"/>
        <n v="0.32"/>
        <n v="0.96"/>
        <n v="15.93"/>
        <n v="9.44"/>
        <n v="2.36"/>
        <n v="10.62"/>
        <n v="6.78"/>
        <n v="11.5"/>
        <n v="5.01"/>
        <n v="1.47"/>
        <n v="4.13"/>
        <n v="0.59"/>
        <n v="1.18"/>
        <n v="0.28999999999999998"/>
        <n v="21.88"/>
        <n v="15.63"/>
        <n v="29.06"/>
        <n v="15.47"/>
        <n v="3.4"/>
        <n v="4.53"/>
        <n v="3.02"/>
        <n v="2.2599999999999998"/>
        <n v="21.9"/>
        <n v="16.190000000000001"/>
        <n v="0.95"/>
        <n v="1.9"/>
      </sharedItems>
    </cacheField>
    <cacheField name="総数（法人）" numFmtId="0" sqlType="4">
      <sharedItems containsSemiMixedTypes="0" containsString="0" containsNumber="1" containsInteger="1" minValue="0" maxValue="1571" count="104">
        <n v="451"/>
        <n v="1571"/>
        <n v="377"/>
        <n v="771"/>
        <n v="365"/>
        <n v="247"/>
        <n v="1124"/>
        <n v="348"/>
        <n v="223"/>
        <n v="646"/>
        <n v="480"/>
        <n v="287"/>
        <n v="436"/>
        <n v="97"/>
        <n v="176"/>
        <n v="61"/>
        <n v="563"/>
        <n v="518"/>
        <n v="185"/>
        <n v="234"/>
        <n v="181"/>
        <n v="610"/>
        <n v="121"/>
        <n v="218"/>
        <n v="86"/>
        <n v="132"/>
        <n v="117"/>
        <n v="137"/>
        <n v="213"/>
        <n v="143"/>
        <n v="25"/>
        <n v="183"/>
        <n v="157"/>
        <n v="112"/>
        <n v="37"/>
        <n v="133"/>
        <n v="134"/>
        <n v="73"/>
        <n v="118"/>
        <n v="110"/>
        <n v="17"/>
        <n v="29"/>
        <n v="119"/>
        <n v="42"/>
        <n v="10"/>
        <n v="24"/>
        <n v="21"/>
        <n v="64"/>
        <n v="51"/>
        <n v="20"/>
        <n v="33"/>
        <n v="16"/>
        <n v="36"/>
        <n v="1"/>
        <n v="7"/>
        <n v="41"/>
        <n v="30"/>
        <n v="9"/>
        <n v="14"/>
        <n v="28"/>
        <n v="45"/>
        <n v="38"/>
        <n v="22"/>
        <n v="63"/>
        <n v="15"/>
        <n v="19"/>
        <n v="11"/>
        <n v="8"/>
        <n v="3"/>
        <n v="142"/>
        <n v="35"/>
        <n v="23"/>
        <n v="62"/>
        <n v="85"/>
        <n v="58"/>
        <n v="54"/>
        <n v="55"/>
        <n v="6"/>
        <n v="59"/>
        <n v="56"/>
        <n v="34"/>
        <n v="40"/>
        <n v="4"/>
        <n v="12"/>
        <n v="13"/>
        <n v="18"/>
        <n v="26"/>
        <n v="2"/>
        <n v="141"/>
        <n v="69"/>
        <n v="31"/>
        <n v="27"/>
        <n v="77"/>
        <n v="76"/>
        <n v="57"/>
        <n v="43"/>
        <n v="39"/>
        <n v="53"/>
        <n v="5"/>
        <n v="52"/>
        <n v="46"/>
        <n v="92"/>
        <n v="32"/>
        <n v="0"/>
      </sharedItems>
    </cacheField>
    <cacheField name="構成比（法人）" numFmtId="0" sqlType="3">
      <sharedItems containsSemiMixedTypes="0" containsString="0" containsNumber="1" minValue="0" maxValue="50" count="322">
        <n v="3.5"/>
        <n v="12.21"/>
        <n v="2.93"/>
        <n v="5.99"/>
        <n v="2.84"/>
        <n v="1.92"/>
        <n v="8.73"/>
        <n v="2.7"/>
        <n v="1.73"/>
        <n v="5.0199999999999996"/>
        <n v="3.73"/>
        <n v="2.23"/>
        <n v="3.39"/>
        <n v="0.75"/>
        <n v="1.37"/>
        <n v="0.47"/>
        <n v="4.38"/>
        <n v="4.03"/>
        <n v="1.44"/>
        <n v="1.82"/>
        <n v="4.51"/>
        <n v="15.21"/>
        <n v="3.02"/>
        <n v="5.44"/>
        <n v="2.14"/>
        <n v="3.29"/>
        <n v="2.92"/>
        <n v="3.42"/>
        <n v="5.31"/>
        <n v="3.57"/>
        <n v="0.62"/>
        <n v="4.5599999999999996"/>
        <n v="3.92"/>
        <n v="2.79"/>
        <n v="0.92"/>
        <n v="3.32"/>
        <n v="3.34"/>
        <n v="2.94"/>
        <n v="2.74"/>
        <n v="2.2000000000000002"/>
        <n v="3.75"/>
        <n v="15.39"/>
        <n v="5.43"/>
        <n v="1.29"/>
        <n v="3.1"/>
        <n v="2.72"/>
        <n v="8.2799999999999994"/>
        <n v="6.6"/>
        <n v="2.59"/>
        <n v="4.2699999999999996"/>
        <n v="2.0699999999999998"/>
        <n v="4.66"/>
        <n v="0.13"/>
        <n v="0.91"/>
        <n v="5.3"/>
        <n v="3.88"/>
        <n v="1.1599999999999999"/>
        <n v="1.81"/>
        <n v="4.92"/>
        <n v="1.58"/>
        <n v="2.99"/>
        <n v="7.91"/>
        <n v="6.68"/>
        <n v="3.87"/>
        <n v="11.07"/>
        <n v="2.64"/>
        <n v="3.69"/>
        <n v="1.76"/>
        <n v="1.93"/>
        <n v="1.41"/>
        <n v="0.53"/>
        <n v="11.85"/>
        <n v="2.75"/>
        <n v="5.18"/>
        <n v="7.1"/>
        <n v="2"/>
        <n v="4.84"/>
        <n v="3.09"/>
        <n v="4.59"/>
        <n v="0.5"/>
        <n v="1.42"/>
        <n v="4.67"/>
        <n v="3.17"/>
        <n v="0.57999999999999996"/>
        <n v="4.2"/>
        <n v="3.7"/>
        <n v="8.4"/>
        <n v="2.4700000000000002"/>
        <n v="8.89"/>
        <n v="9.8800000000000008"/>
        <n v="0.99"/>
        <n v="5.19"/>
        <n v="2.2200000000000002"/>
        <n v="0.74"/>
        <n v="6.17"/>
        <n v="0.25"/>
        <n v="4.6900000000000004"/>
        <n v="1.98"/>
        <n v="2.96"/>
        <n v="2.57"/>
        <n v="2.78"/>
        <n v="11.56"/>
        <n v="3.21"/>
        <n v="0.86"/>
        <n v="13.7"/>
        <n v="0.64"/>
        <n v="4.71"/>
        <n v="3.85"/>
        <n v="5.57"/>
        <n v="0.43"/>
        <n v="4.5"/>
        <n v="2.36"/>
        <n v="3.43"/>
        <n v="1.28"/>
        <n v="14.31"/>
        <n v="7.01"/>
        <n v="3.15"/>
        <n v="3.45"/>
        <n v="1.1200000000000001"/>
        <n v="7.82"/>
        <n v="7.72"/>
        <n v="1.02"/>
        <n v="5.79"/>
        <n v="4.37"/>
        <n v="3.96"/>
        <n v="3.05"/>
        <n v="1.22"/>
        <n v="2.34"/>
        <n v="3"/>
        <n v="14.14"/>
        <n v="8.82"/>
        <n v="1.66"/>
        <n v="9.48"/>
        <n v="3.33"/>
        <n v="4.49"/>
        <n v="2.16"/>
        <n v="2.5"/>
        <n v="4.83"/>
        <n v="0.67"/>
        <n v="3.83"/>
        <n v="0.33"/>
        <n v="3.99"/>
        <n v="2.33"/>
        <n v="1.83"/>
        <n v="1.1399999999999999"/>
        <n v="6.54"/>
        <n v="4.08"/>
        <n v="4.74"/>
        <n v="3.27"/>
        <n v="1.8"/>
        <n v="5.88"/>
        <n v="2.4500000000000002"/>
        <n v="0.82"/>
        <n v="8.5"/>
        <n v="7.52"/>
        <n v="3.59"/>
        <n v="0.65"/>
        <n v="0.98"/>
        <n v="2.12"/>
        <n v="3.35"/>
        <n v="1.18"/>
        <n v="2.76"/>
        <n v="18.11"/>
        <n v="1.77"/>
        <n v="6.3"/>
        <n v="3.74"/>
        <n v="2.56"/>
        <n v="0.59"/>
        <n v="3.94"/>
        <n v="0.39"/>
        <n v="2.17"/>
        <n v="4.53"/>
        <n v="3.2"/>
        <n v="3.56"/>
        <n v="13.88"/>
        <n v="7.83"/>
        <n v="13.17"/>
        <n v="1.78"/>
        <n v="3.91"/>
        <n v="0.36"/>
        <n v="2.4900000000000002"/>
        <n v="0"/>
        <n v="0.71"/>
        <n v="1.07"/>
        <n v="11.54"/>
        <n v="15.38"/>
        <n v="7.69"/>
        <n v="4.3499999999999996"/>
        <n v="26.09"/>
        <n v="13.04"/>
        <n v="8.6999999999999993"/>
        <n v="23.08"/>
        <n v="6.67"/>
        <n v="21.67"/>
        <n v="1.67"/>
        <n v="5"/>
        <n v="18.329999999999998"/>
        <n v="14.44"/>
        <n v="7.78"/>
        <n v="5.56"/>
        <n v="12.22"/>
        <n v="4.4400000000000004"/>
        <n v="1.1100000000000001"/>
        <n v="9.41"/>
        <n v="14.12"/>
        <n v="8.24"/>
        <n v="3.53"/>
        <n v="16.47"/>
        <n v="2.35"/>
        <n v="7.06"/>
        <n v="5.13"/>
        <n v="10.26"/>
        <n v="1.3"/>
        <n v="9.09"/>
        <n v="7.79"/>
        <n v="3.9"/>
        <n v="15.58"/>
        <n v="11.69"/>
        <n v="2.6"/>
        <n v="5.41"/>
        <n v="10.81"/>
        <n v="24.32"/>
        <n v="8.11"/>
        <n v="3.82"/>
        <n v="14.65"/>
        <n v="6.37"/>
        <n v="2.5499999999999998"/>
        <n v="3.18"/>
        <n v="10.19"/>
        <n v="10.83"/>
        <n v="1.91"/>
        <n v="8.92"/>
        <n v="1.27"/>
        <n v="4.17"/>
        <n v="2.08"/>
        <n v="6.25"/>
        <n v="5.21"/>
        <n v="11.46"/>
        <n v="13.54"/>
        <n v="7.29"/>
        <n v="1.04"/>
        <n v="18.239999999999998"/>
        <n v="4.8899999999999997"/>
        <n v="10.42"/>
        <n v="8.14"/>
        <n v="1.95"/>
        <n v="6.51"/>
        <n v="2.2799999999999998"/>
        <n v="3.58"/>
        <n v="4.2300000000000004"/>
        <n v="3.26"/>
        <n v="2.61"/>
        <n v="3.6"/>
        <n v="5.76"/>
        <n v="12.23"/>
        <n v="15.83"/>
        <n v="15.11"/>
        <n v="0.72"/>
        <n v="5.04"/>
        <n v="6.47"/>
        <n v="16.940000000000001"/>
        <n v="6.45"/>
        <n v="12.1"/>
        <n v="0.81"/>
        <n v="1.61"/>
        <n v="2.42"/>
        <n v="3.23"/>
        <n v="2.1"/>
        <n v="0.35"/>
        <n v="8.0399999999999991"/>
        <n v="4.55"/>
        <n v="6.99"/>
        <n v="8.74"/>
        <n v="1.4"/>
        <n v="0.7"/>
        <n v="9.35"/>
        <n v="10.79"/>
        <n v="2.88"/>
        <n v="7.19"/>
        <n v="4.32"/>
        <n v="16.829999999999998"/>
        <n v="4.62"/>
        <n v="2.31"/>
        <n v="1.65"/>
        <n v="11.55"/>
        <n v="3.63"/>
        <n v="7.59"/>
        <n v="1.32"/>
        <n v="4.29"/>
        <n v="2.97"/>
        <n v="16.670000000000002"/>
        <n v="8.33"/>
        <n v="36.840000000000003"/>
        <n v="21.05"/>
        <n v="5.26"/>
        <n v="10.53"/>
        <n v="50"/>
        <n v="25"/>
        <n v="20"/>
        <n v="17.649999999999999"/>
        <n v="26.67"/>
        <n v="13.33"/>
        <n v="1.54"/>
        <n v="3.08"/>
        <n v="9.23"/>
        <n v="13.85"/>
        <n v="5.59"/>
        <n v="18.440000000000001"/>
        <n v="9.5"/>
        <n v="0.56000000000000005"/>
        <n v="6.15"/>
        <n v="1.68"/>
        <n v="5.03"/>
        <n v="11.76"/>
        <n v="23.53"/>
        <n v="5.63"/>
        <n v="2.82"/>
        <n v="12.68"/>
        <n v="9.86"/>
        <n v="7.04"/>
        <n v="10.71"/>
        <n v="7.14"/>
      </sharedItems>
    </cacheField>
    <cacheField name="総数（法人以外の団体）" numFmtId="0" sqlType="4">
      <sharedItems containsSemiMixedTypes="0" containsString="0" containsNumber="1" containsInteger="1" minValue="0" maxValue="40" count="13">
        <n v="4"/>
        <n v="5"/>
        <n v="0"/>
        <n v="2"/>
        <n v="13"/>
        <n v="40"/>
        <n v="1"/>
        <n v="3"/>
        <n v="20"/>
        <n v="8"/>
        <n v="10"/>
        <n v="6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71217361111" createdVersion="5" refreshedVersion="8" minRefreshableVersion="3" recordCount="1015" xr:uid="{8A8CA7B2-6FD2-40E2-B92F-3A2D0B057A57}">
  <cacheSource type="external" connectionId="3"/>
  <cacheFields count="14">
    <cacheField name="都道府県" numFmtId="0" sqlType="-9">
      <sharedItems count="1">
        <s v="47 沖縄県"/>
      </sharedItems>
    </cacheField>
    <cacheField name="自治体名" numFmtId="0" sqlType="-9">
      <sharedItems count="42">
        <s v="沖縄県"/>
        <s v="那覇市"/>
        <s v="宜野湾市"/>
        <s v="石垣市"/>
        <s v="浦添市"/>
        <s v="名護市"/>
        <s v="糸満市"/>
        <s v="沖縄市"/>
        <s v="豊見城市"/>
        <s v="うるま市"/>
        <s v="宮古島市"/>
        <s v="南城市"/>
        <s v="国頭郡国頭村"/>
        <s v="国頭郡大宜味村"/>
        <s v="国頭郡東村"/>
        <s v="国頭郡今帰仁村"/>
        <s v="国頭郡本部町"/>
        <s v="国頭郡恩納村"/>
        <s v="国頭郡宜野座村"/>
        <s v="国頭郡金武町"/>
        <s v="国頭郡伊江村"/>
        <s v="中頭郡読谷村"/>
        <s v="中頭郡嘉手納町"/>
        <s v="中頭郡北谷町"/>
        <s v="中頭郡北中城村"/>
        <s v="中頭郡中城村"/>
        <s v="中頭郡西原町"/>
        <s v="島尻郡与那原町"/>
        <s v="島尻郡南風原町"/>
        <s v="島尻郡渡嘉敷村"/>
        <s v="島尻郡座間味村"/>
        <s v="島尻郡粟国村"/>
        <s v="島尻郡渡名喜村"/>
        <s v="島尻郡南大東村"/>
        <s v="島尻郡北大東村"/>
        <s v="島尻郡伊平屋村"/>
        <s v="島尻郡伊是名村"/>
        <s v="島尻郡久米島町"/>
        <s v="島尻郡八重瀬町"/>
        <s v="宮古郡多良間村"/>
        <s v="八重山郡竹富町"/>
        <s v="八重山郡与那国町"/>
      </sharedItems>
    </cacheField>
    <cacheField name="自治体" numFmtId="0" sqlType="-9">
      <sharedItems count="42">
        <s v="47000 沖縄県"/>
        <s v="47201 那覇市"/>
        <s v="47205 宜野湾市"/>
        <s v="47207 石垣市"/>
        <s v="47208 浦添市"/>
        <s v="47209 名護市"/>
        <s v="47210 糸満市"/>
        <s v="47211 沖縄市"/>
        <s v="47212 豊見城市"/>
        <s v="47213 うるま市"/>
        <s v="47214 宮古島市"/>
        <s v="47215 南城市"/>
        <s v="47301 国頭郡国頭村"/>
        <s v="47302 国頭郡大宜味村"/>
        <s v="47303 国頭郡東村"/>
        <s v="47306 国頭郡今帰仁村"/>
        <s v="47308 国頭郡本部町"/>
        <s v="47311 国頭郡恩納村"/>
        <s v="47313 国頭郡宜野座村"/>
        <s v="47314 国頭郡金武町"/>
        <s v="47315 国頭郡伊江村"/>
        <s v="47324 中頭郡読谷村"/>
        <s v="47325 中頭郡嘉手納町"/>
        <s v="47326 中頭郡北谷町"/>
        <s v="47327 中頭郡北中城村"/>
        <s v="47328 中頭郡中城村"/>
        <s v="47329 中頭郡西原町"/>
        <s v="47348 島尻郡与那原町"/>
        <s v="47350 島尻郡南風原町"/>
        <s v="47353 島尻郡渡嘉敷村"/>
        <s v="47354 島尻郡座間味村"/>
        <s v="47355 島尻郡粟国村"/>
        <s v="47356 島尻郡渡名喜村"/>
        <s v="47357 島尻郡南大東村"/>
        <s v="47358 島尻郡北大東村"/>
        <s v="47359 島尻郡伊平屋村"/>
        <s v="47360 島尻郡伊是名村"/>
        <s v="47361 島尻郡久米島町"/>
        <s v="47362 島尻郡八重瀬町"/>
        <s v="47375 宮古郡多良間村"/>
        <s v="47381 八重山郡竹富町"/>
        <s v="47382 八重山郡与那国町"/>
      </sharedItems>
    </cacheField>
    <cacheField name="産業分類コード" numFmtId="0" sqlType="-8">
      <sharedItems count="135">
        <s v="692"/>
        <s v="766"/>
        <s v="783"/>
        <s v="765"/>
        <s v="824"/>
        <s v="589"/>
        <s v="762"/>
        <s v="782"/>
        <s v="891"/>
        <s v="609"/>
        <s v="591"/>
        <s v="742"/>
        <s v="062"/>
        <s v="835"/>
        <s v="767"/>
        <s v="751"/>
        <s v="823"/>
        <s v="789"/>
        <s v="603"/>
        <s v="691"/>
        <s v="682"/>
        <s v="573"/>
        <s v="579"/>
        <s v="586"/>
        <s v="081"/>
        <s v="083"/>
        <s v="809"/>
        <s v="761"/>
        <s v="752"/>
        <s v="064"/>
        <s v="853"/>
        <s v="606"/>
        <s v="607"/>
        <s v="441"/>
        <s v="581"/>
        <s v="432"/>
        <s v="585"/>
        <s v="602"/>
        <s v="605"/>
        <s v="769"/>
        <s v="214"/>
        <s v="821"/>
        <s v="951"/>
        <s v="522"/>
        <s v="854"/>
        <s v="066"/>
        <s v="097"/>
        <s v="101"/>
        <s v="102"/>
        <s v="106"/>
        <s v="112"/>
        <s v="129"/>
        <s v="166"/>
        <s v="360"/>
        <s v="361"/>
        <s v="582"/>
        <s v="593"/>
        <s v="601"/>
        <s v="722"/>
        <s v="727"/>
        <s v="749"/>
        <s v="772"/>
        <s v="791"/>
        <s v="855"/>
        <s v="094"/>
        <s v="063"/>
        <s v="072"/>
        <s v="118"/>
        <s v="164"/>
        <s v="559"/>
        <s v="729"/>
        <s v="759"/>
        <s v="799"/>
        <s v="804"/>
        <s v="833"/>
        <s v="061"/>
        <s v="099"/>
        <s v="584"/>
        <s v="763"/>
        <s v="244"/>
        <s v="521"/>
        <s v="881"/>
        <s v="929"/>
        <s v="611"/>
        <s v="771"/>
        <s v="764"/>
        <s v="119"/>
        <s v="151"/>
        <s v="572"/>
        <s v="077"/>
        <s v="079"/>
        <s v="694"/>
        <s v="704"/>
        <s v="212"/>
        <s v="415"/>
        <s v="489"/>
        <s v="726"/>
        <s v="731"/>
        <s v="805"/>
        <s v="922"/>
        <s v="705"/>
        <s v="443"/>
        <s v="071"/>
        <s v="078"/>
        <s v="485"/>
        <s v="553"/>
        <s v="753"/>
        <s v="859"/>
        <s v="095"/>
        <s v="331"/>
        <s v="491"/>
        <s v="452"/>
        <s v="471"/>
        <s v="092"/>
        <s v="533"/>
        <s v="604"/>
        <s v="612"/>
        <s v="702"/>
        <s v="711"/>
        <s v="806"/>
        <s v="822"/>
        <s v="882"/>
        <s v="104"/>
        <s v="162"/>
        <s v="481"/>
        <s v="531"/>
        <s v="795"/>
        <s v="901"/>
        <s v="541"/>
        <s v="082"/>
        <s v="091"/>
        <s v="093"/>
        <s v="174"/>
        <s v="583"/>
        <s v="592"/>
      </sharedItems>
    </cacheField>
    <cacheField name="産業分類" numFmtId="0" sqlType="-9">
      <sharedItems count="135">
        <s v="貸家業，貸間業"/>
        <s v="バー，キャバレー，ナイトクラブ"/>
        <s v="美容業"/>
        <s v="酒場，ビヤホール"/>
        <s v="教養・技能教授業"/>
        <s v="その他の飲食料品小売業"/>
        <s v="専門料理店"/>
        <s v="理容業"/>
        <s v="自動車整備業"/>
        <s v="他に分類されない小売業"/>
        <s v="自動車小売業"/>
        <s v="土木建築サービス業"/>
        <s v="土木工事業（舗装工事業を除く）"/>
        <s v="療術業"/>
        <s v="喫茶店"/>
        <s v="旅館，ホテル"/>
        <s v="学習塾"/>
        <s v="その他の洗濯・理容・美容・浴場業"/>
        <s v="医薬品・化粧品小売業"/>
        <s v="不動産賃貸業（貸家業，貸間業を除く）"/>
        <s v="不動産代理業・仲介業"/>
        <s v="婦人・子供服小売業"/>
        <s v="その他の織物・衣服・身の回り品小売業"/>
        <s v="菓子・パン小売業"/>
        <s v="電気工事業"/>
        <s v="管工事業（さく井工事業を除く）"/>
        <s v="その他の娯楽業"/>
        <s v="食堂，レストラン（専門料理店を除く）"/>
        <s v="簡易宿所"/>
        <s v="建築工事業（木造建築工事業を除く）"/>
        <s v="児童福祉事業"/>
        <s v="書籍・文房具小売業"/>
        <s v="スポーツ用品・がん具・娯楽用品・楽器小売業"/>
        <s v="一般貨物自動車運送業"/>
        <s v="各種食料品小売業"/>
        <s v="一般乗用旅客自動車運送業"/>
        <s v="酒小売業"/>
        <s v="じゅう器小売業"/>
        <s v="燃料小売業"/>
        <s v="その他の飲食店"/>
        <s v="陶磁器・同関連製品製造業"/>
        <s v="社会教育"/>
        <s v="集会場"/>
        <s v="食料・飲料卸売業"/>
        <s v="老人福祉・介護事業"/>
        <s v="建築リフォーム工事業"/>
        <s v="パン・菓子製造業"/>
        <s v="清涼飲料製造業"/>
        <s v="酒類製造業"/>
        <s v="飼料・有機質肥料製造業"/>
        <s v="織物業"/>
        <s v="その他の木製品製造業（竹，とうを含む）"/>
        <s v="化粧品・歯磨・その他の化粧用調整品製造業"/>
        <s v="管理，補助的経済活動を行う事業所"/>
        <s v="上水道業"/>
        <s v="野菜・果実小売業"/>
        <s v="機械器具小売業（自動車，自転車を除く）"/>
        <s v="家具・建具・畳小売業"/>
        <s v="公証人役場，司法書士事務所，土地家屋調査士事務所"/>
        <s v="著述・芸術家業"/>
        <s v="その他の技術サービス業"/>
        <s v="配達飲食サービス業"/>
        <s v="旅行業"/>
        <s v="障害者福祉事業"/>
        <s v="調味料製造業"/>
        <s v="舗装工事業"/>
        <s v="とび・土工・コンクリート工事業"/>
        <s v="和装製品・その他の衣服・繊維製身の回り品製造業"/>
        <s v="油脂加工製品・石けん・合成洗剤・界面活性剤・塗料製造業"/>
        <s v="他に分類されない卸売業"/>
        <s v="その他の専門サービス業"/>
        <s v="その他の宿泊業"/>
        <s v="他に分類されない生活関連サービス業"/>
        <s v="スポーツ施設提供業"/>
        <s v="歯科診療所"/>
        <s v="一般土木建築工事業"/>
        <s v="その他の食料品製造業"/>
        <s v="鮮魚小売業"/>
        <s v="そば・うどん店"/>
        <s v="建設用・建築用金属製品製造業（製缶板金業を含む）"/>
        <s v="農畜産物・水産物卸売業"/>
        <s v="一般廃棄物処理業"/>
        <s v="他に分類されない事業サービス業"/>
        <s v="通信販売・訪問販売小売業"/>
        <s v="持ち帰り飲食サービス業"/>
        <s v="すし店"/>
        <s v="その他の繊維製品製造業"/>
        <s v="印刷業"/>
        <s v="男子服小売業"/>
        <s v="塗装工事業"/>
        <s v="その他の職別工事業"/>
        <s v="不動産管理業"/>
        <s v="自動車賃貸業"/>
        <s v="セメント・同製品製造業"/>
        <s v="広告制作業"/>
        <s v="その他の運輸に附帯するサービス業"/>
        <s v="デザイン業"/>
        <s v="広告業"/>
        <s v="公園，遊園地"/>
        <s v="建物サービス業"/>
        <s v="スポーツ・娯楽用品賃貸業"/>
        <s v="貨物軽自動車運送業"/>
        <s v="大工工事業"/>
        <s v="床・内装工事業"/>
        <s v="運輸施設提供業"/>
        <s v="紙・紙製品卸売業"/>
        <s v="下宿業"/>
        <s v="その他の社会保険・社会福祉・介護事業"/>
        <s v="糖類製造業"/>
        <s v="電気業"/>
        <s v="郵便業（信書便事業を含む）"/>
        <s v="沿海海運業"/>
        <s v="倉庫業（冷蔵倉庫業を除く）"/>
        <s v="水産食料品製造業"/>
        <s v="石油・鉱物卸売業"/>
        <s v="農耕用品小売業"/>
        <s v="自動販売機による小売業"/>
        <s v="産業用機械器具賃貸業"/>
        <s v="自然科学研究所"/>
        <s v="遊戯場"/>
        <s v="職業・教育支援施設"/>
        <s v="産業廃棄物処理業"/>
        <s v="製氷業"/>
        <s v="無機化学工業製品製造業"/>
        <s v="港湾運送業"/>
        <s v="建築材料卸売業"/>
        <s v="火葬・墓地管理業"/>
        <s v="機械修理業（電気機械器具を除く）"/>
        <s v="産業機械器具卸売業"/>
        <s v="電気通信・信号装置工事業"/>
        <s v="畜産食料品製造業"/>
        <s v="野菜缶詰・果実缶詰・農産保存食料品製造業"/>
        <s v="舗装材料製造業"/>
        <s v="食肉小売業"/>
        <s v="自転車小売業"/>
      </sharedItems>
    </cacheField>
    <cacheField name="産業小分類" numFmtId="0" sqlType="-9">
      <sharedItems count="135">
        <s v="692 貸家業，貸間業"/>
        <s v="766 バー，キャバレー，ナイトクラブ"/>
        <s v="783 美容業"/>
        <s v="765 酒場，ビヤホール"/>
        <s v="824 教養・技能教授業"/>
        <s v="589 その他の飲食料品小売業"/>
        <s v="762 専門料理店"/>
        <s v="782 理容業"/>
        <s v="891 自動車整備業"/>
        <s v="609 他に分類されない小売業"/>
        <s v="591 自動車小売業"/>
        <s v="742 土木建築サービス業"/>
        <s v="062 土木工事業（舗装工事業を除く）"/>
        <s v="835 療術業"/>
        <s v="767 喫茶店"/>
        <s v="751 旅館，ホテル"/>
        <s v="823 学習塾"/>
        <s v="789 その他の洗濯・理容・美容・浴場業"/>
        <s v="603 医薬品・化粧品小売業"/>
        <s v="691 不動産賃貸業（貸家業，貸間業を除く）"/>
        <s v="682 不動産代理業・仲介業"/>
        <s v="573 婦人・子供服小売業"/>
        <s v="579 その他の織物・衣服・身の回り品小売業"/>
        <s v="586 菓子・パン小売業"/>
        <s v="081 電気工事業"/>
        <s v="083 管工事業（さく井工事業を除く）"/>
        <s v="809 その他の娯楽業"/>
        <s v="761 食堂，レストラン（専門料理店を除く）"/>
        <s v="752 簡易宿所"/>
        <s v="064 建築工事業（木造建築工事業を除く）"/>
        <s v="853 児童福祉事業"/>
        <s v="606 書籍・文房具小売業"/>
        <s v="607 スポーツ用品・がん具・娯楽用品・楽器小売業"/>
        <s v="441 一般貨物自動車運送業"/>
        <s v="581 各種食料品小売業"/>
        <s v="432 一般乗用旅客自動車運送業"/>
        <s v="585 酒小売業"/>
        <s v="602 じゅう器小売業"/>
        <s v="605 燃料小売業"/>
        <s v="769 その他の飲食店"/>
        <s v="214 陶磁器・同関連製品製造業"/>
        <s v="821 社会教育"/>
        <s v="951 集会場"/>
        <s v="522 食料・飲料卸売業"/>
        <s v="854 老人福祉・介護事業"/>
        <s v="066 建築リフォーム工事業"/>
        <s v="097 パン・菓子製造業"/>
        <s v="101 清涼飲料製造業"/>
        <s v="102 酒類製造業"/>
        <s v="106 飼料・有機質肥料製造業"/>
        <s v="112 織物業"/>
        <s v="129 その他の木製品製造業（竹，とうを含む）"/>
        <s v="166 化粧品・歯磨・その他の化粧用調整品製造業"/>
        <s v="360 管理，補助的経済活動を行う事業所"/>
        <s v="361 上水道業"/>
        <s v="582 野菜・果実小売業"/>
        <s v="593 機械器具小売業（自動車，自転車を除く）"/>
        <s v="601 家具・建具・畳小売業"/>
        <s v="722 公証人役場，司法書士事務所，土地家屋調査士事務所"/>
        <s v="727 著述・芸術家業"/>
        <s v="749 その他の技術サービス業"/>
        <s v="772 配達飲食サービス業"/>
        <s v="791 旅行業"/>
        <s v="855 障害者福祉事業"/>
        <s v="094 調味料製造業"/>
        <s v="063 舗装工事業"/>
        <s v="072 とび・土工・コンクリート工事業"/>
        <s v="118 和装製品・その他の衣服・繊維製身の回り品製造業"/>
        <s v="164 油脂加工製品・石けん・合成洗剤・界面活性剤・塗料製造業"/>
        <s v="559 他に分類されない卸売業"/>
        <s v="729 その他の専門サービス業"/>
        <s v="759 その他の宿泊業"/>
        <s v="799 他に分類されない生活関連サービス業"/>
        <s v="804 スポーツ施設提供業"/>
        <s v="833 歯科診療所"/>
        <s v="061 一般土木建築工事業"/>
        <s v="099 その他の食料品製造業"/>
        <s v="584 鮮魚小売業"/>
        <s v="763 そば・うどん店"/>
        <s v="244 建設用・建築用金属製品製造業（製缶板金業を含む）"/>
        <s v="521 農畜産物・水産物卸売業"/>
        <s v="881 一般廃棄物処理業"/>
        <s v="929 他に分類されない事業サービス業"/>
        <s v="611 通信販売・訪問販売小売業"/>
        <s v="771 持ち帰り飲食サービス業"/>
        <s v="764 すし店"/>
        <s v="119 その他の繊維製品製造業"/>
        <s v="151 印刷業"/>
        <s v="572 男子服小売業"/>
        <s v="077 塗装工事業"/>
        <s v="079 その他の職別工事業"/>
        <s v="694 不動産管理業"/>
        <s v="704 自動車賃貸業"/>
        <s v="212 セメント・同製品製造業"/>
        <s v="415 広告制作業"/>
        <s v="489 その他の運輸に附帯するサービス業"/>
        <s v="726 デザイン業"/>
        <s v="731 広告業"/>
        <s v="805 公園，遊園地"/>
        <s v="922 建物サービス業"/>
        <s v="705 スポーツ・娯楽用品賃貸業"/>
        <s v="443 貨物軽自動車運送業"/>
        <s v="071 大工工事業"/>
        <s v="078 床・内装工事業"/>
        <s v="485 運輸施設提供業"/>
        <s v="553 紙・紙製品卸売業"/>
        <s v="753 下宿業"/>
        <s v="859 その他の社会保険・社会福祉・介護事業"/>
        <s v="095 糖類製造業"/>
        <s v="331 電気業"/>
        <s v="491 郵便業（信書便事業を含む）"/>
        <s v="452 沿海海運業"/>
        <s v="471 倉庫業（冷蔵倉庫業を除く）"/>
        <s v="092 水産食料品製造業"/>
        <s v="533 石油・鉱物卸売業"/>
        <s v="604 農耕用品小売業"/>
        <s v="612 自動販売機による小売業"/>
        <s v="702 産業用機械器具賃貸業"/>
        <s v="711 自然科学研究所"/>
        <s v="806 遊戯場"/>
        <s v="822 職業・教育支援施設"/>
        <s v="882 産業廃棄物処理業"/>
        <s v="104 製氷業"/>
        <s v="162 無機化学工業製品製造業"/>
        <s v="481 港湾運送業"/>
        <s v="531 建築材料卸売業"/>
        <s v="795 火葬・墓地管理業"/>
        <s v="901 機械修理業（電気機械器具を除く）"/>
        <s v="541 産業機械器具卸売業"/>
        <s v="082 電気通信・信号装置工事業"/>
        <s v="091 畜産食料品製造業"/>
        <s v="093 野菜缶詰・果実缶詰・農産保存食料品製造業"/>
        <s v="174 舗装材料製造業"/>
        <s v="583 食肉小売業"/>
        <s v="592 自転車小売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8"/>
        <n v="9"/>
        <n v="10"/>
        <n v="11"/>
        <n v="12"/>
        <n v="13"/>
        <n v="14"/>
        <n v="15"/>
        <n v="16"/>
        <n v="17"/>
        <n v="18"/>
        <n v="19"/>
        <n v="7"/>
        <n v="20"/>
      </sharedItems>
    </cacheField>
    <cacheField name="総数" numFmtId="0" sqlType="4">
      <sharedItems containsSemiMixedTypes="0" containsString="0" containsNumber="1" containsInteger="1" minValue="1" maxValue="2981" count="139">
        <n v="2981"/>
        <n v="2079"/>
        <n v="1903"/>
        <n v="1628"/>
        <n v="1293"/>
        <n v="912"/>
        <n v="902"/>
        <n v="723"/>
        <n v="692"/>
        <n v="642"/>
        <n v="619"/>
        <n v="583"/>
        <n v="566"/>
        <n v="553"/>
        <n v="551"/>
        <n v="536"/>
        <n v="507"/>
        <n v="496"/>
        <n v="964"/>
        <n v="674"/>
        <n v="584"/>
        <n v="461"/>
        <n v="334"/>
        <n v="298"/>
        <n v="223"/>
        <n v="210"/>
        <n v="201"/>
        <n v="197"/>
        <n v="178"/>
        <n v="169"/>
        <n v="166"/>
        <n v="160"/>
        <n v="145"/>
        <n v="144"/>
        <n v="130"/>
        <n v="128"/>
        <n v="125"/>
        <n v="142"/>
        <n v="131"/>
        <n v="117"/>
        <n v="96"/>
        <n v="94"/>
        <n v="79"/>
        <n v="58"/>
        <n v="57"/>
        <n v="52"/>
        <n v="42"/>
        <n v="41"/>
        <n v="40"/>
        <n v="38"/>
        <n v="36"/>
        <n v="35"/>
        <n v="27"/>
        <n v="26"/>
        <n v="90"/>
        <n v="84"/>
        <n v="78"/>
        <n v="71"/>
        <n v="70"/>
        <n v="59"/>
        <n v="48"/>
        <n v="39"/>
        <n v="34"/>
        <n v="31"/>
        <n v="30"/>
        <n v="29"/>
        <n v="422"/>
        <n v="195"/>
        <n v="138"/>
        <n v="126"/>
        <n v="103"/>
        <n v="65"/>
        <n v="61"/>
        <n v="60"/>
        <n v="56"/>
        <n v="49"/>
        <n v="43"/>
        <n v="111"/>
        <n v="106"/>
        <n v="51"/>
        <n v="45"/>
        <n v="37"/>
        <n v="25"/>
        <n v="23"/>
        <n v="21"/>
        <n v="19"/>
        <n v="67"/>
        <n v="33"/>
        <n v="22"/>
        <n v="20"/>
        <n v="240"/>
        <n v="182"/>
        <n v="171"/>
        <n v="124"/>
        <n v="121"/>
        <n v="81"/>
        <n v="80"/>
        <n v="76"/>
        <n v="64"/>
        <n v="47"/>
        <n v="46"/>
        <n v="44"/>
        <n v="66"/>
        <n v="63"/>
        <n v="24"/>
        <n v="18"/>
        <n v="17"/>
        <n v="316"/>
        <n v="187"/>
        <n v="149"/>
        <n v="104"/>
        <n v="82"/>
        <n v="54"/>
        <n v="32"/>
        <n v="86"/>
        <n v="75"/>
        <n v="74"/>
        <n v="62"/>
        <n v="28"/>
        <n v="53"/>
        <n v="16"/>
        <n v="15"/>
        <n v="14"/>
        <n v="10"/>
        <n v="9"/>
        <n v="8"/>
        <n v="7"/>
        <n v="6"/>
        <n v="5"/>
        <n v="4"/>
        <n v="3"/>
        <n v="12"/>
        <n v="2"/>
        <n v="1"/>
        <n v="11"/>
        <n v="13"/>
        <n v="73"/>
        <n v="157"/>
        <n v="50"/>
      </sharedItems>
    </cacheField>
    <cacheField name="構成比" numFmtId="0" sqlType="3">
      <sharedItems containsSemiMixedTypes="0" containsString="0" containsNumber="1" minValue="0.67" maxValue="26" count="305">
        <n v="7.8"/>
        <n v="5.44"/>
        <n v="4.9800000000000004"/>
        <n v="4.26"/>
        <n v="3.38"/>
        <n v="2.38"/>
        <n v="2.36"/>
        <n v="1.89"/>
        <n v="1.81"/>
        <n v="1.68"/>
        <n v="1.62"/>
        <n v="1.52"/>
        <n v="1.48"/>
        <n v="1.45"/>
        <n v="1.44"/>
        <n v="1.4"/>
        <n v="1.33"/>
        <n v="1.3"/>
        <n v="9.61"/>
        <n v="6.72"/>
        <n v="5.82"/>
        <n v="4.5999999999999996"/>
        <n v="3.33"/>
        <n v="2.97"/>
        <n v="2.2200000000000002"/>
        <n v="2.09"/>
        <n v="2"/>
        <n v="1.96"/>
        <n v="1.77"/>
        <n v="1.65"/>
        <n v="1.59"/>
        <n v="1.28"/>
        <n v="1.25"/>
        <n v="6.53"/>
        <n v="6.03"/>
        <n v="5.38"/>
        <n v="4.42"/>
        <n v="4.32"/>
        <n v="3.63"/>
        <n v="2.67"/>
        <n v="2.62"/>
        <n v="2.39"/>
        <n v="1.93"/>
        <n v="1.84"/>
        <n v="1.75"/>
        <n v="1.66"/>
        <n v="1.61"/>
        <n v="1.24"/>
        <n v="1.2"/>
        <n v="4.93"/>
        <n v="4.72"/>
        <n v="4.41"/>
        <n v="4.09"/>
        <n v="3.73"/>
        <n v="3.67"/>
        <n v="3.1"/>
        <n v="2.52"/>
        <n v="2.0499999999999998"/>
        <n v="1.78"/>
        <n v="1.63"/>
        <n v="1.57"/>
        <n v="13.81"/>
        <n v="6.38"/>
        <n v="4.5199999999999996"/>
        <n v="4.12"/>
        <n v="3.37"/>
        <n v="2.3199999999999998"/>
        <n v="2.13"/>
        <n v="1.83"/>
        <n v="1.6"/>
        <n v="1.41"/>
        <n v="1.37"/>
        <n v="1.31"/>
        <n v="7.46"/>
        <n v="7.12"/>
        <n v="3.97"/>
        <n v="3.49"/>
        <n v="3.43"/>
        <n v="3.23"/>
        <n v="3.02"/>
        <n v="2.4900000000000002"/>
        <n v="2.35"/>
        <n v="2.02"/>
        <n v="1.55"/>
        <n v="6.11"/>
        <n v="5.36"/>
        <n v="4.55"/>
        <n v="4.07"/>
        <n v="3.53"/>
        <n v="2.92"/>
        <n v="2.65"/>
        <n v="2.2400000000000002"/>
        <n v="2.04"/>
        <n v="1.7"/>
        <n v="1.49"/>
        <n v="1.43"/>
        <n v="1.36"/>
        <n v="7.94"/>
        <n v="6.02"/>
        <n v="5.66"/>
        <n v="4.0999999999999996"/>
        <n v="4"/>
        <n v="3.11"/>
        <n v="2.68"/>
        <n v="2.5099999999999998"/>
        <n v="2.12"/>
        <n v="1.98"/>
        <n v="1.95"/>
        <n v="1.92"/>
        <n v="1.85"/>
        <n v="1.46"/>
        <n v="1.19"/>
        <n v="6.19"/>
        <n v="5.13"/>
        <n v="2.77"/>
        <n v="1.87"/>
        <n v="1.79"/>
        <n v="1.71"/>
        <n v="1.47"/>
        <n v="1.39"/>
        <n v="12.25"/>
        <n v="7.25"/>
        <n v="5.78"/>
        <n v="4.03"/>
        <n v="3.18"/>
        <n v="2.71"/>
        <n v="2.25"/>
        <n v="1.67"/>
        <n v="1.51"/>
        <n v="1.32"/>
        <n v="4.5"/>
        <n v="3.92"/>
        <n v="3.87"/>
        <n v="3.35"/>
        <n v="3.29"/>
        <n v="3.24"/>
        <n v="3.14"/>
        <n v="2.46"/>
        <n v="5.55"/>
        <n v="4.4000000000000004"/>
        <n v="4.29"/>
        <n v="3.25"/>
        <n v="2.72"/>
        <n v="2.41"/>
        <n v="1.88"/>
        <n v="8.67"/>
        <n v="5.2"/>
        <n v="4.62"/>
        <n v="4.05"/>
        <n v="3.47"/>
        <n v="2.89"/>
        <n v="2.31"/>
        <n v="1.73"/>
        <n v="13.04"/>
        <n v="8.6999999999999993"/>
        <n v="5.43"/>
        <n v="4.3499999999999996"/>
        <n v="3.26"/>
        <n v="2.17"/>
        <n v="1.0900000000000001"/>
        <n v="17.39"/>
        <n v="10.87"/>
        <n v="6.52"/>
        <n v="6.64"/>
        <n v="6.29"/>
        <n v="5.59"/>
        <n v="3.85"/>
        <n v="3.5"/>
        <n v="2.8"/>
        <n v="2.4500000000000002"/>
        <n v="2.1"/>
        <n v="6.58"/>
        <n v="5.94"/>
        <n v="5.73"/>
        <n v="5.0999999999999996"/>
        <n v="4.88"/>
        <n v="4.25"/>
        <n v="2.76"/>
        <n v="2.5499999999999998"/>
        <n v="2.34"/>
        <n v="1.91"/>
        <n v="8.59"/>
        <n v="6.06"/>
        <n v="5.56"/>
        <n v="5.05"/>
        <n v="4.04"/>
        <n v="3.03"/>
        <n v="2.5299999999999998"/>
        <n v="1.01"/>
        <n v="6.71"/>
        <n v="5.37"/>
        <n v="4.7"/>
        <n v="2.0099999999999998"/>
        <n v="1.34"/>
        <n v="12.37"/>
        <n v="10.37"/>
        <n v="3.34"/>
        <n v="3.01"/>
        <n v="10"/>
        <n v="5.71"/>
        <n v="3.81"/>
        <n v="2.86"/>
        <n v="1.9"/>
        <n v="8.81"/>
        <n v="5.26"/>
        <n v="5.1100000000000003"/>
        <n v="4.97"/>
        <n v="3.84"/>
        <n v="3.69"/>
        <n v="3.13"/>
        <n v="2.98"/>
        <n v="1.56"/>
        <n v="1.42"/>
        <n v="7.39"/>
        <n v="6.82"/>
        <n v="5.68"/>
        <n v="3.98"/>
        <n v="3.41"/>
        <n v="2.27"/>
        <n v="1.99"/>
        <n v="10.41"/>
        <n v="6.42"/>
        <n v="3.42"/>
        <n v="3"/>
        <n v="2.4300000000000002"/>
        <n v="2.14"/>
        <n v="6.31"/>
        <n v="5.3"/>
        <n v="3.79"/>
        <n v="3.54"/>
        <n v="3.28"/>
        <n v="2.78"/>
        <n v="9.6300000000000008"/>
        <n v="5.95"/>
        <n v="4.82"/>
        <n v="3.68"/>
        <n v="3.4"/>
        <n v="2.83"/>
        <n v="5.7"/>
        <n v="4.9000000000000004"/>
        <n v="4.6399999999999997"/>
        <n v="3.71"/>
        <n v="3.58"/>
        <n v="2.91"/>
        <n v="8.33"/>
        <n v="7.38"/>
        <n v="5.48"/>
        <n v="5.24"/>
        <n v="17.48"/>
        <n v="4.34"/>
        <n v="2.9"/>
        <n v="2.56"/>
        <n v="2.23"/>
        <n v="21.13"/>
        <n v="16.899999999999999"/>
        <n v="5.63"/>
        <n v="4.2300000000000004"/>
        <n v="2.82"/>
        <n v="26"/>
        <n v="23.33"/>
        <n v="7.33"/>
        <n v="0.67"/>
        <n v="23.68"/>
        <n v="7.89"/>
        <n v="2.63"/>
        <n v="25"/>
        <n v="12.5"/>
        <n v="6.25"/>
        <n v="18"/>
        <n v="12"/>
        <n v="6"/>
        <n v="9.3800000000000008"/>
        <n v="13.21"/>
        <n v="7.55"/>
        <n v="3.77"/>
        <n v="18.03"/>
        <n v="11.48"/>
        <n v="8.1999999999999993"/>
        <n v="4.92"/>
        <n v="1.64"/>
        <n v="13.65"/>
        <n v="8.14"/>
        <n v="4.2"/>
        <n v="3.94"/>
        <n v="3.15"/>
        <n v="1.05"/>
        <n v="7.07"/>
        <n v="6.5"/>
        <n v="2.87"/>
        <n v="2.29"/>
        <n v="1.72"/>
        <n v="1.53"/>
        <n v="7.41"/>
        <n v="3.7"/>
        <n v="21.64"/>
        <n v="14.62"/>
        <n v="3.51"/>
        <n v="3.22"/>
        <n v="1.17"/>
        <n v="15.11"/>
        <n v="7.91"/>
        <n v="7.19"/>
        <n v="3.6"/>
        <n v="2.88"/>
        <n v="2.16"/>
      </sharedItems>
    </cacheField>
    <cacheField name="総数（個人）" numFmtId="0" sqlType="4">
      <sharedItems containsSemiMixedTypes="0" containsString="0" containsNumber="1" containsInteger="1" minValue="0" maxValue="2041" count="124">
        <n v="1982"/>
        <n v="2041"/>
        <n v="1808"/>
        <n v="1513"/>
        <n v="1201"/>
        <n v="719"/>
        <n v="762"/>
        <n v="881"/>
        <n v="661"/>
        <n v="511"/>
        <n v="529"/>
        <n v="263"/>
        <n v="67"/>
        <n v="508"/>
        <n v="502"/>
        <n v="427"/>
        <n v="455"/>
        <n v="396"/>
        <n v="262"/>
        <n v="148"/>
        <n v="592"/>
        <n v="657"/>
        <n v="536"/>
        <n v="433"/>
        <n v="294"/>
        <n v="231"/>
        <n v="157"/>
        <n v="150"/>
        <n v="57"/>
        <n v="70"/>
        <n v="172"/>
        <n v="36"/>
        <n v="86"/>
        <n v="142"/>
        <n v="116"/>
        <n v="114"/>
        <n v="126"/>
        <n v="74"/>
        <n v="82"/>
        <n v="60"/>
        <n v="131"/>
        <n v="111"/>
        <n v="93"/>
        <n v="89"/>
        <n v="66"/>
        <n v="43"/>
        <n v="51"/>
        <n v="39"/>
        <n v="15"/>
        <n v="32"/>
        <n v="28"/>
        <n v="35"/>
        <n v="31"/>
        <n v="14"/>
        <n v="8"/>
        <n v="9"/>
        <n v="7"/>
        <n v="18"/>
        <n v="65"/>
        <n v="88"/>
        <n v="56"/>
        <n v="54"/>
        <n v="10"/>
        <n v="41"/>
        <n v="27"/>
        <n v="25"/>
        <n v="22"/>
        <n v="17"/>
        <n v="340"/>
        <n v="190"/>
        <n v="128"/>
        <n v="118"/>
        <n v="95"/>
        <n v="58"/>
        <n v="24"/>
        <n v="52"/>
        <n v="5"/>
        <n v="19"/>
        <n v="34"/>
        <n v="12"/>
        <n v="109"/>
        <n v="105"/>
        <n v="44"/>
        <n v="29"/>
        <n v="26"/>
        <n v="3"/>
        <n v="6"/>
        <n v="75"/>
        <n v="50"/>
        <n v="49"/>
        <n v="38"/>
        <n v="4"/>
        <n v="16"/>
        <n v="1"/>
        <n v="237"/>
        <n v="175"/>
        <n v="119"/>
        <n v="110"/>
        <n v="73"/>
        <n v="71"/>
        <n v="62"/>
        <n v="59"/>
        <n v="45"/>
        <n v="42"/>
        <n v="20"/>
        <n v="33"/>
        <n v="21"/>
        <n v="292"/>
        <n v="187"/>
        <n v="100"/>
        <n v="81"/>
        <n v="46"/>
        <n v="13"/>
        <n v="30"/>
        <n v="102"/>
        <n v="83"/>
        <n v="53"/>
        <n v="37"/>
        <n v="47"/>
        <n v="23"/>
        <n v="0"/>
        <n v="11"/>
        <n v="2"/>
        <n v="123"/>
      </sharedItems>
    </cacheField>
    <cacheField name="構成比（個人）" numFmtId="0" sqlType="3">
      <sharedItems containsSemiMixedTypes="0" containsString="0" containsNumber="1" minValue="0" maxValue="33.33" count="387">
        <n v="7.93"/>
        <n v="8.17"/>
        <n v="7.24"/>
        <n v="6.06"/>
        <n v="4.8099999999999996"/>
        <n v="2.88"/>
        <n v="3.05"/>
        <n v="3.53"/>
        <n v="2.65"/>
        <n v="2.0499999999999998"/>
        <n v="2.12"/>
        <n v="1.05"/>
        <n v="0.27"/>
        <n v="2.0299999999999998"/>
        <n v="2.0099999999999998"/>
        <n v="1.71"/>
        <n v="1.82"/>
        <n v="1.59"/>
        <n v="0.59"/>
        <n v="9.89"/>
        <n v="10.98"/>
        <n v="8.9600000000000009"/>
        <n v="4.91"/>
        <n v="3.86"/>
        <n v="2.62"/>
        <n v="2.5099999999999998"/>
        <n v="0.95"/>
        <n v="1.17"/>
        <n v="2.87"/>
        <n v="0.6"/>
        <n v="1.44"/>
        <n v="2.37"/>
        <n v="1.94"/>
        <n v="1.91"/>
        <n v="2.11"/>
        <n v="1.24"/>
        <n v="1.37"/>
        <n v="4.3099999999999996"/>
        <n v="9.42"/>
        <n v="7.98"/>
        <n v="6.69"/>
        <n v="6.4"/>
        <n v="4.74"/>
        <n v="4.0999999999999996"/>
        <n v="3.09"/>
        <n v="3.67"/>
        <n v="2.8"/>
        <n v="1.08"/>
        <n v="2.2999999999999998"/>
        <n v="2.52"/>
        <n v="2.23"/>
        <n v="1.01"/>
        <n v="0.57999999999999996"/>
        <n v="0.65"/>
        <n v="0.5"/>
        <n v="1.29"/>
        <n v="4.9000000000000004"/>
        <n v="6.63"/>
        <n v="6.18"/>
        <n v="4.22"/>
        <n v="4.3"/>
        <n v="4.07"/>
        <n v="0.75"/>
        <n v="2.71"/>
        <n v="2.94"/>
        <n v="1.88"/>
        <n v="1.66"/>
        <n v="2.41"/>
        <n v="1.36"/>
        <n v="1.28"/>
        <n v="18.46"/>
        <n v="10.31"/>
        <n v="6.95"/>
        <n v="6.41"/>
        <n v="5.16"/>
        <n v="1.52"/>
        <n v="2.93"/>
        <n v="3.15"/>
        <n v="1.3"/>
        <n v="2.82"/>
        <n v="1.68"/>
        <n v="0.38"/>
        <n v="0.76"/>
        <n v="1.95"/>
        <n v="1.03"/>
        <n v="1.85"/>
        <n v="1.74"/>
        <n v="10.24"/>
        <n v="9.8699999999999992"/>
        <n v="5.08"/>
        <n v="4.79"/>
        <n v="3.2"/>
        <n v="4.1399999999999997"/>
        <n v="3.29"/>
        <n v="2.35"/>
        <n v="2.73"/>
        <n v="1.79"/>
        <n v="2.44"/>
        <n v="0.28000000000000003"/>
        <n v="0.56000000000000005"/>
        <n v="2.0699999999999998"/>
        <n v="0.85"/>
        <n v="5.65"/>
        <n v="7.56"/>
        <n v="6.65"/>
        <n v="5.04"/>
        <n v="4.9400000000000004"/>
        <n v="3.83"/>
        <n v="2.72"/>
        <n v="2.42"/>
        <n v="0.4"/>
        <n v="1.61"/>
        <n v="0.1"/>
        <n v="1.92"/>
        <n v="0.71"/>
        <n v="11.69"/>
        <n v="8.6300000000000008"/>
        <n v="4.34"/>
        <n v="5.87"/>
        <n v="5.43"/>
        <n v="3.6"/>
        <n v="3.5"/>
        <n v="3.06"/>
        <n v="3.7"/>
        <n v="2.91"/>
        <n v="0.25"/>
        <n v="2.4700000000000002"/>
        <n v="2.2200000000000002"/>
        <n v="1.23"/>
        <n v="2.17"/>
        <n v="0.99"/>
        <n v="2.58"/>
        <n v="9.98"/>
        <n v="9.5"/>
        <n v="6.76"/>
        <n v="5.31"/>
        <n v="3.54"/>
        <n v="0.48"/>
        <n v="3.22"/>
        <n v="0.16"/>
        <n v="3.38"/>
        <n v="0.97"/>
        <n v="1.93"/>
        <n v="1.45"/>
        <n v="0.81"/>
        <n v="1.1299999999999999"/>
        <n v="15.03"/>
        <n v="9.6199999999999992"/>
        <n v="7.31"/>
        <n v="5.15"/>
        <n v="4.17"/>
        <n v="2.2599999999999998"/>
        <n v="2.16"/>
        <n v="1.65"/>
        <n v="1.7"/>
        <n v="1.75"/>
        <n v="0.67"/>
        <n v="0.62"/>
        <n v="0.72"/>
        <n v="1.49"/>
        <n v="1.6"/>
        <n v="1.54"/>
        <n v="7.35"/>
        <n v="5.98"/>
        <n v="0.43"/>
        <n v="3.89"/>
        <n v="4.25"/>
        <n v="4.1100000000000003"/>
        <n v="3.75"/>
        <n v="3.82"/>
        <n v="2.67"/>
        <n v="3.24"/>
        <n v="3.32"/>
        <n v="3.39"/>
        <n v="3.1"/>
        <n v="2.4500000000000002"/>
        <n v="2.31"/>
        <n v="1.8"/>
        <n v="2.02"/>
        <n v="1.73"/>
        <n v="7.91"/>
        <n v="5.82"/>
        <n v="4.78"/>
        <n v="4.63"/>
        <n v="4.33"/>
        <n v="3.73"/>
        <n v="3.43"/>
        <n v="3.58"/>
        <n v="2.69"/>
        <n v="0"/>
        <n v="2.09"/>
        <n v="1.64"/>
        <n v="2.2400000000000002"/>
        <n v="0.9"/>
        <n v="1.04"/>
        <n v="10.71"/>
        <n v="7.14"/>
        <n v="6.43"/>
        <n v="5"/>
        <n v="5.71"/>
        <n v="2.14"/>
        <n v="2.86"/>
        <n v="3.57"/>
        <n v="1.43"/>
        <n v="21.43"/>
        <n v="12.5"/>
        <n v="8.93"/>
        <n v="5.36"/>
        <n v="27.59"/>
        <n v="13.79"/>
        <n v="3.45"/>
        <n v="6.9"/>
        <n v="8.76"/>
        <n v="5.07"/>
        <n v="5.53"/>
        <n v="7.37"/>
        <n v="4.6100000000000003"/>
        <n v="4.1500000000000004"/>
        <n v="3.69"/>
        <n v="3.23"/>
        <n v="1.38"/>
        <n v="1.84"/>
        <n v="7.47"/>
        <n v="6.93"/>
        <n v="6.13"/>
        <n v="5.33"/>
        <n v="3.47"/>
        <n v="2.13"/>
        <n v="2.4"/>
        <n v="1.07"/>
        <n v="1.87"/>
        <n v="1.33"/>
        <n v="5.41"/>
        <n v="7.21"/>
        <n v="9.91"/>
        <n v="4.5"/>
        <n v="2.7"/>
        <n v="9.18"/>
        <n v="1.02"/>
        <n v="5.0999999999999996"/>
        <n v="6.12"/>
        <n v="4.08"/>
        <n v="2.04"/>
        <n v="17.37"/>
        <n v="11.74"/>
        <n v="4.2300000000000004"/>
        <n v="4.6900000000000004"/>
        <n v="0.94"/>
        <n v="3.76"/>
        <n v="1.41"/>
        <n v="12.88"/>
        <n v="6.75"/>
        <n v="7.36"/>
        <n v="5.52"/>
        <n v="3.68"/>
        <n v="3.07"/>
        <n v="0.61"/>
        <n v="11.55"/>
        <n v="6.52"/>
        <n v="4.28"/>
        <n v="6.33"/>
        <n v="5.21"/>
        <n v="5.03"/>
        <n v="4.47"/>
        <n v="3.72"/>
        <n v="1.1200000000000001"/>
        <n v="2.61"/>
        <n v="1.86"/>
        <n v="0.74"/>
        <n v="10.4"/>
        <n v="9.1999999999999993"/>
        <n v="7.2"/>
        <n v="6.8"/>
        <n v="5.2"/>
        <n v="1.2"/>
        <n v="4.8"/>
        <n v="4.4000000000000004"/>
        <n v="2"/>
        <n v="0.8"/>
        <n v="9.14"/>
        <n v="9.68"/>
        <n v="6.72"/>
        <n v="5.38"/>
        <n v="3.49"/>
        <n v="4.57"/>
        <n v="1.34"/>
        <n v="2.15"/>
        <n v="2.78"/>
        <n v="7.94"/>
        <n v="5.56"/>
        <n v="4.76"/>
        <n v="4.37"/>
        <n v="3.97"/>
        <n v="0.79"/>
        <n v="3.17"/>
        <n v="2.38"/>
        <n v="1.19"/>
        <n v="1.98"/>
        <n v="15.18"/>
        <n v="0.89"/>
        <n v="4.46"/>
        <n v="0.45"/>
        <n v="2.68"/>
        <n v="9.41"/>
        <n v="6.35"/>
        <n v="7.22"/>
        <n v="1.53"/>
        <n v="5.25"/>
        <n v="5.69"/>
        <n v="2.63"/>
        <n v="1.31"/>
        <n v="1.0900000000000001"/>
        <n v="1.97"/>
        <n v="0.66"/>
        <n v="0.22"/>
        <n v="2.19"/>
        <n v="12.73"/>
        <n v="8"/>
        <n v="8.36"/>
        <n v="7.64"/>
        <n v="5.09"/>
        <n v="3.27"/>
        <n v="0.36"/>
        <n v="2.5499999999999998"/>
        <n v="0.73"/>
        <n v="21.03"/>
        <n v="6.5"/>
        <n v="6.67"/>
        <n v="5.3"/>
        <n v="4.4400000000000004"/>
        <n v="2.39"/>
        <n v="3.08"/>
        <n v="0.51"/>
        <n v="0.68"/>
        <n v="2.56"/>
        <n v="24.53"/>
        <n v="20.75"/>
        <n v="7.55"/>
        <n v="3.77"/>
        <n v="1.89"/>
        <n v="25.4"/>
        <n v="24.6"/>
        <n v="8.73"/>
        <n v="30"/>
        <n v="3.33"/>
        <n v="33.33"/>
        <n v="11.11"/>
        <n v="20"/>
        <n v="14.29"/>
        <n v="12.12"/>
        <n v="9.09"/>
        <n v="3.03"/>
        <n v="16.399999999999999"/>
        <n v="9.32"/>
        <n v="5.14"/>
        <n v="4.82"/>
        <n v="4.18"/>
        <n v="2.57"/>
        <n v="2.89"/>
        <n v="2.25"/>
        <n v="0.96"/>
        <n v="0.32"/>
        <n v="10.32"/>
        <n v="6.49"/>
        <n v="4.13"/>
        <n v="0.28999999999999998"/>
        <n v="1.47"/>
        <n v="2.95"/>
        <n v="2.36"/>
        <n v="0.88"/>
        <n v="1.77"/>
        <n v="1.18"/>
        <n v="9.3800000000000008"/>
        <n v="6.25"/>
        <n v="3.13"/>
        <n v="26.79"/>
        <n v="15.47"/>
        <n v="5.28"/>
        <n v="4.53"/>
        <n v="1.51"/>
        <n v="3.4"/>
        <n v="2.64"/>
        <n v="3.02"/>
        <n v="9.52"/>
        <n v="7.62"/>
        <n v="3.81"/>
        <n v="1.9"/>
      </sharedItems>
    </cacheField>
    <cacheField name="総数（法人）" numFmtId="0" sqlType="4">
      <sharedItems containsSemiMixedTypes="0" containsString="0" containsNumber="1" containsInteger="1" minValue="0" maxValue="995" count="68">
        <n v="995"/>
        <n v="37"/>
        <n v="95"/>
        <n v="114"/>
        <n v="87"/>
        <n v="188"/>
        <n v="149"/>
        <n v="21"/>
        <n v="61"/>
        <n v="179"/>
        <n v="112"/>
        <n v="350"/>
        <n v="516"/>
        <n v="58"/>
        <n v="51"/>
        <n v="123"/>
        <n v="80"/>
        <n v="111"/>
        <n v="234"/>
        <n v="345"/>
        <n v="372"/>
        <n v="17"/>
        <n v="48"/>
        <n v="28"/>
        <n v="38"/>
        <n v="67"/>
        <n v="66"/>
        <n v="60"/>
        <n v="144"/>
        <n v="127"/>
        <n v="6"/>
        <n v="133"/>
        <n v="18"/>
        <n v="29"/>
        <n v="30"/>
        <n v="56"/>
        <n v="42"/>
        <n v="43"/>
        <n v="82"/>
        <n v="0"/>
        <n v="3"/>
        <n v="4"/>
        <n v="13"/>
        <n v="1"/>
        <n v="14"/>
        <n v="26"/>
        <n v="9"/>
        <n v="12"/>
        <n v="5"/>
        <n v="19"/>
        <n v="8"/>
        <n v="2"/>
        <n v="15"/>
        <n v="7"/>
        <n v="10"/>
        <n v="11"/>
        <n v="36"/>
        <n v="41"/>
        <n v="23"/>
        <n v="16"/>
        <n v="34"/>
        <n v="83"/>
        <n v="55"/>
        <n v="22"/>
        <n v="24"/>
        <n v="69"/>
        <n v="27"/>
        <n v="39"/>
      </sharedItems>
    </cacheField>
    <cacheField name="構成比（法人）" numFmtId="0" sqlType="3">
      <sharedItems containsSemiMixedTypes="0" containsString="0" containsNumber="1" minValue="0" maxValue="50" count="249">
        <n v="7.73"/>
        <n v="0.28999999999999998"/>
        <n v="0.74"/>
        <n v="0.89"/>
        <n v="0.68"/>
        <n v="1.46"/>
        <n v="1.1599999999999999"/>
        <n v="0.16"/>
        <n v="0.47"/>
        <n v="1.39"/>
        <n v="0.87"/>
        <n v="2.72"/>
        <n v="4.01"/>
        <n v="0.45"/>
        <n v="0.4"/>
        <n v="0.96"/>
        <n v="0.62"/>
        <n v="0.86"/>
        <n v="1.82"/>
        <n v="2.68"/>
        <n v="9.2799999999999994"/>
        <n v="0.42"/>
        <n v="1.2"/>
        <n v="0.7"/>
        <n v="0.95"/>
        <n v="1.67"/>
        <n v="1.65"/>
        <n v="1.5"/>
        <n v="3.59"/>
        <n v="3.17"/>
        <n v="0.15"/>
        <n v="3.32"/>
        <n v="2"/>
        <n v="0.72"/>
        <n v="0.75"/>
        <n v="1.4"/>
        <n v="1.05"/>
        <n v="1.07"/>
        <n v="10.61"/>
        <n v="0"/>
        <n v="0.78"/>
        <n v="0.39"/>
        <n v="0.52"/>
        <n v="1.68"/>
        <n v="0.13"/>
        <n v="1.81"/>
        <n v="3.36"/>
        <n v="1.55"/>
        <n v="0.65"/>
        <n v="2.46"/>
        <n v="2.2000000000000002"/>
        <n v="1.03"/>
        <n v="5.0999999999999996"/>
        <n v="0.35"/>
        <n v="2.2799999999999998"/>
        <n v="2.64"/>
        <n v="0.88"/>
        <n v="6.68"/>
        <n v="1.23"/>
        <n v="2.11"/>
        <n v="0.53"/>
        <n v="1.76"/>
        <n v="6.84"/>
        <n v="0.83"/>
        <n v="0.67"/>
        <n v="0.57999999999999996"/>
        <n v="0.92"/>
        <n v="0.25"/>
        <n v="3.01"/>
        <n v="0.33"/>
        <n v="3.42"/>
        <n v="2.42"/>
        <n v="3.09"/>
        <n v="1.92"/>
        <n v="1.17"/>
        <n v="2.34"/>
        <n v="0.49"/>
        <n v="0.99"/>
        <n v="4.2"/>
        <n v="1.73"/>
        <n v="5.68"/>
        <n v="2.96"/>
        <n v="3.95"/>
        <n v="7.28"/>
        <n v="0.21"/>
        <n v="0.43"/>
        <n v="0.64"/>
        <n v="1.71"/>
        <n v="6"/>
        <n v="2.36"/>
        <n v="3.64"/>
        <n v="3.21"/>
        <n v="2.78"/>
        <n v="0.3"/>
        <n v="0.71"/>
        <n v="8.43"/>
        <n v="0.51"/>
        <n v="1.1200000000000001"/>
        <n v="2.13"/>
        <n v="1.02"/>
        <n v="1.83"/>
        <n v="0.1"/>
        <n v="5.58"/>
        <n v="0.91"/>
        <n v="1.52"/>
        <n v="0.61"/>
        <n v="2.23"/>
        <n v="0.41"/>
        <n v="0.2"/>
        <n v="2.44"/>
        <n v="9.98"/>
        <n v="0.5"/>
        <n v="3.66"/>
        <n v="1.33"/>
        <n v="0.17"/>
        <n v="2.5"/>
        <n v="3"/>
        <n v="1.66"/>
        <n v="3.92"/>
        <n v="1.1399999999999999"/>
        <n v="0.82"/>
        <n v="2.12"/>
        <n v="1.31"/>
        <n v="0.98"/>
        <n v="3.76"/>
        <n v="1.96"/>
        <n v="3.43"/>
        <n v="3.1"/>
        <n v="1.63"/>
        <n v="0.59"/>
        <n v="13.58"/>
        <n v="3.74"/>
        <n v="1.18"/>
        <n v="1.97"/>
        <n v="1.38"/>
        <n v="2.76"/>
        <n v="2.17"/>
        <n v="0.36"/>
        <n v="1.78"/>
        <n v="9.61"/>
        <n v="3.91"/>
        <n v="6.41"/>
        <n v="3.2"/>
        <n v="2.4900000000000002"/>
        <n v="3.85"/>
        <n v="7.69"/>
        <n v="4.3499999999999996"/>
        <n v="13.04"/>
        <n v="8.6999999999999993"/>
        <n v="15.38"/>
        <n v="11.67"/>
        <n v="6.67"/>
        <n v="3.33"/>
        <n v="10"/>
        <n v="7.78"/>
        <n v="5.56"/>
        <n v="2.2200000000000002"/>
        <n v="1.1100000000000001"/>
        <n v="4.4400000000000004"/>
        <n v="12.94"/>
        <n v="4.71"/>
        <n v="5.88"/>
        <n v="3.53"/>
        <n v="2.35"/>
        <n v="2.56"/>
        <n v="17.95"/>
        <n v="5.13"/>
        <n v="7.79"/>
        <n v="1.3"/>
        <n v="5.19"/>
        <n v="2.6"/>
        <n v="6.49"/>
        <n v="2.7"/>
        <n v="10.81"/>
        <n v="8.11"/>
        <n v="5.41"/>
        <n v="1.27"/>
        <n v="8.2799999999999994"/>
        <n v="1.91"/>
        <n v="5.73"/>
        <n v="3.82"/>
        <n v="1.04"/>
        <n v="2.08"/>
        <n v="10.42"/>
        <n v="7.29"/>
        <n v="6.25"/>
        <n v="4.17"/>
        <n v="12.7"/>
        <n v="2.93"/>
        <n v="3.26"/>
        <n v="2.61"/>
        <n v="4.2300000000000004"/>
        <n v="1.95"/>
        <n v="12.95"/>
        <n v="1.44"/>
        <n v="2.88"/>
        <n v="7.91"/>
        <n v="5.76"/>
        <n v="2.16"/>
        <n v="4.03"/>
        <n v="0.81"/>
        <n v="1.61"/>
        <n v="6.45"/>
        <n v="5.65"/>
        <n v="3.23"/>
        <n v="2.8"/>
        <n v="4.55"/>
        <n v="3.15"/>
        <n v="1.75"/>
        <n v="6.47"/>
        <n v="4.32"/>
        <n v="5.04"/>
        <n v="3.6"/>
        <n v="11.22"/>
        <n v="1.98"/>
        <n v="2.97"/>
        <n v="1.32"/>
        <n v="5.61"/>
        <n v="3.96"/>
        <n v="3.63"/>
        <n v="16.670000000000002"/>
        <n v="8.33"/>
        <n v="36.840000000000003"/>
        <n v="21.05"/>
        <n v="5.26"/>
        <n v="25"/>
        <n v="20"/>
        <n v="17.649999999999999"/>
        <n v="50"/>
        <n v="5"/>
        <n v="1.54"/>
        <n v="3.08"/>
        <n v="4.62"/>
        <n v="6.7"/>
        <n v="0.56000000000000005"/>
        <n v="7.82"/>
        <n v="5.03"/>
        <n v="3.35"/>
        <n v="2.79"/>
        <n v="23.53"/>
        <n v="12.68"/>
        <n v="2.82"/>
        <n v="8.4499999999999993"/>
        <n v="1.41"/>
        <n v="9.86"/>
        <n v="5.63"/>
        <n v="3.57"/>
        <n v="7.14"/>
        <n v="10.71"/>
      </sharedItems>
    </cacheField>
    <cacheField name="総数（法人以外の団体）" numFmtId="0" sqlType="4">
      <sharedItems containsSemiMixedTypes="0" containsString="0" containsNumber="1" containsInteger="1" minValue="0" maxValue="5" count="5">
        <n v="0"/>
        <n v="1"/>
        <n v="5"/>
        <n v="2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0">
  <r>
    <x v="0"/>
    <s v="沖縄県"/>
    <x v="0"/>
    <x v="0"/>
    <n v="15"/>
    <n v="0.04"/>
    <n v="1"/>
    <n v="0"/>
    <n v="14"/>
    <n v="0.11"/>
    <x v="0"/>
  </r>
  <r>
    <x v="0"/>
    <s v="沖縄県"/>
    <x v="0"/>
    <x v="1"/>
    <n v="3307"/>
    <n v="8.65"/>
    <n v="1056"/>
    <n v="4.2300000000000004"/>
    <n v="2250"/>
    <n v="17.489999999999998"/>
    <x v="1"/>
  </r>
  <r>
    <x v="0"/>
    <s v="沖縄県"/>
    <x v="0"/>
    <x v="2"/>
    <n v="2006"/>
    <n v="5.25"/>
    <n v="1261"/>
    <n v="5.05"/>
    <n v="741"/>
    <n v="5.76"/>
    <x v="2"/>
  </r>
  <r>
    <x v="0"/>
    <s v="沖縄県"/>
    <x v="0"/>
    <x v="3"/>
    <n v="46"/>
    <n v="0.12"/>
    <n v="0"/>
    <n v="0"/>
    <n v="32"/>
    <n v="0.25"/>
    <x v="0"/>
  </r>
  <r>
    <x v="0"/>
    <s v="沖縄県"/>
    <x v="0"/>
    <x v="4"/>
    <n v="369"/>
    <n v="0.96"/>
    <n v="42"/>
    <n v="0.17"/>
    <n v="324"/>
    <n v="2.52"/>
    <x v="3"/>
  </r>
  <r>
    <x v="0"/>
    <s v="沖縄県"/>
    <x v="0"/>
    <x v="5"/>
    <n v="482"/>
    <n v="1.26"/>
    <n v="273"/>
    <n v="1.0900000000000001"/>
    <n v="195"/>
    <n v="1.52"/>
    <x v="2"/>
  </r>
  <r>
    <x v="0"/>
    <s v="沖縄県"/>
    <x v="0"/>
    <x v="6"/>
    <n v="8480"/>
    <n v="22.18"/>
    <n v="5434"/>
    <n v="21.75"/>
    <n v="3027"/>
    <n v="23.52"/>
    <x v="4"/>
  </r>
  <r>
    <x v="0"/>
    <s v="沖縄県"/>
    <x v="0"/>
    <x v="7"/>
    <n v="247"/>
    <n v="0.65"/>
    <n v="82"/>
    <n v="0.33"/>
    <n v="165"/>
    <n v="1.28"/>
    <x v="0"/>
  </r>
  <r>
    <x v="0"/>
    <s v="沖縄県"/>
    <x v="0"/>
    <x v="8"/>
    <n v="4784"/>
    <n v="12.51"/>
    <n v="2494"/>
    <n v="9.98"/>
    <n v="2277"/>
    <n v="17.7"/>
    <x v="5"/>
  </r>
  <r>
    <x v="0"/>
    <s v="沖縄県"/>
    <x v="0"/>
    <x v="9"/>
    <n v="1808"/>
    <n v="4.7300000000000004"/>
    <n v="977"/>
    <n v="3.91"/>
    <n v="812"/>
    <n v="6.31"/>
    <x v="6"/>
  </r>
  <r>
    <x v="0"/>
    <s v="沖縄県"/>
    <x v="0"/>
    <x v="10"/>
    <n v="6957"/>
    <n v="18.190000000000001"/>
    <n v="6187"/>
    <n v="24.76"/>
    <n v="750"/>
    <n v="5.83"/>
    <x v="5"/>
  </r>
  <r>
    <x v="0"/>
    <s v="沖縄県"/>
    <x v="0"/>
    <x v="11"/>
    <n v="4686"/>
    <n v="12.25"/>
    <n v="3846"/>
    <n v="15.39"/>
    <n v="796"/>
    <n v="6.19"/>
    <x v="7"/>
  </r>
  <r>
    <x v="0"/>
    <s v="沖縄県"/>
    <x v="0"/>
    <x v="12"/>
    <n v="2018"/>
    <n v="5.28"/>
    <n v="1678"/>
    <n v="6.72"/>
    <n v="247"/>
    <n v="1.92"/>
    <x v="8"/>
  </r>
  <r>
    <x v="0"/>
    <s v="沖縄県"/>
    <x v="0"/>
    <x v="13"/>
    <n v="1512"/>
    <n v="3.95"/>
    <n v="780"/>
    <n v="3.12"/>
    <n v="660"/>
    <n v="5.13"/>
    <x v="9"/>
  </r>
  <r>
    <x v="0"/>
    <s v="沖縄県"/>
    <x v="0"/>
    <x v="14"/>
    <n v="1522"/>
    <n v="3.98"/>
    <n v="872"/>
    <n v="3.49"/>
    <n v="578"/>
    <n v="4.49"/>
    <x v="10"/>
  </r>
  <r>
    <x v="0"/>
    <s v="那覇市"/>
    <x v="1"/>
    <x v="0"/>
    <n v="5"/>
    <n v="0.05"/>
    <n v="0"/>
    <n v="0"/>
    <n v="5"/>
    <n v="0.12"/>
    <x v="0"/>
  </r>
  <r>
    <x v="0"/>
    <s v="那覇市"/>
    <x v="1"/>
    <x v="1"/>
    <n v="604"/>
    <n v="6.02"/>
    <n v="122"/>
    <n v="2.04"/>
    <n v="482"/>
    <n v="12.02"/>
    <x v="0"/>
  </r>
  <r>
    <x v="0"/>
    <s v="那覇市"/>
    <x v="1"/>
    <x v="2"/>
    <n v="262"/>
    <n v="2.61"/>
    <n v="159"/>
    <n v="2.66"/>
    <n v="103"/>
    <n v="2.57"/>
    <x v="0"/>
  </r>
  <r>
    <x v="0"/>
    <s v="那覇市"/>
    <x v="1"/>
    <x v="3"/>
    <n v="4"/>
    <n v="0.04"/>
    <n v="0"/>
    <n v="0"/>
    <n v="4"/>
    <n v="0.1"/>
    <x v="0"/>
  </r>
  <r>
    <x v="0"/>
    <s v="那覇市"/>
    <x v="1"/>
    <x v="4"/>
    <n v="171"/>
    <n v="1.7"/>
    <n v="16"/>
    <n v="0.27"/>
    <n v="154"/>
    <n v="3.84"/>
    <x v="1"/>
  </r>
  <r>
    <x v="0"/>
    <s v="那覇市"/>
    <x v="1"/>
    <x v="5"/>
    <n v="81"/>
    <n v="0.81"/>
    <n v="9"/>
    <n v="0.15"/>
    <n v="70"/>
    <n v="1.75"/>
    <x v="0"/>
  </r>
  <r>
    <x v="0"/>
    <s v="那覇市"/>
    <x v="1"/>
    <x v="6"/>
    <n v="2286"/>
    <n v="22.79"/>
    <n v="1260"/>
    <n v="21.06"/>
    <n v="1025"/>
    <n v="25.56"/>
    <x v="1"/>
  </r>
  <r>
    <x v="0"/>
    <s v="那覇市"/>
    <x v="1"/>
    <x v="7"/>
    <n v="77"/>
    <n v="0.77"/>
    <n v="15"/>
    <n v="0.25"/>
    <n v="62"/>
    <n v="1.55"/>
    <x v="0"/>
  </r>
  <r>
    <x v="0"/>
    <s v="那覇市"/>
    <x v="1"/>
    <x v="8"/>
    <n v="1618"/>
    <n v="16.13"/>
    <n v="767"/>
    <n v="12.82"/>
    <n v="849"/>
    <n v="21.17"/>
    <x v="3"/>
  </r>
  <r>
    <x v="0"/>
    <s v="那覇市"/>
    <x v="1"/>
    <x v="9"/>
    <n v="603"/>
    <n v="6.01"/>
    <n v="284"/>
    <n v="4.75"/>
    <n v="318"/>
    <n v="7.93"/>
    <x v="1"/>
  </r>
  <r>
    <x v="0"/>
    <s v="那覇市"/>
    <x v="1"/>
    <x v="10"/>
    <n v="2044"/>
    <n v="20.37"/>
    <n v="1792"/>
    <n v="29.95"/>
    <n v="250"/>
    <n v="6.23"/>
    <x v="1"/>
  </r>
  <r>
    <x v="0"/>
    <s v="那覇市"/>
    <x v="1"/>
    <x v="11"/>
    <n v="1083"/>
    <n v="10.8"/>
    <n v="847"/>
    <n v="14.16"/>
    <n v="231"/>
    <n v="5.76"/>
    <x v="1"/>
  </r>
  <r>
    <x v="0"/>
    <s v="那覇市"/>
    <x v="1"/>
    <x v="12"/>
    <n v="510"/>
    <n v="5.08"/>
    <n v="419"/>
    <n v="7"/>
    <n v="86"/>
    <n v="2.14"/>
    <x v="3"/>
  </r>
  <r>
    <x v="0"/>
    <s v="那覇市"/>
    <x v="1"/>
    <x v="13"/>
    <n v="391"/>
    <n v="3.9"/>
    <n v="223"/>
    <n v="3.73"/>
    <n v="158"/>
    <n v="3.94"/>
    <x v="11"/>
  </r>
  <r>
    <x v="0"/>
    <s v="那覇市"/>
    <x v="1"/>
    <x v="14"/>
    <n v="293"/>
    <n v="2.92"/>
    <n v="70"/>
    <n v="1.17"/>
    <n v="213"/>
    <n v="5.31"/>
    <x v="12"/>
  </r>
  <r>
    <x v="0"/>
    <s v="宜野湾市"/>
    <x v="2"/>
    <x v="0"/>
    <n v="1"/>
    <n v="0.05"/>
    <n v="0"/>
    <n v="0"/>
    <n v="1"/>
    <n v="0.13"/>
    <x v="0"/>
  </r>
  <r>
    <x v="0"/>
    <s v="宜野湾市"/>
    <x v="2"/>
    <x v="1"/>
    <n v="202"/>
    <n v="9.2899999999999991"/>
    <n v="54"/>
    <n v="3.88"/>
    <n v="148"/>
    <n v="19.149999999999999"/>
    <x v="0"/>
  </r>
  <r>
    <x v="0"/>
    <s v="宜野湾市"/>
    <x v="2"/>
    <x v="2"/>
    <n v="76"/>
    <n v="3.5"/>
    <n v="54"/>
    <n v="3.88"/>
    <n v="22"/>
    <n v="2.85"/>
    <x v="0"/>
  </r>
  <r>
    <x v="0"/>
    <s v="宜野湾市"/>
    <x v="2"/>
    <x v="3"/>
    <n v="1"/>
    <n v="0.05"/>
    <n v="0"/>
    <n v="0"/>
    <n v="1"/>
    <n v="0.13"/>
    <x v="0"/>
  </r>
  <r>
    <x v="0"/>
    <s v="宜野湾市"/>
    <x v="2"/>
    <x v="4"/>
    <n v="22"/>
    <n v="1.01"/>
    <n v="1"/>
    <n v="7.0000000000000007E-2"/>
    <n v="21"/>
    <n v="2.72"/>
    <x v="0"/>
  </r>
  <r>
    <x v="0"/>
    <s v="宜野湾市"/>
    <x v="2"/>
    <x v="5"/>
    <n v="21"/>
    <n v="0.97"/>
    <n v="13"/>
    <n v="0.93"/>
    <n v="8"/>
    <n v="1.03"/>
    <x v="0"/>
  </r>
  <r>
    <x v="0"/>
    <s v="宜野湾市"/>
    <x v="2"/>
    <x v="6"/>
    <n v="500"/>
    <n v="23"/>
    <n v="314"/>
    <n v="22.57"/>
    <n v="186"/>
    <n v="24.06"/>
    <x v="0"/>
  </r>
  <r>
    <x v="0"/>
    <s v="宜野湾市"/>
    <x v="2"/>
    <x v="7"/>
    <n v="14"/>
    <n v="0.64"/>
    <n v="5"/>
    <n v="0.36"/>
    <n v="9"/>
    <n v="1.1599999999999999"/>
    <x v="0"/>
  </r>
  <r>
    <x v="0"/>
    <s v="宜野湾市"/>
    <x v="2"/>
    <x v="8"/>
    <n v="257"/>
    <n v="11.82"/>
    <n v="96"/>
    <n v="6.9"/>
    <n v="160"/>
    <n v="20.7"/>
    <x v="1"/>
  </r>
  <r>
    <x v="0"/>
    <s v="宜野湾市"/>
    <x v="2"/>
    <x v="9"/>
    <n v="133"/>
    <n v="6.12"/>
    <n v="73"/>
    <n v="5.25"/>
    <n v="59"/>
    <n v="7.63"/>
    <x v="1"/>
  </r>
  <r>
    <x v="0"/>
    <s v="宜野湾市"/>
    <x v="2"/>
    <x v="10"/>
    <n v="336"/>
    <n v="15.46"/>
    <n v="307"/>
    <n v="22.07"/>
    <n v="29"/>
    <n v="3.75"/>
    <x v="0"/>
  </r>
  <r>
    <x v="0"/>
    <s v="宜野湾市"/>
    <x v="2"/>
    <x v="11"/>
    <n v="291"/>
    <n v="13.39"/>
    <n v="239"/>
    <n v="17.18"/>
    <n v="52"/>
    <n v="6.73"/>
    <x v="0"/>
  </r>
  <r>
    <x v="0"/>
    <s v="宜野湾市"/>
    <x v="2"/>
    <x v="12"/>
    <n v="141"/>
    <n v="6.49"/>
    <n v="125"/>
    <n v="8.99"/>
    <n v="10"/>
    <n v="1.29"/>
    <x v="13"/>
  </r>
  <r>
    <x v="0"/>
    <s v="宜野湾市"/>
    <x v="2"/>
    <x v="13"/>
    <n v="98"/>
    <n v="4.51"/>
    <n v="50"/>
    <n v="3.59"/>
    <n v="48"/>
    <n v="6.21"/>
    <x v="0"/>
  </r>
  <r>
    <x v="0"/>
    <s v="宜野湾市"/>
    <x v="2"/>
    <x v="14"/>
    <n v="81"/>
    <n v="3.73"/>
    <n v="60"/>
    <n v="4.3099999999999996"/>
    <n v="19"/>
    <n v="2.46"/>
    <x v="1"/>
  </r>
  <r>
    <x v="0"/>
    <s v="石垣市"/>
    <x v="3"/>
    <x v="0"/>
    <n v="2"/>
    <n v="0.1"/>
    <n v="0"/>
    <n v="0"/>
    <n v="2"/>
    <n v="0.35"/>
    <x v="0"/>
  </r>
  <r>
    <x v="0"/>
    <s v="石垣市"/>
    <x v="3"/>
    <x v="1"/>
    <n v="146"/>
    <n v="7.66"/>
    <n v="53"/>
    <n v="3.99"/>
    <n v="93"/>
    <n v="16.34"/>
    <x v="0"/>
  </r>
  <r>
    <x v="0"/>
    <s v="石垣市"/>
    <x v="3"/>
    <x v="2"/>
    <n v="129"/>
    <n v="6.77"/>
    <n v="81"/>
    <n v="6.1"/>
    <n v="48"/>
    <n v="8.44"/>
    <x v="0"/>
  </r>
  <r>
    <x v="0"/>
    <s v="石垣市"/>
    <x v="3"/>
    <x v="3"/>
    <n v="1"/>
    <n v="0.05"/>
    <n v="0"/>
    <n v="0"/>
    <n v="1"/>
    <n v="0.18"/>
    <x v="0"/>
  </r>
  <r>
    <x v="0"/>
    <s v="石垣市"/>
    <x v="3"/>
    <x v="4"/>
    <n v="13"/>
    <n v="0.68"/>
    <n v="4"/>
    <n v="0.3"/>
    <n v="9"/>
    <n v="1.58"/>
    <x v="0"/>
  </r>
  <r>
    <x v="0"/>
    <s v="石垣市"/>
    <x v="3"/>
    <x v="5"/>
    <n v="26"/>
    <n v="1.36"/>
    <n v="10"/>
    <n v="0.75"/>
    <n v="15"/>
    <n v="2.64"/>
    <x v="1"/>
  </r>
  <r>
    <x v="0"/>
    <s v="石垣市"/>
    <x v="3"/>
    <x v="6"/>
    <n v="455"/>
    <n v="23.87"/>
    <n v="318"/>
    <n v="23.96"/>
    <n v="137"/>
    <n v="24.08"/>
    <x v="0"/>
  </r>
  <r>
    <x v="0"/>
    <s v="石垣市"/>
    <x v="3"/>
    <x v="7"/>
    <n v="8"/>
    <n v="0.42"/>
    <n v="3"/>
    <n v="0.23"/>
    <n v="5"/>
    <n v="0.88"/>
    <x v="0"/>
  </r>
  <r>
    <x v="0"/>
    <s v="石垣市"/>
    <x v="3"/>
    <x v="8"/>
    <n v="159"/>
    <n v="8.34"/>
    <n v="86"/>
    <n v="6.48"/>
    <n v="73"/>
    <n v="12.83"/>
    <x v="0"/>
  </r>
  <r>
    <x v="0"/>
    <s v="石垣市"/>
    <x v="3"/>
    <x v="9"/>
    <n v="80"/>
    <n v="4.2"/>
    <n v="45"/>
    <n v="3.39"/>
    <n v="34"/>
    <n v="5.98"/>
    <x v="0"/>
  </r>
  <r>
    <x v="0"/>
    <s v="石垣市"/>
    <x v="3"/>
    <x v="10"/>
    <n v="432"/>
    <n v="22.67"/>
    <n v="378"/>
    <n v="28.49"/>
    <n v="54"/>
    <n v="9.49"/>
    <x v="0"/>
  </r>
  <r>
    <x v="0"/>
    <s v="石垣市"/>
    <x v="3"/>
    <x v="11"/>
    <n v="258"/>
    <n v="13.54"/>
    <n v="223"/>
    <n v="16.8"/>
    <n v="34"/>
    <n v="5.98"/>
    <x v="1"/>
  </r>
  <r>
    <x v="0"/>
    <s v="石垣市"/>
    <x v="3"/>
    <x v="12"/>
    <n v="69"/>
    <n v="3.62"/>
    <n v="59"/>
    <n v="4.45"/>
    <n v="9"/>
    <n v="1.58"/>
    <x v="0"/>
  </r>
  <r>
    <x v="0"/>
    <s v="石垣市"/>
    <x v="3"/>
    <x v="13"/>
    <n v="62"/>
    <n v="3.25"/>
    <n v="30"/>
    <n v="2.2599999999999998"/>
    <n v="30"/>
    <n v="5.27"/>
    <x v="0"/>
  </r>
  <r>
    <x v="0"/>
    <s v="石垣市"/>
    <x v="3"/>
    <x v="14"/>
    <n v="66"/>
    <n v="3.46"/>
    <n v="37"/>
    <n v="2.79"/>
    <n v="25"/>
    <n v="4.3899999999999997"/>
    <x v="1"/>
  </r>
  <r>
    <x v="0"/>
    <s v="浦添市"/>
    <x v="4"/>
    <x v="0"/>
    <n v="1"/>
    <n v="0.03"/>
    <n v="0"/>
    <n v="0"/>
    <n v="1"/>
    <n v="0.08"/>
    <x v="0"/>
  </r>
  <r>
    <x v="0"/>
    <s v="浦添市"/>
    <x v="4"/>
    <x v="1"/>
    <n v="301"/>
    <n v="9.85"/>
    <n v="96"/>
    <n v="5.21"/>
    <n v="205"/>
    <n v="17.11"/>
    <x v="0"/>
  </r>
  <r>
    <x v="0"/>
    <s v="浦添市"/>
    <x v="4"/>
    <x v="2"/>
    <n v="79"/>
    <n v="2.59"/>
    <n v="37"/>
    <n v="2.0099999999999998"/>
    <n v="42"/>
    <n v="3.51"/>
    <x v="0"/>
  </r>
  <r>
    <x v="0"/>
    <s v="浦添市"/>
    <x v="4"/>
    <x v="3"/>
    <n v="3"/>
    <n v="0.1"/>
    <n v="0"/>
    <n v="0"/>
    <n v="3"/>
    <n v="0.25"/>
    <x v="0"/>
  </r>
  <r>
    <x v="0"/>
    <s v="浦添市"/>
    <x v="4"/>
    <x v="4"/>
    <n v="41"/>
    <n v="1.34"/>
    <n v="7"/>
    <n v="0.38"/>
    <n v="34"/>
    <n v="2.84"/>
    <x v="0"/>
  </r>
  <r>
    <x v="0"/>
    <s v="浦添市"/>
    <x v="4"/>
    <x v="5"/>
    <n v="31"/>
    <n v="1.01"/>
    <n v="11"/>
    <n v="0.6"/>
    <n v="20"/>
    <n v="1.67"/>
    <x v="0"/>
  </r>
  <r>
    <x v="0"/>
    <s v="浦添市"/>
    <x v="4"/>
    <x v="6"/>
    <n v="587"/>
    <n v="19.21"/>
    <n v="268"/>
    <n v="14.55"/>
    <n v="318"/>
    <n v="26.54"/>
    <x v="1"/>
  </r>
  <r>
    <x v="0"/>
    <s v="浦添市"/>
    <x v="4"/>
    <x v="7"/>
    <n v="30"/>
    <n v="0.98"/>
    <n v="12"/>
    <n v="0.65"/>
    <n v="18"/>
    <n v="1.5"/>
    <x v="0"/>
  </r>
  <r>
    <x v="0"/>
    <s v="浦添市"/>
    <x v="4"/>
    <x v="8"/>
    <n v="593"/>
    <n v="19.41"/>
    <n v="386"/>
    <n v="20.96"/>
    <n v="206"/>
    <n v="17.2"/>
    <x v="1"/>
  </r>
  <r>
    <x v="0"/>
    <s v="浦添市"/>
    <x v="4"/>
    <x v="9"/>
    <n v="194"/>
    <n v="6.35"/>
    <n v="97"/>
    <n v="5.27"/>
    <n v="97"/>
    <n v="8.1"/>
    <x v="0"/>
  </r>
  <r>
    <x v="0"/>
    <s v="浦添市"/>
    <x v="4"/>
    <x v="10"/>
    <n v="470"/>
    <n v="15.38"/>
    <n v="423"/>
    <n v="22.96"/>
    <n v="47"/>
    <n v="3.92"/>
    <x v="0"/>
  </r>
  <r>
    <x v="0"/>
    <s v="浦添市"/>
    <x v="4"/>
    <x v="11"/>
    <n v="316"/>
    <n v="10.34"/>
    <n v="241"/>
    <n v="13.08"/>
    <n v="74"/>
    <n v="6.18"/>
    <x v="1"/>
  </r>
  <r>
    <x v="0"/>
    <s v="浦添市"/>
    <x v="4"/>
    <x v="12"/>
    <n v="159"/>
    <n v="5.2"/>
    <n v="129"/>
    <n v="7"/>
    <n v="23"/>
    <n v="1.92"/>
    <x v="5"/>
  </r>
  <r>
    <x v="0"/>
    <s v="浦添市"/>
    <x v="4"/>
    <x v="13"/>
    <n v="150"/>
    <n v="4.91"/>
    <n v="83"/>
    <n v="4.51"/>
    <n v="65"/>
    <n v="5.43"/>
    <x v="3"/>
  </r>
  <r>
    <x v="0"/>
    <s v="浦添市"/>
    <x v="4"/>
    <x v="14"/>
    <n v="100"/>
    <n v="3.27"/>
    <n v="52"/>
    <n v="2.82"/>
    <n v="45"/>
    <n v="3.76"/>
    <x v="3"/>
  </r>
  <r>
    <x v="0"/>
    <s v="名護市"/>
    <x v="5"/>
    <x v="0"/>
    <n v="1"/>
    <n v="7.0000000000000007E-2"/>
    <n v="0"/>
    <n v="0"/>
    <n v="1"/>
    <n v="0.25"/>
    <x v="0"/>
  </r>
  <r>
    <x v="0"/>
    <s v="名護市"/>
    <x v="5"/>
    <x v="1"/>
    <n v="105"/>
    <n v="7.06"/>
    <n v="41"/>
    <n v="3.85"/>
    <n v="64"/>
    <n v="15.8"/>
    <x v="0"/>
  </r>
  <r>
    <x v="0"/>
    <s v="名護市"/>
    <x v="5"/>
    <x v="2"/>
    <n v="74"/>
    <n v="4.97"/>
    <n v="48"/>
    <n v="4.51"/>
    <n v="26"/>
    <n v="6.42"/>
    <x v="0"/>
  </r>
  <r>
    <x v="0"/>
    <s v="名護市"/>
    <x v="5"/>
    <x v="3"/>
    <n v="0"/>
    <n v="0"/>
    <n v="0"/>
    <n v="0"/>
    <n v="0"/>
    <n v="0"/>
    <x v="0"/>
  </r>
  <r>
    <x v="0"/>
    <s v="名護市"/>
    <x v="5"/>
    <x v="4"/>
    <n v="11"/>
    <n v="0.74"/>
    <n v="0"/>
    <n v="0"/>
    <n v="11"/>
    <n v="2.72"/>
    <x v="0"/>
  </r>
  <r>
    <x v="0"/>
    <s v="名護市"/>
    <x v="5"/>
    <x v="5"/>
    <n v="6"/>
    <n v="0.4"/>
    <n v="3"/>
    <n v="0.28000000000000003"/>
    <n v="3"/>
    <n v="0.74"/>
    <x v="0"/>
  </r>
  <r>
    <x v="0"/>
    <s v="名護市"/>
    <x v="5"/>
    <x v="6"/>
    <n v="382"/>
    <n v="25.67"/>
    <n v="289"/>
    <n v="27.16"/>
    <n v="91"/>
    <n v="22.47"/>
    <x v="3"/>
  </r>
  <r>
    <x v="0"/>
    <s v="名護市"/>
    <x v="5"/>
    <x v="7"/>
    <n v="8"/>
    <n v="0.54"/>
    <n v="1"/>
    <n v="0.09"/>
    <n v="7"/>
    <n v="1.73"/>
    <x v="0"/>
  </r>
  <r>
    <x v="0"/>
    <s v="名護市"/>
    <x v="5"/>
    <x v="8"/>
    <n v="115"/>
    <n v="7.73"/>
    <n v="47"/>
    <n v="4.42"/>
    <n v="68"/>
    <n v="16.79"/>
    <x v="0"/>
  </r>
  <r>
    <x v="0"/>
    <s v="名護市"/>
    <x v="5"/>
    <x v="9"/>
    <n v="60"/>
    <n v="4.03"/>
    <n v="29"/>
    <n v="2.73"/>
    <n v="28"/>
    <n v="6.91"/>
    <x v="0"/>
  </r>
  <r>
    <x v="0"/>
    <s v="名護市"/>
    <x v="5"/>
    <x v="10"/>
    <n v="323"/>
    <n v="21.71"/>
    <n v="301"/>
    <n v="28.29"/>
    <n v="21"/>
    <n v="5.19"/>
    <x v="1"/>
  </r>
  <r>
    <x v="0"/>
    <s v="名護市"/>
    <x v="5"/>
    <x v="11"/>
    <n v="221"/>
    <n v="14.85"/>
    <n v="193"/>
    <n v="18.14"/>
    <n v="27"/>
    <n v="6.67"/>
    <x v="0"/>
  </r>
  <r>
    <x v="0"/>
    <s v="名護市"/>
    <x v="5"/>
    <x v="12"/>
    <n v="70"/>
    <n v="4.7"/>
    <n v="51"/>
    <n v="4.79"/>
    <n v="10"/>
    <n v="2.4700000000000002"/>
    <x v="14"/>
  </r>
  <r>
    <x v="0"/>
    <s v="名護市"/>
    <x v="5"/>
    <x v="13"/>
    <n v="58"/>
    <n v="3.9"/>
    <n v="29"/>
    <n v="2.73"/>
    <n v="28"/>
    <n v="6.91"/>
    <x v="1"/>
  </r>
  <r>
    <x v="0"/>
    <s v="名護市"/>
    <x v="5"/>
    <x v="14"/>
    <n v="54"/>
    <n v="3.63"/>
    <n v="32"/>
    <n v="3.01"/>
    <n v="20"/>
    <n v="4.9400000000000004"/>
    <x v="3"/>
  </r>
  <r>
    <x v="0"/>
    <s v="糸満市"/>
    <x v="6"/>
    <x v="0"/>
    <n v="1"/>
    <n v="7.0000000000000007E-2"/>
    <n v="0"/>
    <n v="0"/>
    <n v="1"/>
    <n v="0.21"/>
    <x v="0"/>
  </r>
  <r>
    <x v="0"/>
    <s v="糸満市"/>
    <x v="6"/>
    <x v="1"/>
    <n v="156"/>
    <n v="10.59"/>
    <n v="52"/>
    <n v="5.24"/>
    <n v="104"/>
    <n v="22.27"/>
    <x v="0"/>
  </r>
  <r>
    <x v="0"/>
    <s v="糸満市"/>
    <x v="6"/>
    <x v="2"/>
    <n v="99"/>
    <n v="6.72"/>
    <n v="39"/>
    <n v="3.93"/>
    <n v="60"/>
    <n v="12.85"/>
    <x v="0"/>
  </r>
  <r>
    <x v="0"/>
    <s v="糸満市"/>
    <x v="6"/>
    <x v="3"/>
    <n v="0"/>
    <n v="0"/>
    <n v="0"/>
    <n v="0"/>
    <n v="0"/>
    <n v="0"/>
    <x v="0"/>
  </r>
  <r>
    <x v="0"/>
    <s v="糸満市"/>
    <x v="6"/>
    <x v="4"/>
    <n v="6"/>
    <n v="0.41"/>
    <n v="1"/>
    <n v="0.1"/>
    <n v="5"/>
    <n v="1.07"/>
    <x v="0"/>
  </r>
  <r>
    <x v="0"/>
    <s v="糸満市"/>
    <x v="6"/>
    <x v="5"/>
    <n v="34"/>
    <n v="2.31"/>
    <n v="25"/>
    <n v="2.52"/>
    <n v="9"/>
    <n v="1.93"/>
    <x v="0"/>
  </r>
  <r>
    <x v="0"/>
    <s v="糸満市"/>
    <x v="6"/>
    <x v="6"/>
    <n v="337"/>
    <n v="22.88"/>
    <n v="244"/>
    <n v="24.6"/>
    <n v="93"/>
    <n v="19.91"/>
    <x v="0"/>
  </r>
  <r>
    <x v="0"/>
    <s v="糸満市"/>
    <x v="6"/>
    <x v="7"/>
    <n v="7"/>
    <n v="0.48"/>
    <n v="5"/>
    <n v="0.5"/>
    <n v="2"/>
    <n v="0.43"/>
    <x v="0"/>
  </r>
  <r>
    <x v="0"/>
    <s v="糸満市"/>
    <x v="6"/>
    <x v="8"/>
    <n v="148"/>
    <n v="10.050000000000001"/>
    <n v="73"/>
    <n v="7.36"/>
    <n v="74"/>
    <n v="15.85"/>
    <x v="0"/>
  </r>
  <r>
    <x v="0"/>
    <s v="糸満市"/>
    <x v="6"/>
    <x v="9"/>
    <n v="60"/>
    <n v="4.07"/>
    <n v="38"/>
    <n v="3.83"/>
    <n v="20"/>
    <n v="4.28"/>
    <x v="3"/>
  </r>
  <r>
    <x v="0"/>
    <s v="糸満市"/>
    <x v="6"/>
    <x v="10"/>
    <n v="220"/>
    <n v="14.94"/>
    <n v="198"/>
    <n v="19.96"/>
    <n v="21"/>
    <n v="4.5"/>
    <x v="0"/>
  </r>
  <r>
    <x v="0"/>
    <s v="糸満市"/>
    <x v="6"/>
    <x v="11"/>
    <n v="180"/>
    <n v="12.22"/>
    <n v="152"/>
    <n v="15.32"/>
    <n v="28"/>
    <n v="6"/>
    <x v="0"/>
  </r>
  <r>
    <x v="0"/>
    <s v="糸満市"/>
    <x v="6"/>
    <x v="12"/>
    <n v="85"/>
    <n v="5.77"/>
    <n v="78"/>
    <n v="7.86"/>
    <n v="4"/>
    <n v="0.86"/>
    <x v="0"/>
  </r>
  <r>
    <x v="0"/>
    <s v="糸満市"/>
    <x v="6"/>
    <x v="13"/>
    <n v="58"/>
    <n v="3.94"/>
    <n v="25"/>
    <n v="2.52"/>
    <n v="28"/>
    <n v="6"/>
    <x v="0"/>
  </r>
  <r>
    <x v="0"/>
    <s v="糸満市"/>
    <x v="6"/>
    <x v="14"/>
    <n v="82"/>
    <n v="5.57"/>
    <n v="62"/>
    <n v="6.25"/>
    <n v="18"/>
    <n v="3.85"/>
    <x v="3"/>
  </r>
  <r>
    <x v="0"/>
    <s v="沖縄市"/>
    <x v="7"/>
    <x v="0"/>
    <n v="2"/>
    <n v="7.0000000000000007E-2"/>
    <n v="0"/>
    <n v="0"/>
    <n v="2"/>
    <n v="0.2"/>
    <x v="0"/>
  </r>
  <r>
    <x v="0"/>
    <s v="沖縄市"/>
    <x v="7"/>
    <x v="1"/>
    <n v="238"/>
    <n v="7.87"/>
    <n v="61"/>
    <n v="3.01"/>
    <n v="177"/>
    <n v="17.97"/>
    <x v="0"/>
  </r>
  <r>
    <x v="0"/>
    <s v="沖縄市"/>
    <x v="7"/>
    <x v="2"/>
    <n v="126"/>
    <n v="4.17"/>
    <n v="82"/>
    <n v="4.05"/>
    <n v="44"/>
    <n v="4.47"/>
    <x v="0"/>
  </r>
  <r>
    <x v="0"/>
    <s v="沖縄市"/>
    <x v="7"/>
    <x v="3"/>
    <n v="2"/>
    <n v="7.0000000000000007E-2"/>
    <n v="0"/>
    <n v="0"/>
    <n v="2"/>
    <n v="0.2"/>
    <x v="0"/>
  </r>
  <r>
    <x v="0"/>
    <s v="沖縄市"/>
    <x v="7"/>
    <x v="4"/>
    <n v="20"/>
    <n v="0.66"/>
    <n v="3"/>
    <n v="0.15"/>
    <n v="17"/>
    <n v="1.73"/>
    <x v="0"/>
  </r>
  <r>
    <x v="0"/>
    <s v="沖縄市"/>
    <x v="7"/>
    <x v="5"/>
    <n v="20"/>
    <n v="0.66"/>
    <n v="12"/>
    <n v="0.59"/>
    <n v="8"/>
    <n v="0.81"/>
    <x v="0"/>
  </r>
  <r>
    <x v="0"/>
    <s v="沖縄市"/>
    <x v="7"/>
    <x v="6"/>
    <n v="677"/>
    <n v="22.39"/>
    <n v="468"/>
    <n v="23.09"/>
    <n v="209"/>
    <n v="21.22"/>
    <x v="0"/>
  </r>
  <r>
    <x v="0"/>
    <s v="沖縄市"/>
    <x v="7"/>
    <x v="7"/>
    <n v="24"/>
    <n v="0.79"/>
    <n v="5"/>
    <n v="0.25"/>
    <n v="19"/>
    <n v="1.93"/>
    <x v="0"/>
  </r>
  <r>
    <x v="0"/>
    <s v="沖縄市"/>
    <x v="7"/>
    <x v="8"/>
    <n v="355"/>
    <n v="11.74"/>
    <n v="128"/>
    <n v="6.31"/>
    <n v="226"/>
    <n v="22.94"/>
    <x v="0"/>
  </r>
  <r>
    <x v="0"/>
    <s v="沖縄市"/>
    <x v="7"/>
    <x v="9"/>
    <n v="127"/>
    <n v="4.2"/>
    <n v="76"/>
    <n v="3.75"/>
    <n v="50"/>
    <n v="5.08"/>
    <x v="1"/>
  </r>
  <r>
    <x v="0"/>
    <s v="沖縄市"/>
    <x v="7"/>
    <x v="10"/>
    <n v="570"/>
    <n v="18.86"/>
    <n v="520"/>
    <n v="25.65"/>
    <n v="49"/>
    <n v="4.97"/>
    <x v="0"/>
  </r>
  <r>
    <x v="0"/>
    <s v="沖縄市"/>
    <x v="7"/>
    <x v="11"/>
    <n v="392"/>
    <n v="12.97"/>
    <n v="341"/>
    <n v="16.82"/>
    <n v="50"/>
    <n v="5.08"/>
    <x v="1"/>
  </r>
  <r>
    <x v="0"/>
    <s v="沖縄市"/>
    <x v="7"/>
    <x v="12"/>
    <n v="191"/>
    <n v="6.32"/>
    <n v="158"/>
    <n v="7.79"/>
    <n v="31"/>
    <n v="3.15"/>
    <x v="0"/>
  </r>
  <r>
    <x v="0"/>
    <s v="沖縄市"/>
    <x v="7"/>
    <x v="13"/>
    <n v="135"/>
    <n v="4.47"/>
    <n v="78"/>
    <n v="3.85"/>
    <n v="53"/>
    <n v="5.38"/>
    <x v="1"/>
  </r>
  <r>
    <x v="0"/>
    <s v="沖縄市"/>
    <x v="7"/>
    <x v="14"/>
    <n v="144"/>
    <n v="4.76"/>
    <n v="95"/>
    <n v="4.6900000000000004"/>
    <n v="48"/>
    <n v="4.87"/>
    <x v="0"/>
  </r>
  <r>
    <x v="0"/>
    <s v="豊見城市"/>
    <x v="8"/>
    <x v="0"/>
    <n v="0"/>
    <n v="0"/>
    <n v="0"/>
    <n v="0"/>
    <n v="0"/>
    <n v="0"/>
    <x v="0"/>
  </r>
  <r>
    <x v="0"/>
    <s v="豊見城市"/>
    <x v="8"/>
    <x v="1"/>
    <n v="155"/>
    <n v="12.63"/>
    <n v="43"/>
    <n v="6.92"/>
    <n v="112"/>
    <n v="18.64"/>
    <x v="0"/>
  </r>
  <r>
    <x v="0"/>
    <s v="豊見城市"/>
    <x v="8"/>
    <x v="2"/>
    <n v="70"/>
    <n v="5.7"/>
    <n v="45"/>
    <n v="7.25"/>
    <n v="25"/>
    <n v="4.16"/>
    <x v="0"/>
  </r>
  <r>
    <x v="0"/>
    <s v="豊見城市"/>
    <x v="8"/>
    <x v="3"/>
    <n v="4"/>
    <n v="0.33"/>
    <n v="0"/>
    <n v="0"/>
    <n v="4"/>
    <n v="0.67"/>
    <x v="0"/>
  </r>
  <r>
    <x v="0"/>
    <s v="豊見城市"/>
    <x v="8"/>
    <x v="4"/>
    <n v="9"/>
    <n v="0.73"/>
    <n v="1"/>
    <n v="0.16"/>
    <n v="8"/>
    <n v="1.33"/>
    <x v="0"/>
  </r>
  <r>
    <x v="0"/>
    <s v="豊見城市"/>
    <x v="8"/>
    <x v="5"/>
    <n v="22"/>
    <n v="1.79"/>
    <n v="15"/>
    <n v="2.42"/>
    <n v="7"/>
    <n v="1.1599999999999999"/>
    <x v="0"/>
  </r>
  <r>
    <x v="0"/>
    <s v="豊見城市"/>
    <x v="8"/>
    <x v="6"/>
    <n v="284"/>
    <n v="23.15"/>
    <n v="119"/>
    <n v="19.16"/>
    <n v="165"/>
    <n v="27.45"/>
    <x v="0"/>
  </r>
  <r>
    <x v="0"/>
    <s v="豊見城市"/>
    <x v="8"/>
    <x v="7"/>
    <n v="12"/>
    <n v="0.98"/>
    <n v="3"/>
    <n v="0.48"/>
    <n v="9"/>
    <n v="1.5"/>
    <x v="0"/>
  </r>
  <r>
    <x v="0"/>
    <s v="豊見城市"/>
    <x v="8"/>
    <x v="8"/>
    <n v="140"/>
    <n v="11.41"/>
    <n v="24"/>
    <n v="3.86"/>
    <n v="116"/>
    <n v="19.3"/>
    <x v="0"/>
  </r>
  <r>
    <x v="0"/>
    <s v="豊見城市"/>
    <x v="8"/>
    <x v="9"/>
    <n v="64"/>
    <n v="5.22"/>
    <n v="37"/>
    <n v="5.96"/>
    <n v="27"/>
    <n v="4.49"/>
    <x v="0"/>
  </r>
  <r>
    <x v="0"/>
    <s v="豊見城市"/>
    <x v="8"/>
    <x v="10"/>
    <n v="77"/>
    <n v="6.28"/>
    <n v="48"/>
    <n v="7.73"/>
    <n v="28"/>
    <n v="4.66"/>
    <x v="0"/>
  </r>
  <r>
    <x v="0"/>
    <s v="豊見城市"/>
    <x v="8"/>
    <x v="11"/>
    <n v="159"/>
    <n v="12.96"/>
    <n v="125"/>
    <n v="20.13"/>
    <n v="34"/>
    <n v="5.66"/>
    <x v="0"/>
  </r>
  <r>
    <x v="0"/>
    <s v="豊見城市"/>
    <x v="8"/>
    <x v="12"/>
    <n v="92"/>
    <n v="7.5"/>
    <n v="82"/>
    <n v="13.2"/>
    <n v="10"/>
    <n v="1.66"/>
    <x v="0"/>
  </r>
  <r>
    <x v="0"/>
    <s v="豊見城市"/>
    <x v="8"/>
    <x v="13"/>
    <n v="65"/>
    <n v="5.3"/>
    <n v="37"/>
    <n v="5.96"/>
    <n v="25"/>
    <n v="4.16"/>
    <x v="3"/>
  </r>
  <r>
    <x v="0"/>
    <s v="豊見城市"/>
    <x v="8"/>
    <x v="14"/>
    <n v="74"/>
    <n v="6.03"/>
    <n v="42"/>
    <n v="6.76"/>
    <n v="31"/>
    <n v="5.16"/>
    <x v="1"/>
  </r>
  <r>
    <x v="0"/>
    <s v="うるま市"/>
    <x v="9"/>
    <x v="0"/>
    <n v="0"/>
    <n v="0"/>
    <n v="0"/>
    <n v="0"/>
    <n v="0"/>
    <n v="0"/>
    <x v="0"/>
  </r>
  <r>
    <x v="0"/>
    <s v="うるま市"/>
    <x v="9"/>
    <x v="1"/>
    <n v="247"/>
    <n v="9.57"/>
    <n v="112"/>
    <n v="5.76"/>
    <n v="134"/>
    <n v="21.9"/>
    <x v="1"/>
  </r>
  <r>
    <x v="0"/>
    <s v="うるま市"/>
    <x v="9"/>
    <x v="2"/>
    <n v="154"/>
    <n v="5.97"/>
    <n v="84"/>
    <n v="4.32"/>
    <n v="70"/>
    <n v="11.44"/>
    <x v="0"/>
  </r>
  <r>
    <x v="0"/>
    <s v="うるま市"/>
    <x v="9"/>
    <x v="3"/>
    <n v="3"/>
    <n v="0.12"/>
    <n v="0"/>
    <n v="0"/>
    <n v="1"/>
    <n v="0.16"/>
    <x v="0"/>
  </r>
  <r>
    <x v="0"/>
    <s v="うるま市"/>
    <x v="9"/>
    <x v="4"/>
    <n v="17"/>
    <n v="0.66"/>
    <n v="0"/>
    <n v="0"/>
    <n v="17"/>
    <n v="2.78"/>
    <x v="0"/>
  </r>
  <r>
    <x v="0"/>
    <s v="うるま市"/>
    <x v="9"/>
    <x v="5"/>
    <n v="25"/>
    <n v="0.97"/>
    <n v="16"/>
    <n v="0.82"/>
    <n v="9"/>
    <n v="1.47"/>
    <x v="0"/>
  </r>
  <r>
    <x v="0"/>
    <s v="うるま市"/>
    <x v="9"/>
    <x v="6"/>
    <n v="524"/>
    <n v="20.309999999999999"/>
    <n v="398"/>
    <n v="20.48"/>
    <n v="125"/>
    <n v="20.420000000000002"/>
    <x v="1"/>
  </r>
  <r>
    <x v="0"/>
    <s v="うるま市"/>
    <x v="9"/>
    <x v="7"/>
    <n v="16"/>
    <n v="0.62"/>
    <n v="10"/>
    <n v="0.51"/>
    <n v="6"/>
    <n v="0.98"/>
    <x v="0"/>
  </r>
  <r>
    <x v="0"/>
    <s v="うるま市"/>
    <x v="9"/>
    <x v="8"/>
    <n v="407"/>
    <n v="15.78"/>
    <n v="336"/>
    <n v="17.29"/>
    <n v="71"/>
    <n v="11.6"/>
    <x v="0"/>
  </r>
  <r>
    <x v="0"/>
    <s v="うるま市"/>
    <x v="9"/>
    <x v="9"/>
    <n v="96"/>
    <n v="3.72"/>
    <n v="63"/>
    <n v="3.24"/>
    <n v="31"/>
    <n v="5.07"/>
    <x v="1"/>
  </r>
  <r>
    <x v="0"/>
    <s v="うるま市"/>
    <x v="9"/>
    <x v="10"/>
    <n v="426"/>
    <n v="16.510000000000002"/>
    <n v="403"/>
    <n v="20.74"/>
    <n v="21"/>
    <n v="3.43"/>
    <x v="0"/>
  </r>
  <r>
    <x v="0"/>
    <s v="うるま市"/>
    <x v="9"/>
    <x v="11"/>
    <n v="327"/>
    <n v="12.67"/>
    <n v="286"/>
    <n v="14.72"/>
    <n v="41"/>
    <n v="6.7"/>
    <x v="0"/>
  </r>
  <r>
    <x v="0"/>
    <s v="うるま市"/>
    <x v="9"/>
    <x v="12"/>
    <n v="120"/>
    <n v="4.6500000000000004"/>
    <n v="103"/>
    <n v="5.3"/>
    <n v="11"/>
    <n v="1.8"/>
    <x v="3"/>
  </r>
  <r>
    <x v="0"/>
    <s v="うるま市"/>
    <x v="9"/>
    <x v="13"/>
    <n v="85"/>
    <n v="3.29"/>
    <n v="41"/>
    <n v="2.11"/>
    <n v="40"/>
    <n v="6.54"/>
    <x v="13"/>
  </r>
  <r>
    <x v="0"/>
    <s v="うるま市"/>
    <x v="9"/>
    <x v="14"/>
    <n v="133"/>
    <n v="5.16"/>
    <n v="91"/>
    <n v="4.68"/>
    <n v="35"/>
    <n v="5.72"/>
    <x v="12"/>
  </r>
  <r>
    <x v="0"/>
    <s v="宮古島市"/>
    <x v="10"/>
    <x v="0"/>
    <n v="0"/>
    <n v="0"/>
    <n v="0"/>
    <n v="0"/>
    <n v="0"/>
    <n v="0"/>
    <x v="0"/>
  </r>
  <r>
    <x v="0"/>
    <s v="宮古島市"/>
    <x v="10"/>
    <x v="1"/>
    <n v="184"/>
    <n v="9.6199999999999992"/>
    <n v="59"/>
    <n v="4.25"/>
    <n v="125"/>
    <n v="24.61"/>
    <x v="0"/>
  </r>
  <r>
    <x v="0"/>
    <s v="宮古島市"/>
    <x v="10"/>
    <x v="2"/>
    <n v="128"/>
    <n v="6.69"/>
    <n v="87"/>
    <n v="6.27"/>
    <n v="41"/>
    <n v="8.07"/>
    <x v="0"/>
  </r>
  <r>
    <x v="0"/>
    <s v="宮古島市"/>
    <x v="10"/>
    <x v="3"/>
    <n v="3"/>
    <n v="0.16"/>
    <n v="0"/>
    <n v="0"/>
    <n v="3"/>
    <n v="0.59"/>
    <x v="0"/>
  </r>
  <r>
    <x v="0"/>
    <s v="宮古島市"/>
    <x v="10"/>
    <x v="4"/>
    <n v="16"/>
    <n v="0.84"/>
    <n v="1"/>
    <n v="7.0000000000000007E-2"/>
    <n v="15"/>
    <n v="2.95"/>
    <x v="0"/>
  </r>
  <r>
    <x v="0"/>
    <s v="宮古島市"/>
    <x v="10"/>
    <x v="5"/>
    <n v="41"/>
    <n v="2.14"/>
    <n v="34"/>
    <n v="2.4500000000000002"/>
    <n v="7"/>
    <n v="1.38"/>
    <x v="0"/>
  </r>
  <r>
    <x v="0"/>
    <s v="宮古島市"/>
    <x v="10"/>
    <x v="6"/>
    <n v="428"/>
    <n v="22.37"/>
    <n v="321"/>
    <n v="23.14"/>
    <n v="107"/>
    <n v="21.06"/>
    <x v="0"/>
  </r>
  <r>
    <x v="0"/>
    <s v="宮古島市"/>
    <x v="10"/>
    <x v="7"/>
    <n v="9"/>
    <n v="0.47"/>
    <n v="4"/>
    <n v="0.28999999999999998"/>
    <n v="5"/>
    <n v="0.98"/>
    <x v="0"/>
  </r>
  <r>
    <x v="0"/>
    <s v="宮古島市"/>
    <x v="10"/>
    <x v="8"/>
    <n v="132"/>
    <n v="6.9"/>
    <n v="72"/>
    <n v="5.19"/>
    <n v="59"/>
    <n v="11.61"/>
    <x v="0"/>
  </r>
  <r>
    <x v="0"/>
    <s v="宮古島市"/>
    <x v="10"/>
    <x v="9"/>
    <n v="83"/>
    <n v="4.34"/>
    <n v="55"/>
    <n v="3.97"/>
    <n v="28"/>
    <n v="5.51"/>
    <x v="0"/>
  </r>
  <r>
    <x v="0"/>
    <s v="宮古島市"/>
    <x v="10"/>
    <x v="10"/>
    <n v="387"/>
    <n v="20.23"/>
    <n v="351"/>
    <n v="25.31"/>
    <n v="36"/>
    <n v="7.09"/>
    <x v="0"/>
  </r>
  <r>
    <x v="0"/>
    <s v="宮古島市"/>
    <x v="10"/>
    <x v="11"/>
    <n v="263"/>
    <n v="13.75"/>
    <n v="231"/>
    <n v="16.649999999999999"/>
    <n v="29"/>
    <n v="5.71"/>
    <x v="0"/>
  </r>
  <r>
    <x v="0"/>
    <s v="宮古島市"/>
    <x v="10"/>
    <x v="12"/>
    <n v="95"/>
    <n v="4.97"/>
    <n v="76"/>
    <n v="5.48"/>
    <n v="9"/>
    <n v="1.77"/>
    <x v="1"/>
  </r>
  <r>
    <x v="0"/>
    <s v="宮古島市"/>
    <x v="10"/>
    <x v="13"/>
    <n v="62"/>
    <n v="3.24"/>
    <n v="36"/>
    <n v="2.6"/>
    <n v="25"/>
    <n v="4.92"/>
    <x v="0"/>
  </r>
  <r>
    <x v="0"/>
    <s v="宮古島市"/>
    <x v="10"/>
    <x v="14"/>
    <n v="82"/>
    <n v="4.29"/>
    <n v="60"/>
    <n v="4.33"/>
    <n v="19"/>
    <n v="3.74"/>
    <x v="0"/>
  </r>
  <r>
    <x v="0"/>
    <s v="南城市"/>
    <x v="11"/>
    <x v="0"/>
    <n v="1"/>
    <n v="0.1"/>
    <n v="0"/>
    <n v="0"/>
    <n v="1"/>
    <n v="0.36"/>
    <x v="0"/>
  </r>
  <r>
    <x v="0"/>
    <s v="南城市"/>
    <x v="11"/>
    <x v="1"/>
    <n v="127"/>
    <n v="13.3"/>
    <n v="55"/>
    <n v="8.2100000000000009"/>
    <n v="72"/>
    <n v="25.62"/>
    <x v="0"/>
  </r>
  <r>
    <x v="0"/>
    <s v="南城市"/>
    <x v="11"/>
    <x v="2"/>
    <n v="74"/>
    <n v="7.75"/>
    <n v="39"/>
    <n v="5.82"/>
    <n v="35"/>
    <n v="12.46"/>
    <x v="0"/>
  </r>
  <r>
    <x v="0"/>
    <s v="南城市"/>
    <x v="11"/>
    <x v="3"/>
    <n v="0"/>
    <n v="0"/>
    <n v="0"/>
    <n v="0"/>
    <n v="0"/>
    <n v="0"/>
    <x v="0"/>
  </r>
  <r>
    <x v="0"/>
    <s v="南城市"/>
    <x v="11"/>
    <x v="4"/>
    <n v="4"/>
    <n v="0.42"/>
    <n v="1"/>
    <n v="0.15"/>
    <n v="3"/>
    <n v="1.07"/>
    <x v="0"/>
  </r>
  <r>
    <x v="0"/>
    <s v="南城市"/>
    <x v="11"/>
    <x v="5"/>
    <n v="44"/>
    <n v="4.6100000000000003"/>
    <n v="41"/>
    <n v="6.12"/>
    <n v="3"/>
    <n v="1.07"/>
    <x v="0"/>
  </r>
  <r>
    <x v="0"/>
    <s v="南城市"/>
    <x v="11"/>
    <x v="6"/>
    <n v="221"/>
    <n v="23.14"/>
    <n v="178"/>
    <n v="26.57"/>
    <n v="42"/>
    <n v="14.95"/>
    <x v="1"/>
  </r>
  <r>
    <x v="0"/>
    <s v="南城市"/>
    <x v="11"/>
    <x v="7"/>
    <n v="2"/>
    <n v="0.21"/>
    <n v="2"/>
    <n v="0.3"/>
    <n v="0"/>
    <n v="0"/>
    <x v="0"/>
  </r>
  <r>
    <x v="0"/>
    <s v="南城市"/>
    <x v="11"/>
    <x v="8"/>
    <n v="30"/>
    <n v="3.14"/>
    <n v="16"/>
    <n v="2.39"/>
    <n v="14"/>
    <n v="4.9800000000000004"/>
    <x v="0"/>
  </r>
  <r>
    <x v="0"/>
    <s v="南城市"/>
    <x v="11"/>
    <x v="9"/>
    <n v="32"/>
    <n v="3.35"/>
    <n v="17"/>
    <n v="2.54"/>
    <n v="15"/>
    <n v="5.34"/>
    <x v="0"/>
  </r>
  <r>
    <x v="0"/>
    <s v="南城市"/>
    <x v="11"/>
    <x v="10"/>
    <n v="136"/>
    <n v="14.24"/>
    <n v="123"/>
    <n v="18.36"/>
    <n v="12"/>
    <n v="4.2699999999999996"/>
    <x v="0"/>
  </r>
  <r>
    <x v="0"/>
    <s v="南城市"/>
    <x v="11"/>
    <x v="11"/>
    <n v="105"/>
    <n v="10.99"/>
    <n v="84"/>
    <n v="12.54"/>
    <n v="21"/>
    <n v="7.47"/>
    <x v="0"/>
  </r>
  <r>
    <x v="0"/>
    <s v="南城市"/>
    <x v="11"/>
    <x v="12"/>
    <n v="63"/>
    <n v="6.6"/>
    <n v="55"/>
    <n v="8.2100000000000009"/>
    <n v="6"/>
    <n v="2.14"/>
    <x v="3"/>
  </r>
  <r>
    <x v="0"/>
    <s v="南城市"/>
    <x v="11"/>
    <x v="13"/>
    <n v="57"/>
    <n v="5.97"/>
    <n v="20"/>
    <n v="2.99"/>
    <n v="37"/>
    <n v="13.17"/>
    <x v="0"/>
  </r>
  <r>
    <x v="0"/>
    <s v="南城市"/>
    <x v="11"/>
    <x v="14"/>
    <n v="59"/>
    <n v="6.18"/>
    <n v="39"/>
    <n v="5.82"/>
    <n v="20"/>
    <n v="7.12"/>
    <x v="0"/>
  </r>
  <r>
    <x v="0"/>
    <s v="国頭郡国頭村"/>
    <x v="12"/>
    <x v="0"/>
    <n v="0"/>
    <n v="0"/>
    <n v="0"/>
    <n v="0"/>
    <n v="0"/>
    <n v="0"/>
    <x v="0"/>
  </r>
  <r>
    <x v="0"/>
    <s v="国頭郡国頭村"/>
    <x v="12"/>
    <x v="1"/>
    <n v="7"/>
    <n v="4.05"/>
    <n v="5"/>
    <n v="3.57"/>
    <n v="2"/>
    <n v="7.69"/>
    <x v="0"/>
  </r>
  <r>
    <x v="0"/>
    <s v="国頭郡国頭村"/>
    <x v="12"/>
    <x v="2"/>
    <n v="12"/>
    <n v="6.94"/>
    <n v="5"/>
    <n v="3.57"/>
    <n v="7"/>
    <n v="26.92"/>
    <x v="0"/>
  </r>
  <r>
    <x v="0"/>
    <s v="国頭郡国頭村"/>
    <x v="12"/>
    <x v="3"/>
    <n v="1"/>
    <n v="0.57999999999999996"/>
    <n v="0"/>
    <n v="0"/>
    <n v="1"/>
    <n v="3.85"/>
    <x v="0"/>
  </r>
  <r>
    <x v="0"/>
    <s v="国頭郡国頭村"/>
    <x v="12"/>
    <x v="4"/>
    <n v="0"/>
    <n v="0"/>
    <n v="0"/>
    <n v="0"/>
    <n v="0"/>
    <n v="0"/>
    <x v="0"/>
  </r>
  <r>
    <x v="0"/>
    <s v="国頭郡国頭村"/>
    <x v="12"/>
    <x v="5"/>
    <n v="3"/>
    <n v="1.73"/>
    <n v="3"/>
    <n v="2.14"/>
    <n v="0"/>
    <n v="0"/>
    <x v="0"/>
  </r>
  <r>
    <x v="0"/>
    <s v="国頭郡国頭村"/>
    <x v="12"/>
    <x v="6"/>
    <n v="49"/>
    <n v="28.32"/>
    <n v="40"/>
    <n v="28.57"/>
    <n v="5"/>
    <n v="19.23"/>
    <x v="13"/>
  </r>
  <r>
    <x v="0"/>
    <s v="国頭郡国頭村"/>
    <x v="12"/>
    <x v="7"/>
    <n v="0"/>
    <n v="0"/>
    <n v="0"/>
    <n v="0"/>
    <n v="0"/>
    <n v="0"/>
    <x v="0"/>
  </r>
  <r>
    <x v="0"/>
    <s v="国頭郡国頭村"/>
    <x v="12"/>
    <x v="8"/>
    <n v="11"/>
    <n v="6.36"/>
    <n v="9"/>
    <n v="6.43"/>
    <n v="2"/>
    <n v="7.69"/>
    <x v="0"/>
  </r>
  <r>
    <x v="0"/>
    <s v="国頭郡国頭村"/>
    <x v="12"/>
    <x v="9"/>
    <n v="3"/>
    <n v="1.73"/>
    <n v="3"/>
    <n v="2.14"/>
    <n v="0"/>
    <n v="0"/>
    <x v="0"/>
  </r>
  <r>
    <x v="0"/>
    <s v="国頭郡国頭村"/>
    <x v="12"/>
    <x v="10"/>
    <n v="55"/>
    <n v="31.79"/>
    <n v="50"/>
    <n v="35.71"/>
    <n v="4"/>
    <n v="15.38"/>
    <x v="1"/>
  </r>
  <r>
    <x v="0"/>
    <s v="国頭郡国頭村"/>
    <x v="12"/>
    <x v="11"/>
    <n v="19"/>
    <n v="10.98"/>
    <n v="14"/>
    <n v="10"/>
    <n v="4"/>
    <n v="15.38"/>
    <x v="0"/>
  </r>
  <r>
    <x v="0"/>
    <s v="国頭郡国頭村"/>
    <x v="12"/>
    <x v="12"/>
    <n v="5"/>
    <n v="2.89"/>
    <n v="4"/>
    <n v="2.86"/>
    <n v="1"/>
    <n v="3.85"/>
    <x v="0"/>
  </r>
  <r>
    <x v="0"/>
    <s v="国頭郡国頭村"/>
    <x v="12"/>
    <x v="13"/>
    <n v="2"/>
    <n v="1.1599999999999999"/>
    <n v="2"/>
    <n v="1.43"/>
    <n v="0"/>
    <n v="0"/>
    <x v="0"/>
  </r>
  <r>
    <x v="0"/>
    <s v="国頭郡国頭村"/>
    <x v="12"/>
    <x v="14"/>
    <n v="6"/>
    <n v="3.47"/>
    <n v="5"/>
    <n v="3.57"/>
    <n v="0"/>
    <n v="0"/>
    <x v="0"/>
  </r>
  <r>
    <x v="0"/>
    <s v="国頭郡大宜味村"/>
    <x v="13"/>
    <x v="0"/>
    <n v="0"/>
    <n v="0"/>
    <n v="0"/>
    <n v="0"/>
    <n v="0"/>
    <n v="0"/>
    <x v="0"/>
  </r>
  <r>
    <x v="0"/>
    <s v="国頭郡大宜味村"/>
    <x v="13"/>
    <x v="1"/>
    <n v="8"/>
    <n v="8.6999999999999993"/>
    <n v="2"/>
    <n v="3.57"/>
    <n v="6"/>
    <n v="26.09"/>
    <x v="0"/>
  </r>
  <r>
    <x v="0"/>
    <s v="国頭郡大宜味村"/>
    <x v="13"/>
    <x v="2"/>
    <n v="15"/>
    <n v="16.3"/>
    <n v="10"/>
    <n v="17.86"/>
    <n v="5"/>
    <n v="21.74"/>
    <x v="0"/>
  </r>
  <r>
    <x v="0"/>
    <s v="国頭郡大宜味村"/>
    <x v="13"/>
    <x v="3"/>
    <n v="2"/>
    <n v="2.17"/>
    <n v="0"/>
    <n v="0"/>
    <n v="0"/>
    <n v="0"/>
    <x v="0"/>
  </r>
  <r>
    <x v="0"/>
    <s v="国頭郡大宜味村"/>
    <x v="13"/>
    <x v="4"/>
    <n v="0"/>
    <n v="0"/>
    <n v="0"/>
    <n v="0"/>
    <n v="0"/>
    <n v="0"/>
    <x v="0"/>
  </r>
  <r>
    <x v="0"/>
    <s v="国頭郡大宜味村"/>
    <x v="13"/>
    <x v="5"/>
    <n v="4"/>
    <n v="4.3499999999999996"/>
    <n v="4"/>
    <n v="7.14"/>
    <n v="0"/>
    <n v="0"/>
    <x v="0"/>
  </r>
  <r>
    <x v="0"/>
    <s v="国頭郡大宜味村"/>
    <x v="13"/>
    <x v="6"/>
    <n v="31"/>
    <n v="33.700000000000003"/>
    <n v="28"/>
    <n v="50"/>
    <n v="2"/>
    <n v="8.6999999999999993"/>
    <x v="1"/>
  </r>
  <r>
    <x v="0"/>
    <s v="国頭郡大宜味村"/>
    <x v="13"/>
    <x v="7"/>
    <n v="0"/>
    <n v="0"/>
    <n v="0"/>
    <n v="0"/>
    <n v="0"/>
    <n v="0"/>
    <x v="0"/>
  </r>
  <r>
    <x v="0"/>
    <s v="国頭郡大宜味村"/>
    <x v="13"/>
    <x v="8"/>
    <n v="0"/>
    <n v="0"/>
    <n v="0"/>
    <n v="0"/>
    <n v="0"/>
    <n v="0"/>
    <x v="0"/>
  </r>
  <r>
    <x v="0"/>
    <s v="国頭郡大宜味村"/>
    <x v="13"/>
    <x v="9"/>
    <n v="4"/>
    <n v="4.3499999999999996"/>
    <n v="2"/>
    <n v="3.57"/>
    <n v="2"/>
    <n v="8.6999999999999993"/>
    <x v="0"/>
  </r>
  <r>
    <x v="0"/>
    <s v="国頭郡大宜味村"/>
    <x v="13"/>
    <x v="10"/>
    <n v="7"/>
    <n v="7.61"/>
    <n v="3"/>
    <n v="5.36"/>
    <n v="3"/>
    <n v="13.04"/>
    <x v="1"/>
  </r>
  <r>
    <x v="0"/>
    <s v="国頭郡大宜味村"/>
    <x v="13"/>
    <x v="11"/>
    <n v="8"/>
    <n v="8.6999999999999993"/>
    <n v="7"/>
    <n v="12.5"/>
    <n v="1"/>
    <n v="4.3499999999999996"/>
    <x v="0"/>
  </r>
  <r>
    <x v="0"/>
    <s v="国頭郡大宜味村"/>
    <x v="13"/>
    <x v="12"/>
    <n v="6"/>
    <n v="6.52"/>
    <n v="0"/>
    <n v="0"/>
    <n v="1"/>
    <n v="4.3499999999999996"/>
    <x v="5"/>
  </r>
  <r>
    <x v="0"/>
    <s v="国頭郡大宜味村"/>
    <x v="13"/>
    <x v="13"/>
    <n v="3"/>
    <n v="3.26"/>
    <n v="0"/>
    <n v="0"/>
    <n v="3"/>
    <n v="13.04"/>
    <x v="0"/>
  </r>
  <r>
    <x v="0"/>
    <s v="国頭郡大宜味村"/>
    <x v="13"/>
    <x v="14"/>
    <n v="4"/>
    <n v="4.3499999999999996"/>
    <n v="0"/>
    <n v="0"/>
    <n v="0"/>
    <n v="0"/>
    <x v="3"/>
  </r>
  <r>
    <x v="0"/>
    <s v="国頭郡東村"/>
    <x v="14"/>
    <x v="0"/>
    <n v="0"/>
    <n v="0"/>
    <n v="0"/>
    <n v="0"/>
    <n v="0"/>
    <n v="0"/>
    <x v="0"/>
  </r>
  <r>
    <x v="0"/>
    <s v="国頭郡東村"/>
    <x v="14"/>
    <x v="1"/>
    <n v="4"/>
    <n v="8.6999999999999993"/>
    <n v="1"/>
    <n v="3.45"/>
    <n v="3"/>
    <n v="23.08"/>
    <x v="0"/>
  </r>
  <r>
    <x v="0"/>
    <s v="国頭郡東村"/>
    <x v="14"/>
    <x v="2"/>
    <n v="6"/>
    <n v="13.04"/>
    <n v="5"/>
    <n v="17.239999999999998"/>
    <n v="1"/>
    <n v="7.69"/>
    <x v="0"/>
  </r>
  <r>
    <x v="0"/>
    <s v="国頭郡東村"/>
    <x v="14"/>
    <x v="3"/>
    <n v="0"/>
    <n v="0"/>
    <n v="0"/>
    <n v="0"/>
    <n v="0"/>
    <n v="0"/>
    <x v="0"/>
  </r>
  <r>
    <x v="0"/>
    <s v="国頭郡東村"/>
    <x v="14"/>
    <x v="4"/>
    <n v="0"/>
    <n v="0"/>
    <n v="0"/>
    <n v="0"/>
    <n v="0"/>
    <n v="0"/>
    <x v="0"/>
  </r>
  <r>
    <x v="0"/>
    <s v="国頭郡東村"/>
    <x v="14"/>
    <x v="5"/>
    <n v="1"/>
    <n v="2.17"/>
    <n v="1"/>
    <n v="3.45"/>
    <n v="0"/>
    <n v="0"/>
    <x v="0"/>
  </r>
  <r>
    <x v="0"/>
    <s v="国頭郡東村"/>
    <x v="14"/>
    <x v="6"/>
    <n v="19"/>
    <n v="41.3"/>
    <n v="15"/>
    <n v="51.72"/>
    <n v="2"/>
    <n v="15.38"/>
    <x v="3"/>
  </r>
  <r>
    <x v="0"/>
    <s v="国頭郡東村"/>
    <x v="14"/>
    <x v="7"/>
    <n v="0"/>
    <n v="0"/>
    <n v="0"/>
    <n v="0"/>
    <n v="0"/>
    <n v="0"/>
    <x v="0"/>
  </r>
  <r>
    <x v="0"/>
    <s v="国頭郡東村"/>
    <x v="14"/>
    <x v="8"/>
    <n v="0"/>
    <n v="0"/>
    <n v="0"/>
    <n v="0"/>
    <n v="0"/>
    <n v="0"/>
    <x v="0"/>
  </r>
  <r>
    <x v="0"/>
    <s v="国頭郡東村"/>
    <x v="14"/>
    <x v="9"/>
    <n v="1"/>
    <n v="2.17"/>
    <n v="0"/>
    <n v="0"/>
    <n v="1"/>
    <n v="7.69"/>
    <x v="0"/>
  </r>
  <r>
    <x v="0"/>
    <s v="国頭郡東村"/>
    <x v="14"/>
    <x v="10"/>
    <n v="9"/>
    <n v="19.57"/>
    <n v="6"/>
    <n v="20.69"/>
    <n v="3"/>
    <n v="23.08"/>
    <x v="0"/>
  </r>
  <r>
    <x v="0"/>
    <s v="国頭郡東村"/>
    <x v="14"/>
    <x v="11"/>
    <n v="3"/>
    <n v="6.52"/>
    <n v="0"/>
    <n v="0"/>
    <n v="3"/>
    <n v="23.08"/>
    <x v="0"/>
  </r>
  <r>
    <x v="0"/>
    <s v="国頭郡東村"/>
    <x v="14"/>
    <x v="12"/>
    <n v="1"/>
    <n v="2.17"/>
    <n v="0"/>
    <n v="0"/>
    <n v="0"/>
    <n v="0"/>
    <x v="1"/>
  </r>
  <r>
    <x v="0"/>
    <s v="国頭郡東村"/>
    <x v="14"/>
    <x v="13"/>
    <n v="1"/>
    <n v="2.17"/>
    <n v="0"/>
    <n v="0"/>
    <n v="0"/>
    <n v="0"/>
    <x v="0"/>
  </r>
  <r>
    <x v="0"/>
    <s v="国頭郡東村"/>
    <x v="14"/>
    <x v="14"/>
    <n v="1"/>
    <n v="2.17"/>
    <n v="1"/>
    <n v="3.45"/>
    <n v="0"/>
    <n v="0"/>
    <x v="0"/>
  </r>
  <r>
    <x v="0"/>
    <s v="国頭郡今帰仁村"/>
    <x v="15"/>
    <x v="0"/>
    <n v="0"/>
    <n v="0"/>
    <n v="0"/>
    <n v="0"/>
    <n v="0"/>
    <n v="0"/>
    <x v="0"/>
  </r>
  <r>
    <x v="0"/>
    <s v="国頭郡今帰仁村"/>
    <x v="15"/>
    <x v="1"/>
    <n v="26"/>
    <n v="9.09"/>
    <n v="12"/>
    <n v="5.53"/>
    <n v="14"/>
    <n v="23.33"/>
    <x v="0"/>
  </r>
  <r>
    <x v="0"/>
    <s v="国頭郡今帰仁村"/>
    <x v="15"/>
    <x v="2"/>
    <n v="16"/>
    <n v="5.59"/>
    <n v="9"/>
    <n v="4.1500000000000004"/>
    <n v="7"/>
    <n v="11.67"/>
    <x v="0"/>
  </r>
  <r>
    <x v="0"/>
    <s v="国頭郡今帰仁村"/>
    <x v="15"/>
    <x v="3"/>
    <n v="1"/>
    <n v="0.35"/>
    <n v="0"/>
    <n v="0"/>
    <n v="1"/>
    <n v="1.67"/>
    <x v="0"/>
  </r>
  <r>
    <x v="0"/>
    <s v="国頭郡今帰仁村"/>
    <x v="15"/>
    <x v="4"/>
    <n v="1"/>
    <n v="0.35"/>
    <n v="0"/>
    <n v="0"/>
    <n v="1"/>
    <n v="1.67"/>
    <x v="0"/>
  </r>
  <r>
    <x v="0"/>
    <s v="国頭郡今帰仁村"/>
    <x v="15"/>
    <x v="5"/>
    <n v="3"/>
    <n v="1.05"/>
    <n v="1"/>
    <n v="0.46"/>
    <n v="0"/>
    <n v="0"/>
    <x v="0"/>
  </r>
  <r>
    <x v="0"/>
    <s v="国頭郡今帰仁村"/>
    <x v="15"/>
    <x v="6"/>
    <n v="68"/>
    <n v="23.78"/>
    <n v="60"/>
    <n v="27.65"/>
    <n v="8"/>
    <n v="13.33"/>
    <x v="0"/>
  </r>
  <r>
    <x v="0"/>
    <s v="国頭郡今帰仁村"/>
    <x v="15"/>
    <x v="7"/>
    <n v="0"/>
    <n v="0"/>
    <n v="0"/>
    <n v="0"/>
    <n v="0"/>
    <n v="0"/>
    <x v="0"/>
  </r>
  <r>
    <x v="0"/>
    <s v="国頭郡今帰仁村"/>
    <x v="15"/>
    <x v="8"/>
    <n v="18"/>
    <n v="6.29"/>
    <n v="13"/>
    <n v="5.99"/>
    <n v="5"/>
    <n v="8.33"/>
    <x v="0"/>
  </r>
  <r>
    <x v="0"/>
    <s v="国頭郡今帰仁村"/>
    <x v="15"/>
    <x v="9"/>
    <n v="4"/>
    <n v="1.4"/>
    <n v="4"/>
    <n v="1.84"/>
    <n v="0"/>
    <n v="0"/>
    <x v="0"/>
  </r>
  <r>
    <x v="0"/>
    <s v="国頭郡今帰仁村"/>
    <x v="15"/>
    <x v="10"/>
    <n v="91"/>
    <n v="31.82"/>
    <n v="73"/>
    <n v="33.64"/>
    <n v="18"/>
    <n v="30"/>
    <x v="0"/>
  </r>
  <r>
    <x v="0"/>
    <s v="国頭郡今帰仁村"/>
    <x v="15"/>
    <x v="11"/>
    <n v="29"/>
    <n v="10.14"/>
    <n v="27"/>
    <n v="12.44"/>
    <n v="2"/>
    <n v="3.33"/>
    <x v="0"/>
  </r>
  <r>
    <x v="0"/>
    <s v="国頭郡今帰仁村"/>
    <x v="15"/>
    <x v="12"/>
    <n v="9"/>
    <n v="3.15"/>
    <n v="8"/>
    <n v="3.69"/>
    <n v="0"/>
    <n v="0"/>
    <x v="1"/>
  </r>
  <r>
    <x v="0"/>
    <s v="国頭郡今帰仁村"/>
    <x v="15"/>
    <x v="13"/>
    <n v="5"/>
    <n v="1.75"/>
    <n v="1"/>
    <n v="0.46"/>
    <n v="3"/>
    <n v="5"/>
    <x v="0"/>
  </r>
  <r>
    <x v="0"/>
    <s v="国頭郡今帰仁村"/>
    <x v="15"/>
    <x v="14"/>
    <n v="15"/>
    <n v="5.24"/>
    <n v="9"/>
    <n v="4.1500000000000004"/>
    <n v="1"/>
    <n v="1.67"/>
    <x v="5"/>
  </r>
  <r>
    <x v="0"/>
    <s v="国頭郡本部町"/>
    <x v="16"/>
    <x v="0"/>
    <n v="0"/>
    <n v="0"/>
    <n v="0"/>
    <n v="0"/>
    <n v="0"/>
    <n v="0"/>
    <x v="0"/>
  </r>
  <r>
    <x v="0"/>
    <s v="国頭郡本部町"/>
    <x v="16"/>
    <x v="1"/>
    <n v="29"/>
    <n v="6.16"/>
    <n v="11"/>
    <n v="2.93"/>
    <n v="18"/>
    <n v="20"/>
    <x v="0"/>
  </r>
  <r>
    <x v="0"/>
    <s v="国頭郡本部町"/>
    <x v="16"/>
    <x v="2"/>
    <n v="31"/>
    <n v="6.58"/>
    <n v="22"/>
    <n v="5.87"/>
    <n v="9"/>
    <n v="10"/>
    <x v="0"/>
  </r>
  <r>
    <x v="0"/>
    <s v="国頭郡本部町"/>
    <x v="16"/>
    <x v="3"/>
    <n v="1"/>
    <n v="0.21"/>
    <n v="0"/>
    <n v="0"/>
    <n v="1"/>
    <n v="1.1100000000000001"/>
    <x v="0"/>
  </r>
  <r>
    <x v="0"/>
    <s v="国頭郡本部町"/>
    <x v="16"/>
    <x v="4"/>
    <n v="1"/>
    <n v="0.21"/>
    <n v="0"/>
    <n v="0"/>
    <n v="1"/>
    <n v="1.1100000000000001"/>
    <x v="0"/>
  </r>
  <r>
    <x v="0"/>
    <s v="国頭郡本部町"/>
    <x v="16"/>
    <x v="5"/>
    <n v="2"/>
    <n v="0.42"/>
    <n v="1"/>
    <n v="0.27"/>
    <n v="0"/>
    <n v="0"/>
    <x v="0"/>
  </r>
  <r>
    <x v="0"/>
    <s v="国頭郡本部町"/>
    <x v="16"/>
    <x v="6"/>
    <n v="130"/>
    <n v="27.6"/>
    <n v="116"/>
    <n v="30.93"/>
    <n v="14"/>
    <n v="15.56"/>
    <x v="0"/>
  </r>
  <r>
    <x v="0"/>
    <s v="国頭郡本部町"/>
    <x v="16"/>
    <x v="7"/>
    <n v="2"/>
    <n v="0.42"/>
    <n v="2"/>
    <n v="0.53"/>
    <n v="0"/>
    <n v="0"/>
    <x v="0"/>
  </r>
  <r>
    <x v="0"/>
    <s v="国頭郡本部町"/>
    <x v="16"/>
    <x v="8"/>
    <n v="19"/>
    <n v="4.03"/>
    <n v="10"/>
    <n v="2.67"/>
    <n v="9"/>
    <n v="10"/>
    <x v="0"/>
  </r>
  <r>
    <x v="0"/>
    <s v="国頭郡本部町"/>
    <x v="16"/>
    <x v="9"/>
    <n v="14"/>
    <n v="2.97"/>
    <n v="9"/>
    <n v="2.4"/>
    <n v="4"/>
    <n v="4.4400000000000004"/>
    <x v="0"/>
  </r>
  <r>
    <x v="0"/>
    <s v="国頭郡本部町"/>
    <x v="16"/>
    <x v="10"/>
    <n v="162"/>
    <n v="34.39"/>
    <n v="141"/>
    <n v="37.6"/>
    <n v="20"/>
    <n v="22.22"/>
    <x v="1"/>
  </r>
  <r>
    <x v="0"/>
    <s v="国頭郡本部町"/>
    <x v="16"/>
    <x v="11"/>
    <n v="52"/>
    <n v="11.04"/>
    <n v="43"/>
    <n v="11.47"/>
    <n v="8"/>
    <n v="8.89"/>
    <x v="1"/>
  </r>
  <r>
    <x v="0"/>
    <s v="国頭郡本部町"/>
    <x v="16"/>
    <x v="12"/>
    <n v="16"/>
    <n v="3.4"/>
    <n v="14"/>
    <n v="3.73"/>
    <n v="0"/>
    <n v="0"/>
    <x v="3"/>
  </r>
  <r>
    <x v="0"/>
    <s v="国頭郡本部町"/>
    <x v="16"/>
    <x v="13"/>
    <n v="7"/>
    <n v="1.49"/>
    <n v="4"/>
    <n v="1.07"/>
    <n v="3"/>
    <n v="3.33"/>
    <x v="0"/>
  </r>
  <r>
    <x v="0"/>
    <s v="国頭郡本部町"/>
    <x v="16"/>
    <x v="14"/>
    <n v="5"/>
    <n v="1.06"/>
    <n v="2"/>
    <n v="0.53"/>
    <n v="3"/>
    <n v="3.33"/>
    <x v="0"/>
  </r>
  <r>
    <x v="0"/>
    <s v="国頭郡恩納村"/>
    <x v="17"/>
    <x v="0"/>
    <n v="0"/>
    <n v="0"/>
    <n v="0"/>
    <n v="0"/>
    <n v="0"/>
    <n v="0"/>
    <x v="0"/>
  </r>
  <r>
    <x v="0"/>
    <s v="国頭郡恩納村"/>
    <x v="17"/>
    <x v="1"/>
    <n v="22"/>
    <n v="11.11"/>
    <n v="1"/>
    <n v="0.9"/>
    <n v="21"/>
    <n v="24.71"/>
    <x v="0"/>
  </r>
  <r>
    <x v="0"/>
    <s v="国頭郡恩納村"/>
    <x v="17"/>
    <x v="2"/>
    <n v="15"/>
    <n v="7.58"/>
    <n v="10"/>
    <n v="9.01"/>
    <n v="5"/>
    <n v="5.88"/>
    <x v="0"/>
  </r>
  <r>
    <x v="0"/>
    <s v="国頭郡恩納村"/>
    <x v="17"/>
    <x v="3"/>
    <n v="0"/>
    <n v="0"/>
    <n v="0"/>
    <n v="0"/>
    <n v="0"/>
    <n v="0"/>
    <x v="0"/>
  </r>
  <r>
    <x v="0"/>
    <s v="国頭郡恩納村"/>
    <x v="17"/>
    <x v="4"/>
    <n v="0"/>
    <n v="0"/>
    <n v="0"/>
    <n v="0"/>
    <n v="0"/>
    <n v="0"/>
    <x v="0"/>
  </r>
  <r>
    <x v="0"/>
    <s v="国頭郡恩納村"/>
    <x v="17"/>
    <x v="5"/>
    <n v="2"/>
    <n v="1.01"/>
    <n v="2"/>
    <n v="1.8"/>
    <n v="0"/>
    <n v="0"/>
    <x v="0"/>
  </r>
  <r>
    <x v="0"/>
    <s v="国頭郡恩納村"/>
    <x v="17"/>
    <x v="6"/>
    <n v="53"/>
    <n v="26.77"/>
    <n v="38"/>
    <n v="34.229999999999997"/>
    <n v="15"/>
    <n v="17.649999999999999"/>
    <x v="0"/>
  </r>
  <r>
    <x v="0"/>
    <s v="国頭郡恩納村"/>
    <x v="17"/>
    <x v="7"/>
    <n v="0"/>
    <n v="0"/>
    <n v="0"/>
    <n v="0"/>
    <n v="0"/>
    <n v="0"/>
    <x v="0"/>
  </r>
  <r>
    <x v="0"/>
    <s v="国頭郡恩納村"/>
    <x v="17"/>
    <x v="8"/>
    <n v="20"/>
    <n v="10.1"/>
    <n v="9"/>
    <n v="8.11"/>
    <n v="11"/>
    <n v="12.94"/>
    <x v="0"/>
  </r>
  <r>
    <x v="0"/>
    <s v="国頭郡恩納村"/>
    <x v="17"/>
    <x v="9"/>
    <n v="4"/>
    <n v="2.02"/>
    <n v="2"/>
    <n v="1.8"/>
    <n v="2"/>
    <n v="2.35"/>
    <x v="0"/>
  </r>
  <r>
    <x v="0"/>
    <s v="国頭郡恩納村"/>
    <x v="17"/>
    <x v="10"/>
    <n v="26"/>
    <n v="13.13"/>
    <n v="17"/>
    <n v="15.32"/>
    <n v="9"/>
    <n v="10.59"/>
    <x v="0"/>
  </r>
  <r>
    <x v="0"/>
    <s v="国頭郡恩納村"/>
    <x v="17"/>
    <x v="11"/>
    <n v="33"/>
    <n v="16.670000000000002"/>
    <n v="18"/>
    <n v="16.22"/>
    <n v="15"/>
    <n v="17.649999999999999"/>
    <x v="0"/>
  </r>
  <r>
    <x v="0"/>
    <s v="国頭郡恩納村"/>
    <x v="17"/>
    <x v="12"/>
    <n v="9"/>
    <n v="4.55"/>
    <n v="6"/>
    <n v="5.41"/>
    <n v="2"/>
    <n v="2.35"/>
    <x v="1"/>
  </r>
  <r>
    <x v="0"/>
    <s v="国頭郡恩納村"/>
    <x v="17"/>
    <x v="13"/>
    <n v="4"/>
    <n v="2.02"/>
    <n v="2"/>
    <n v="1.8"/>
    <n v="2"/>
    <n v="2.35"/>
    <x v="0"/>
  </r>
  <r>
    <x v="0"/>
    <s v="国頭郡恩納村"/>
    <x v="17"/>
    <x v="14"/>
    <n v="10"/>
    <n v="5.05"/>
    <n v="6"/>
    <n v="5.41"/>
    <n v="3"/>
    <n v="3.53"/>
    <x v="0"/>
  </r>
  <r>
    <x v="0"/>
    <s v="国頭郡宜野座村"/>
    <x v="18"/>
    <x v="0"/>
    <n v="0"/>
    <n v="0"/>
    <n v="0"/>
    <n v="0"/>
    <n v="0"/>
    <n v="0"/>
    <x v="0"/>
  </r>
  <r>
    <x v="0"/>
    <s v="国頭郡宜野座村"/>
    <x v="18"/>
    <x v="1"/>
    <n v="24"/>
    <n v="16.11"/>
    <n v="9"/>
    <n v="9.18"/>
    <n v="15"/>
    <n v="38.46"/>
    <x v="0"/>
  </r>
  <r>
    <x v="0"/>
    <s v="国頭郡宜野座村"/>
    <x v="18"/>
    <x v="2"/>
    <n v="8"/>
    <n v="5.37"/>
    <n v="6"/>
    <n v="6.12"/>
    <n v="1"/>
    <n v="2.56"/>
    <x v="1"/>
  </r>
  <r>
    <x v="0"/>
    <s v="国頭郡宜野座村"/>
    <x v="18"/>
    <x v="3"/>
    <n v="0"/>
    <n v="0"/>
    <n v="0"/>
    <n v="0"/>
    <n v="0"/>
    <n v="0"/>
    <x v="0"/>
  </r>
  <r>
    <x v="0"/>
    <s v="国頭郡宜野座村"/>
    <x v="18"/>
    <x v="4"/>
    <n v="1"/>
    <n v="0.67"/>
    <n v="0"/>
    <n v="0"/>
    <n v="1"/>
    <n v="2.56"/>
    <x v="0"/>
  </r>
  <r>
    <x v="0"/>
    <s v="国頭郡宜野座村"/>
    <x v="18"/>
    <x v="5"/>
    <n v="4"/>
    <n v="2.68"/>
    <n v="3"/>
    <n v="3.06"/>
    <n v="1"/>
    <n v="2.56"/>
    <x v="0"/>
  </r>
  <r>
    <x v="0"/>
    <s v="国頭郡宜野座村"/>
    <x v="18"/>
    <x v="6"/>
    <n v="28"/>
    <n v="18.79"/>
    <n v="25"/>
    <n v="25.51"/>
    <n v="3"/>
    <n v="7.69"/>
    <x v="0"/>
  </r>
  <r>
    <x v="0"/>
    <s v="国頭郡宜野座村"/>
    <x v="18"/>
    <x v="7"/>
    <n v="1"/>
    <n v="0.67"/>
    <n v="1"/>
    <n v="1.02"/>
    <n v="0"/>
    <n v="0"/>
    <x v="0"/>
  </r>
  <r>
    <x v="0"/>
    <s v="国頭郡宜野座村"/>
    <x v="18"/>
    <x v="8"/>
    <n v="12"/>
    <n v="8.0500000000000007"/>
    <n v="9"/>
    <n v="9.18"/>
    <n v="3"/>
    <n v="7.69"/>
    <x v="0"/>
  </r>
  <r>
    <x v="0"/>
    <s v="国頭郡宜野座村"/>
    <x v="18"/>
    <x v="9"/>
    <n v="1"/>
    <n v="0.67"/>
    <n v="0"/>
    <n v="0"/>
    <n v="1"/>
    <n v="2.56"/>
    <x v="0"/>
  </r>
  <r>
    <x v="0"/>
    <s v="国頭郡宜野座村"/>
    <x v="18"/>
    <x v="10"/>
    <n v="22"/>
    <n v="14.77"/>
    <n v="19"/>
    <n v="19.39"/>
    <n v="3"/>
    <n v="7.69"/>
    <x v="0"/>
  </r>
  <r>
    <x v="0"/>
    <s v="国頭郡宜野座村"/>
    <x v="18"/>
    <x v="11"/>
    <n v="24"/>
    <n v="16.11"/>
    <n v="16"/>
    <n v="16.329999999999998"/>
    <n v="1"/>
    <n v="2.56"/>
    <x v="3"/>
  </r>
  <r>
    <x v="0"/>
    <s v="国頭郡宜野座村"/>
    <x v="18"/>
    <x v="12"/>
    <n v="8"/>
    <n v="5.37"/>
    <n v="6"/>
    <n v="6.12"/>
    <n v="1"/>
    <n v="2.56"/>
    <x v="0"/>
  </r>
  <r>
    <x v="0"/>
    <s v="国頭郡宜野座村"/>
    <x v="18"/>
    <x v="13"/>
    <n v="9"/>
    <n v="6.04"/>
    <n v="2"/>
    <n v="2.04"/>
    <n v="6"/>
    <n v="15.38"/>
    <x v="0"/>
  </r>
  <r>
    <x v="0"/>
    <s v="国頭郡宜野座村"/>
    <x v="18"/>
    <x v="14"/>
    <n v="7"/>
    <n v="4.7"/>
    <n v="2"/>
    <n v="2.04"/>
    <n v="3"/>
    <n v="7.69"/>
    <x v="1"/>
  </r>
  <r>
    <x v="0"/>
    <s v="国頭郡金武町"/>
    <x v="19"/>
    <x v="0"/>
    <n v="0"/>
    <n v="0"/>
    <n v="0"/>
    <n v="0"/>
    <n v="0"/>
    <n v="0"/>
    <x v="0"/>
  </r>
  <r>
    <x v="0"/>
    <s v="国頭郡金武町"/>
    <x v="19"/>
    <x v="1"/>
    <n v="30"/>
    <n v="10.029999999999999"/>
    <n v="6"/>
    <n v="2.82"/>
    <n v="24"/>
    <n v="31.17"/>
    <x v="0"/>
  </r>
  <r>
    <x v="0"/>
    <s v="国頭郡金武町"/>
    <x v="19"/>
    <x v="2"/>
    <n v="20"/>
    <n v="6.69"/>
    <n v="8"/>
    <n v="3.76"/>
    <n v="12"/>
    <n v="15.58"/>
    <x v="0"/>
  </r>
  <r>
    <x v="0"/>
    <s v="国頭郡金武町"/>
    <x v="19"/>
    <x v="3"/>
    <n v="1"/>
    <n v="0.33"/>
    <n v="0"/>
    <n v="0"/>
    <n v="1"/>
    <n v="1.3"/>
    <x v="0"/>
  </r>
  <r>
    <x v="0"/>
    <s v="国頭郡金武町"/>
    <x v="19"/>
    <x v="4"/>
    <n v="2"/>
    <n v="0.67"/>
    <n v="0"/>
    <n v="0"/>
    <n v="1"/>
    <n v="1.3"/>
    <x v="0"/>
  </r>
  <r>
    <x v="0"/>
    <s v="国頭郡金武町"/>
    <x v="19"/>
    <x v="5"/>
    <n v="3"/>
    <n v="1"/>
    <n v="2"/>
    <n v="0.94"/>
    <n v="1"/>
    <n v="1.3"/>
    <x v="0"/>
  </r>
  <r>
    <x v="0"/>
    <s v="国頭郡金武町"/>
    <x v="19"/>
    <x v="6"/>
    <n v="66"/>
    <n v="22.07"/>
    <n v="50"/>
    <n v="23.47"/>
    <n v="16"/>
    <n v="20.78"/>
    <x v="0"/>
  </r>
  <r>
    <x v="0"/>
    <s v="国頭郡金武町"/>
    <x v="19"/>
    <x v="7"/>
    <n v="0"/>
    <n v="0"/>
    <n v="0"/>
    <n v="0"/>
    <n v="0"/>
    <n v="0"/>
    <x v="0"/>
  </r>
  <r>
    <x v="0"/>
    <s v="国頭郡金武町"/>
    <x v="19"/>
    <x v="8"/>
    <n v="33"/>
    <n v="11.04"/>
    <n v="25"/>
    <n v="11.74"/>
    <n v="7"/>
    <n v="9.09"/>
    <x v="1"/>
  </r>
  <r>
    <x v="0"/>
    <s v="国頭郡金武町"/>
    <x v="19"/>
    <x v="9"/>
    <n v="13"/>
    <n v="4.3499999999999996"/>
    <n v="8"/>
    <n v="3.76"/>
    <n v="5"/>
    <n v="6.49"/>
    <x v="0"/>
  </r>
  <r>
    <x v="0"/>
    <s v="国頭郡金武町"/>
    <x v="19"/>
    <x v="10"/>
    <n v="72"/>
    <n v="24.08"/>
    <n v="70"/>
    <n v="32.86"/>
    <n v="2"/>
    <n v="2.6"/>
    <x v="0"/>
  </r>
  <r>
    <x v="0"/>
    <s v="国頭郡金武町"/>
    <x v="19"/>
    <x v="11"/>
    <n v="33"/>
    <n v="11.04"/>
    <n v="25"/>
    <n v="11.74"/>
    <n v="3"/>
    <n v="3.9"/>
    <x v="0"/>
  </r>
  <r>
    <x v="0"/>
    <s v="国頭郡金武町"/>
    <x v="19"/>
    <x v="12"/>
    <n v="11"/>
    <n v="3.68"/>
    <n v="11"/>
    <n v="5.16"/>
    <n v="0"/>
    <n v="0"/>
    <x v="0"/>
  </r>
  <r>
    <x v="0"/>
    <s v="国頭郡金武町"/>
    <x v="19"/>
    <x v="13"/>
    <n v="6"/>
    <n v="2.0099999999999998"/>
    <n v="1"/>
    <n v="0.47"/>
    <n v="4"/>
    <n v="5.19"/>
    <x v="0"/>
  </r>
  <r>
    <x v="0"/>
    <s v="国頭郡金武町"/>
    <x v="19"/>
    <x v="14"/>
    <n v="9"/>
    <n v="3.01"/>
    <n v="7"/>
    <n v="3.29"/>
    <n v="1"/>
    <n v="1.3"/>
    <x v="0"/>
  </r>
  <r>
    <x v="0"/>
    <s v="国頭郡伊江村"/>
    <x v="20"/>
    <x v="0"/>
    <n v="0"/>
    <n v="0"/>
    <n v="0"/>
    <n v="0"/>
    <n v="0"/>
    <n v="0"/>
    <x v="0"/>
  </r>
  <r>
    <x v="0"/>
    <s v="国頭郡伊江村"/>
    <x v="20"/>
    <x v="1"/>
    <n v="20"/>
    <n v="9.52"/>
    <n v="10"/>
    <n v="6.13"/>
    <n v="10"/>
    <n v="27.03"/>
    <x v="0"/>
  </r>
  <r>
    <x v="0"/>
    <s v="国頭郡伊江村"/>
    <x v="20"/>
    <x v="2"/>
    <n v="11"/>
    <n v="5.24"/>
    <n v="4"/>
    <n v="2.4500000000000002"/>
    <n v="6"/>
    <n v="16.22"/>
    <x v="0"/>
  </r>
  <r>
    <x v="0"/>
    <s v="国頭郡伊江村"/>
    <x v="20"/>
    <x v="3"/>
    <n v="1"/>
    <n v="0.48"/>
    <n v="0"/>
    <n v="0"/>
    <n v="0"/>
    <n v="0"/>
    <x v="0"/>
  </r>
  <r>
    <x v="0"/>
    <s v="国頭郡伊江村"/>
    <x v="20"/>
    <x v="4"/>
    <n v="1"/>
    <n v="0.48"/>
    <n v="0"/>
    <n v="0"/>
    <n v="1"/>
    <n v="2.7"/>
    <x v="0"/>
  </r>
  <r>
    <x v="0"/>
    <s v="国頭郡伊江村"/>
    <x v="20"/>
    <x v="5"/>
    <n v="2"/>
    <n v="0.95"/>
    <n v="0"/>
    <n v="0"/>
    <n v="2"/>
    <n v="5.41"/>
    <x v="0"/>
  </r>
  <r>
    <x v="0"/>
    <s v="国頭郡伊江村"/>
    <x v="20"/>
    <x v="6"/>
    <n v="51"/>
    <n v="24.29"/>
    <n v="42"/>
    <n v="25.77"/>
    <n v="9"/>
    <n v="24.32"/>
    <x v="0"/>
  </r>
  <r>
    <x v="0"/>
    <s v="国頭郡伊江村"/>
    <x v="20"/>
    <x v="7"/>
    <n v="0"/>
    <n v="0"/>
    <n v="0"/>
    <n v="0"/>
    <n v="0"/>
    <n v="0"/>
    <x v="0"/>
  </r>
  <r>
    <x v="0"/>
    <s v="国頭郡伊江村"/>
    <x v="20"/>
    <x v="8"/>
    <n v="15"/>
    <n v="7.14"/>
    <n v="14"/>
    <n v="8.59"/>
    <n v="1"/>
    <n v="2.7"/>
    <x v="0"/>
  </r>
  <r>
    <x v="0"/>
    <s v="国頭郡伊江村"/>
    <x v="20"/>
    <x v="9"/>
    <n v="3"/>
    <n v="1.43"/>
    <n v="2"/>
    <n v="1.23"/>
    <n v="1"/>
    <n v="2.7"/>
    <x v="0"/>
  </r>
  <r>
    <x v="0"/>
    <s v="国頭郡伊江村"/>
    <x v="20"/>
    <x v="10"/>
    <n v="66"/>
    <n v="31.43"/>
    <n v="63"/>
    <n v="38.65"/>
    <n v="2"/>
    <n v="5.41"/>
    <x v="0"/>
  </r>
  <r>
    <x v="0"/>
    <s v="国頭郡伊江村"/>
    <x v="20"/>
    <x v="11"/>
    <n v="25"/>
    <n v="11.9"/>
    <n v="21"/>
    <n v="12.88"/>
    <n v="1"/>
    <n v="2.7"/>
    <x v="1"/>
  </r>
  <r>
    <x v="0"/>
    <s v="国頭郡伊江村"/>
    <x v="20"/>
    <x v="12"/>
    <n v="6"/>
    <n v="2.86"/>
    <n v="4"/>
    <n v="2.4500000000000002"/>
    <n v="1"/>
    <n v="2.7"/>
    <x v="0"/>
  </r>
  <r>
    <x v="0"/>
    <s v="国頭郡伊江村"/>
    <x v="20"/>
    <x v="13"/>
    <n v="4"/>
    <n v="1.9"/>
    <n v="1"/>
    <n v="0.61"/>
    <n v="3"/>
    <n v="8.11"/>
    <x v="0"/>
  </r>
  <r>
    <x v="0"/>
    <s v="国頭郡伊江村"/>
    <x v="20"/>
    <x v="14"/>
    <n v="5"/>
    <n v="2.38"/>
    <n v="2"/>
    <n v="1.23"/>
    <n v="0"/>
    <n v="0"/>
    <x v="0"/>
  </r>
  <r>
    <x v="0"/>
    <s v="中頭郡読谷村"/>
    <x v="21"/>
    <x v="0"/>
    <n v="0"/>
    <n v="0"/>
    <n v="0"/>
    <n v="0"/>
    <n v="0"/>
    <n v="0"/>
    <x v="0"/>
  </r>
  <r>
    <x v="0"/>
    <s v="中頭郡読谷村"/>
    <x v="21"/>
    <x v="1"/>
    <n v="66"/>
    <n v="9.3800000000000008"/>
    <n v="30"/>
    <n v="5.59"/>
    <n v="36"/>
    <n v="22.93"/>
    <x v="0"/>
  </r>
  <r>
    <x v="0"/>
    <s v="中頭郡読谷村"/>
    <x v="21"/>
    <x v="2"/>
    <n v="143"/>
    <n v="20.309999999999999"/>
    <n v="131"/>
    <n v="24.39"/>
    <n v="12"/>
    <n v="7.64"/>
    <x v="0"/>
  </r>
  <r>
    <x v="0"/>
    <s v="中頭郡読谷村"/>
    <x v="21"/>
    <x v="3"/>
    <n v="0"/>
    <n v="0"/>
    <n v="0"/>
    <n v="0"/>
    <n v="0"/>
    <n v="0"/>
    <x v="0"/>
  </r>
  <r>
    <x v="0"/>
    <s v="中頭郡読谷村"/>
    <x v="21"/>
    <x v="4"/>
    <n v="2"/>
    <n v="0.28000000000000003"/>
    <n v="0"/>
    <n v="0"/>
    <n v="2"/>
    <n v="1.27"/>
    <x v="0"/>
  </r>
  <r>
    <x v="0"/>
    <s v="中頭郡読谷村"/>
    <x v="21"/>
    <x v="5"/>
    <n v="8"/>
    <n v="1.1399999999999999"/>
    <n v="5"/>
    <n v="0.93"/>
    <n v="2"/>
    <n v="1.27"/>
    <x v="0"/>
  </r>
  <r>
    <x v="0"/>
    <s v="中頭郡読谷村"/>
    <x v="21"/>
    <x v="6"/>
    <n v="102"/>
    <n v="14.49"/>
    <n v="80"/>
    <n v="14.9"/>
    <n v="22"/>
    <n v="14.01"/>
    <x v="0"/>
  </r>
  <r>
    <x v="0"/>
    <s v="中頭郡読谷村"/>
    <x v="21"/>
    <x v="7"/>
    <n v="5"/>
    <n v="0.71"/>
    <n v="2"/>
    <n v="0.37"/>
    <n v="3"/>
    <n v="1.91"/>
    <x v="0"/>
  </r>
  <r>
    <x v="0"/>
    <s v="中頭郡読谷村"/>
    <x v="21"/>
    <x v="8"/>
    <n v="57"/>
    <n v="8.1"/>
    <n v="26"/>
    <n v="4.84"/>
    <n v="31"/>
    <n v="19.75"/>
    <x v="0"/>
  </r>
  <r>
    <x v="0"/>
    <s v="中頭郡読谷村"/>
    <x v="21"/>
    <x v="9"/>
    <n v="17"/>
    <n v="2.41"/>
    <n v="11"/>
    <n v="2.0499999999999998"/>
    <n v="6"/>
    <n v="3.82"/>
    <x v="0"/>
  </r>
  <r>
    <x v="0"/>
    <s v="中頭郡読谷村"/>
    <x v="21"/>
    <x v="10"/>
    <n v="94"/>
    <n v="13.35"/>
    <n v="90"/>
    <n v="16.760000000000002"/>
    <n v="4"/>
    <n v="2.5499999999999998"/>
    <x v="0"/>
  </r>
  <r>
    <x v="0"/>
    <s v="中頭郡読谷村"/>
    <x v="21"/>
    <x v="11"/>
    <n v="99"/>
    <n v="14.06"/>
    <n v="86"/>
    <n v="16.010000000000002"/>
    <n v="11"/>
    <n v="7.01"/>
    <x v="0"/>
  </r>
  <r>
    <x v="0"/>
    <s v="中頭郡読谷村"/>
    <x v="21"/>
    <x v="12"/>
    <n v="45"/>
    <n v="6.39"/>
    <n v="38"/>
    <n v="7.08"/>
    <n v="4"/>
    <n v="2.5499999999999998"/>
    <x v="2"/>
  </r>
  <r>
    <x v="0"/>
    <s v="中頭郡読谷村"/>
    <x v="21"/>
    <x v="13"/>
    <n v="36"/>
    <n v="5.1100000000000003"/>
    <n v="17"/>
    <n v="3.17"/>
    <n v="17"/>
    <n v="10.83"/>
    <x v="0"/>
  </r>
  <r>
    <x v="0"/>
    <s v="中頭郡読谷村"/>
    <x v="21"/>
    <x v="14"/>
    <n v="30"/>
    <n v="4.26"/>
    <n v="21"/>
    <n v="3.91"/>
    <n v="7"/>
    <n v="4.46"/>
    <x v="3"/>
  </r>
  <r>
    <x v="0"/>
    <s v="中頭郡嘉手納町"/>
    <x v="22"/>
    <x v="0"/>
    <n v="0"/>
    <n v="0"/>
    <n v="0"/>
    <n v="0"/>
    <n v="0"/>
    <n v="0"/>
    <x v="0"/>
  </r>
  <r>
    <x v="0"/>
    <s v="中頭郡嘉手納町"/>
    <x v="22"/>
    <x v="1"/>
    <n v="33"/>
    <n v="9.3800000000000008"/>
    <n v="8"/>
    <n v="3.2"/>
    <n v="25"/>
    <n v="26.04"/>
    <x v="0"/>
  </r>
  <r>
    <x v="0"/>
    <s v="中頭郡嘉手納町"/>
    <x v="22"/>
    <x v="2"/>
    <n v="19"/>
    <n v="5.4"/>
    <n v="15"/>
    <n v="6"/>
    <n v="4"/>
    <n v="4.17"/>
    <x v="0"/>
  </r>
  <r>
    <x v="0"/>
    <s v="中頭郡嘉手納町"/>
    <x v="22"/>
    <x v="3"/>
    <n v="1"/>
    <n v="0.28000000000000003"/>
    <n v="0"/>
    <n v="0"/>
    <n v="0"/>
    <n v="0"/>
    <x v="0"/>
  </r>
  <r>
    <x v="0"/>
    <s v="中頭郡嘉手納町"/>
    <x v="22"/>
    <x v="4"/>
    <n v="5"/>
    <n v="1.42"/>
    <n v="0"/>
    <n v="0"/>
    <n v="5"/>
    <n v="5.21"/>
    <x v="0"/>
  </r>
  <r>
    <x v="0"/>
    <s v="中頭郡嘉手納町"/>
    <x v="22"/>
    <x v="5"/>
    <n v="4"/>
    <n v="1.1399999999999999"/>
    <n v="4"/>
    <n v="1.6"/>
    <n v="0"/>
    <n v="0"/>
    <x v="0"/>
  </r>
  <r>
    <x v="0"/>
    <s v="中頭郡嘉手納町"/>
    <x v="22"/>
    <x v="6"/>
    <n v="72"/>
    <n v="20.45"/>
    <n v="55"/>
    <n v="22"/>
    <n v="16"/>
    <n v="16.670000000000002"/>
    <x v="1"/>
  </r>
  <r>
    <x v="0"/>
    <s v="中頭郡嘉手納町"/>
    <x v="22"/>
    <x v="7"/>
    <n v="3"/>
    <n v="0.85"/>
    <n v="1"/>
    <n v="0.4"/>
    <n v="2"/>
    <n v="2.08"/>
    <x v="0"/>
  </r>
  <r>
    <x v="0"/>
    <s v="中頭郡嘉手納町"/>
    <x v="22"/>
    <x v="8"/>
    <n v="19"/>
    <n v="5.4"/>
    <n v="4"/>
    <n v="1.6"/>
    <n v="14"/>
    <n v="14.58"/>
    <x v="0"/>
  </r>
  <r>
    <x v="0"/>
    <s v="中頭郡嘉手納町"/>
    <x v="22"/>
    <x v="9"/>
    <n v="16"/>
    <n v="4.55"/>
    <n v="8"/>
    <n v="3.2"/>
    <n v="8"/>
    <n v="8.33"/>
    <x v="0"/>
  </r>
  <r>
    <x v="0"/>
    <s v="中頭郡嘉手納町"/>
    <x v="22"/>
    <x v="10"/>
    <n v="73"/>
    <n v="20.74"/>
    <n v="66"/>
    <n v="26.4"/>
    <n v="6"/>
    <n v="6.25"/>
    <x v="0"/>
  </r>
  <r>
    <x v="0"/>
    <s v="中頭郡嘉手納町"/>
    <x v="22"/>
    <x v="11"/>
    <n v="55"/>
    <n v="15.63"/>
    <n v="50"/>
    <n v="20"/>
    <n v="5"/>
    <n v="5.21"/>
    <x v="0"/>
  </r>
  <r>
    <x v="0"/>
    <s v="中頭郡嘉手納町"/>
    <x v="22"/>
    <x v="12"/>
    <n v="29"/>
    <n v="8.24"/>
    <n v="21"/>
    <n v="8.4"/>
    <n v="6"/>
    <n v="6.25"/>
    <x v="1"/>
  </r>
  <r>
    <x v="0"/>
    <s v="中頭郡嘉手納町"/>
    <x v="22"/>
    <x v="13"/>
    <n v="6"/>
    <n v="1.7"/>
    <n v="3"/>
    <n v="1.2"/>
    <n v="3"/>
    <n v="3.13"/>
    <x v="0"/>
  </r>
  <r>
    <x v="0"/>
    <s v="中頭郡嘉手納町"/>
    <x v="22"/>
    <x v="14"/>
    <n v="17"/>
    <n v="4.83"/>
    <n v="15"/>
    <n v="6"/>
    <n v="2"/>
    <n v="2.08"/>
    <x v="0"/>
  </r>
  <r>
    <x v="0"/>
    <s v="中頭郡北谷町"/>
    <x v="23"/>
    <x v="0"/>
    <n v="0"/>
    <n v="0"/>
    <n v="0"/>
    <n v="0"/>
    <n v="0"/>
    <n v="0"/>
    <x v="0"/>
  </r>
  <r>
    <x v="0"/>
    <s v="中頭郡北谷町"/>
    <x v="23"/>
    <x v="1"/>
    <n v="54"/>
    <n v="7.7"/>
    <n v="15"/>
    <n v="4.03"/>
    <n v="39"/>
    <n v="12.7"/>
    <x v="0"/>
  </r>
  <r>
    <x v="0"/>
    <s v="中頭郡北谷町"/>
    <x v="23"/>
    <x v="2"/>
    <n v="13"/>
    <n v="1.85"/>
    <n v="5"/>
    <n v="1.34"/>
    <n v="8"/>
    <n v="2.61"/>
    <x v="0"/>
  </r>
  <r>
    <x v="0"/>
    <s v="中頭郡北谷町"/>
    <x v="23"/>
    <x v="3"/>
    <n v="0"/>
    <n v="0"/>
    <n v="0"/>
    <n v="0"/>
    <n v="0"/>
    <n v="0"/>
    <x v="0"/>
  </r>
  <r>
    <x v="0"/>
    <s v="中頭郡北谷町"/>
    <x v="23"/>
    <x v="4"/>
    <n v="4"/>
    <n v="0.56999999999999995"/>
    <n v="1"/>
    <n v="0.27"/>
    <n v="3"/>
    <n v="0.98"/>
    <x v="0"/>
  </r>
  <r>
    <x v="0"/>
    <s v="中頭郡北谷町"/>
    <x v="23"/>
    <x v="5"/>
    <n v="3"/>
    <n v="0.43"/>
    <n v="3"/>
    <n v="0.81"/>
    <n v="0"/>
    <n v="0"/>
    <x v="0"/>
  </r>
  <r>
    <x v="0"/>
    <s v="中頭郡北谷町"/>
    <x v="23"/>
    <x v="6"/>
    <n v="163"/>
    <n v="23.25"/>
    <n v="88"/>
    <n v="23.66"/>
    <n v="74"/>
    <n v="24.1"/>
    <x v="1"/>
  </r>
  <r>
    <x v="0"/>
    <s v="中頭郡北谷町"/>
    <x v="23"/>
    <x v="7"/>
    <n v="4"/>
    <n v="0.56999999999999995"/>
    <n v="0"/>
    <n v="0"/>
    <n v="4"/>
    <n v="1.3"/>
    <x v="0"/>
  </r>
  <r>
    <x v="0"/>
    <s v="中頭郡北谷町"/>
    <x v="23"/>
    <x v="8"/>
    <n v="115"/>
    <n v="16.41"/>
    <n v="40"/>
    <n v="10.75"/>
    <n v="74"/>
    <n v="24.1"/>
    <x v="0"/>
  </r>
  <r>
    <x v="0"/>
    <s v="中頭郡北谷町"/>
    <x v="23"/>
    <x v="9"/>
    <n v="30"/>
    <n v="4.28"/>
    <n v="16"/>
    <n v="4.3"/>
    <n v="13"/>
    <n v="4.2300000000000004"/>
    <x v="0"/>
  </r>
  <r>
    <x v="0"/>
    <s v="中頭郡北谷町"/>
    <x v="23"/>
    <x v="10"/>
    <n v="108"/>
    <n v="15.41"/>
    <n v="65"/>
    <n v="17.47"/>
    <n v="43"/>
    <n v="14.01"/>
    <x v="0"/>
  </r>
  <r>
    <x v="0"/>
    <s v="中頭郡北谷町"/>
    <x v="23"/>
    <x v="11"/>
    <n v="115"/>
    <n v="16.41"/>
    <n v="85"/>
    <n v="22.85"/>
    <n v="27"/>
    <n v="8.7899999999999991"/>
    <x v="3"/>
  </r>
  <r>
    <x v="0"/>
    <s v="中頭郡北谷町"/>
    <x v="23"/>
    <x v="12"/>
    <n v="44"/>
    <n v="6.28"/>
    <n v="27"/>
    <n v="7.26"/>
    <n v="6"/>
    <n v="1.95"/>
    <x v="0"/>
  </r>
  <r>
    <x v="0"/>
    <s v="中頭郡北谷町"/>
    <x v="23"/>
    <x v="13"/>
    <n v="28"/>
    <n v="3.99"/>
    <n v="14"/>
    <n v="3.76"/>
    <n v="9"/>
    <n v="2.93"/>
    <x v="0"/>
  </r>
  <r>
    <x v="0"/>
    <s v="中頭郡北谷町"/>
    <x v="23"/>
    <x v="14"/>
    <n v="20"/>
    <n v="2.85"/>
    <n v="13"/>
    <n v="3.49"/>
    <n v="7"/>
    <n v="2.2799999999999998"/>
    <x v="0"/>
  </r>
  <r>
    <x v="0"/>
    <s v="中頭郡北中城村"/>
    <x v="24"/>
    <x v="0"/>
    <n v="0"/>
    <n v="0"/>
    <n v="0"/>
    <n v="0"/>
    <n v="0"/>
    <n v="0"/>
    <x v="0"/>
  </r>
  <r>
    <x v="0"/>
    <s v="中頭郡北中城村"/>
    <x v="24"/>
    <x v="1"/>
    <n v="30"/>
    <n v="7.58"/>
    <n v="15"/>
    <n v="5.95"/>
    <n v="15"/>
    <n v="10.79"/>
    <x v="0"/>
  </r>
  <r>
    <x v="0"/>
    <s v="中頭郡北中城村"/>
    <x v="24"/>
    <x v="2"/>
    <n v="15"/>
    <n v="3.79"/>
    <n v="12"/>
    <n v="4.76"/>
    <n v="3"/>
    <n v="2.16"/>
    <x v="0"/>
  </r>
  <r>
    <x v="0"/>
    <s v="中頭郡北中城村"/>
    <x v="24"/>
    <x v="3"/>
    <n v="0"/>
    <n v="0"/>
    <n v="0"/>
    <n v="0"/>
    <n v="0"/>
    <n v="0"/>
    <x v="0"/>
  </r>
  <r>
    <x v="0"/>
    <s v="中頭郡北中城村"/>
    <x v="24"/>
    <x v="4"/>
    <n v="4"/>
    <n v="1.01"/>
    <n v="1"/>
    <n v="0.4"/>
    <n v="2"/>
    <n v="1.44"/>
    <x v="1"/>
  </r>
  <r>
    <x v="0"/>
    <s v="中頭郡北中城村"/>
    <x v="24"/>
    <x v="5"/>
    <n v="9"/>
    <n v="2.27"/>
    <n v="6"/>
    <n v="2.38"/>
    <n v="2"/>
    <n v="1.44"/>
    <x v="1"/>
  </r>
  <r>
    <x v="0"/>
    <s v="中頭郡北中城村"/>
    <x v="24"/>
    <x v="6"/>
    <n v="116"/>
    <n v="29.29"/>
    <n v="69"/>
    <n v="27.38"/>
    <n v="47"/>
    <n v="33.81"/>
    <x v="0"/>
  </r>
  <r>
    <x v="0"/>
    <s v="中頭郡北中城村"/>
    <x v="24"/>
    <x v="7"/>
    <n v="5"/>
    <n v="1.26"/>
    <n v="3"/>
    <n v="1.19"/>
    <n v="2"/>
    <n v="1.44"/>
    <x v="0"/>
  </r>
  <r>
    <x v="0"/>
    <s v="中頭郡北中城村"/>
    <x v="24"/>
    <x v="8"/>
    <n v="44"/>
    <n v="11.11"/>
    <n v="11"/>
    <n v="4.37"/>
    <n v="33"/>
    <n v="23.74"/>
    <x v="0"/>
  </r>
  <r>
    <x v="0"/>
    <s v="中頭郡北中城村"/>
    <x v="24"/>
    <x v="9"/>
    <n v="19"/>
    <n v="4.8"/>
    <n v="14"/>
    <n v="5.56"/>
    <n v="5"/>
    <n v="3.6"/>
    <x v="0"/>
  </r>
  <r>
    <x v="0"/>
    <s v="中頭郡北中城村"/>
    <x v="24"/>
    <x v="10"/>
    <n v="43"/>
    <n v="10.86"/>
    <n v="32"/>
    <n v="12.7"/>
    <n v="11"/>
    <n v="7.91"/>
    <x v="0"/>
  </r>
  <r>
    <x v="0"/>
    <s v="中頭郡北中城村"/>
    <x v="24"/>
    <x v="11"/>
    <n v="53"/>
    <n v="13.38"/>
    <n v="45"/>
    <n v="17.86"/>
    <n v="8"/>
    <n v="5.76"/>
    <x v="0"/>
  </r>
  <r>
    <x v="0"/>
    <s v="中頭郡北中城村"/>
    <x v="24"/>
    <x v="12"/>
    <n v="18"/>
    <n v="4.55"/>
    <n v="17"/>
    <n v="6.75"/>
    <n v="1"/>
    <n v="0.72"/>
    <x v="0"/>
  </r>
  <r>
    <x v="0"/>
    <s v="中頭郡北中城村"/>
    <x v="24"/>
    <x v="13"/>
    <n v="20"/>
    <n v="5.05"/>
    <n v="13"/>
    <n v="5.16"/>
    <n v="4"/>
    <n v="2.88"/>
    <x v="0"/>
  </r>
  <r>
    <x v="0"/>
    <s v="中頭郡北中城村"/>
    <x v="24"/>
    <x v="14"/>
    <n v="20"/>
    <n v="5.05"/>
    <n v="14"/>
    <n v="5.56"/>
    <n v="6"/>
    <n v="4.32"/>
    <x v="0"/>
  </r>
  <r>
    <x v="0"/>
    <s v="中頭郡中城村"/>
    <x v="25"/>
    <x v="0"/>
    <n v="0"/>
    <n v="0"/>
    <n v="0"/>
    <n v="0"/>
    <n v="0"/>
    <n v="0"/>
    <x v="0"/>
  </r>
  <r>
    <x v="0"/>
    <s v="中頭郡中城村"/>
    <x v="25"/>
    <x v="1"/>
    <n v="81"/>
    <n v="22.95"/>
    <n v="30"/>
    <n v="13.39"/>
    <n v="51"/>
    <n v="41.13"/>
    <x v="0"/>
  </r>
  <r>
    <x v="0"/>
    <s v="中頭郡中城村"/>
    <x v="25"/>
    <x v="2"/>
    <n v="26"/>
    <n v="7.37"/>
    <n v="14"/>
    <n v="6.25"/>
    <n v="12"/>
    <n v="9.68"/>
    <x v="0"/>
  </r>
  <r>
    <x v="0"/>
    <s v="中頭郡中城村"/>
    <x v="25"/>
    <x v="3"/>
    <n v="0"/>
    <n v="0"/>
    <n v="0"/>
    <n v="0"/>
    <n v="0"/>
    <n v="0"/>
    <x v="0"/>
  </r>
  <r>
    <x v="0"/>
    <s v="中頭郡中城村"/>
    <x v="25"/>
    <x v="4"/>
    <n v="3"/>
    <n v="0.85"/>
    <n v="1"/>
    <n v="0.45"/>
    <n v="2"/>
    <n v="1.61"/>
    <x v="0"/>
  </r>
  <r>
    <x v="0"/>
    <s v="中頭郡中城村"/>
    <x v="25"/>
    <x v="5"/>
    <n v="7"/>
    <n v="1.98"/>
    <n v="5"/>
    <n v="2.23"/>
    <n v="2"/>
    <n v="1.61"/>
    <x v="0"/>
  </r>
  <r>
    <x v="0"/>
    <s v="中頭郡中城村"/>
    <x v="25"/>
    <x v="6"/>
    <n v="75"/>
    <n v="21.25"/>
    <n v="47"/>
    <n v="20.98"/>
    <n v="28"/>
    <n v="22.58"/>
    <x v="0"/>
  </r>
  <r>
    <x v="0"/>
    <s v="中頭郡中城村"/>
    <x v="25"/>
    <x v="7"/>
    <n v="1"/>
    <n v="0.28000000000000003"/>
    <n v="1"/>
    <n v="0.45"/>
    <n v="0"/>
    <n v="0"/>
    <x v="0"/>
  </r>
  <r>
    <x v="0"/>
    <s v="中頭郡中城村"/>
    <x v="25"/>
    <x v="8"/>
    <n v="30"/>
    <n v="8.5"/>
    <n v="19"/>
    <n v="8.48"/>
    <n v="11"/>
    <n v="8.8699999999999992"/>
    <x v="0"/>
  </r>
  <r>
    <x v="0"/>
    <s v="中頭郡中城村"/>
    <x v="25"/>
    <x v="9"/>
    <n v="15"/>
    <n v="4.25"/>
    <n v="11"/>
    <n v="4.91"/>
    <n v="4"/>
    <n v="3.23"/>
    <x v="0"/>
  </r>
  <r>
    <x v="0"/>
    <s v="中頭郡中城村"/>
    <x v="25"/>
    <x v="10"/>
    <n v="14"/>
    <n v="3.97"/>
    <n v="13"/>
    <n v="5.8"/>
    <n v="1"/>
    <n v="0.81"/>
    <x v="0"/>
  </r>
  <r>
    <x v="0"/>
    <s v="中頭郡中城村"/>
    <x v="25"/>
    <x v="11"/>
    <n v="34"/>
    <n v="9.6300000000000008"/>
    <n v="27"/>
    <n v="12.05"/>
    <n v="6"/>
    <n v="4.84"/>
    <x v="0"/>
  </r>
  <r>
    <x v="0"/>
    <s v="中頭郡中城村"/>
    <x v="25"/>
    <x v="12"/>
    <n v="15"/>
    <n v="4.25"/>
    <n v="14"/>
    <n v="6.25"/>
    <n v="1"/>
    <n v="0.81"/>
    <x v="0"/>
  </r>
  <r>
    <x v="0"/>
    <s v="中頭郡中城村"/>
    <x v="25"/>
    <x v="13"/>
    <n v="15"/>
    <n v="4.25"/>
    <n v="7"/>
    <n v="3.13"/>
    <n v="6"/>
    <n v="4.84"/>
    <x v="0"/>
  </r>
  <r>
    <x v="0"/>
    <s v="中頭郡中城村"/>
    <x v="25"/>
    <x v="14"/>
    <n v="37"/>
    <n v="10.48"/>
    <n v="35"/>
    <n v="15.63"/>
    <n v="0"/>
    <n v="0"/>
    <x v="1"/>
  </r>
  <r>
    <x v="0"/>
    <s v="中頭郡西原町"/>
    <x v="26"/>
    <x v="0"/>
    <n v="0"/>
    <n v="0"/>
    <n v="0"/>
    <n v="0"/>
    <n v="0"/>
    <n v="0"/>
    <x v="0"/>
  </r>
  <r>
    <x v="0"/>
    <s v="中頭郡西原町"/>
    <x v="26"/>
    <x v="1"/>
    <n v="121"/>
    <n v="16.03"/>
    <n v="53"/>
    <n v="11.6"/>
    <n v="68"/>
    <n v="23.78"/>
    <x v="0"/>
  </r>
  <r>
    <x v="0"/>
    <s v="中頭郡西原町"/>
    <x v="26"/>
    <x v="2"/>
    <n v="68"/>
    <n v="9.01"/>
    <n v="29"/>
    <n v="6.35"/>
    <n v="39"/>
    <n v="13.64"/>
    <x v="0"/>
  </r>
  <r>
    <x v="0"/>
    <s v="中頭郡西原町"/>
    <x v="26"/>
    <x v="3"/>
    <n v="3"/>
    <n v="0.4"/>
    <n v="0"/>
    <n v="0"/>
    <n v="2"/>
    <n v="0.7"/>
    <x v="0"/>
  </r>
  <r>
    <x v="0"/>
    <s v="中頭郡西原町"/>
    <x v="26"/>
    <x v="4"/>
    <n v="5"/>
    <n v="0.66"/>
    <n v="0"/>
    <n v="0"/>
    <n v="5"/>
    <n v="1.75"/>
    <x v="0"/>
  </r>
  <r>
    <x v="0"/>
    <s v="中頭郡西原町"/>
    <x v="26"/>
    <x v="5"/>
    <n v="9"/>
    <n v="1.19"/>
    <n v="4"/>
    <n v="0.88"/>
    <n v="5"/>
    <n v="1.75"/>
    <x v="0"/>
  </r>
  <r>
    <x v="0"/>
    <s v="中頭郡西原町"/>
    <x v="26"/>
    <x v="6"/>
    <n v="162"/>
    <n v="21.46"/>
    <n v="100"/>
    <n v="21.88"/>
    <n v="62"/>
    <n v="21.68"/>
    <x v="0"/>
  </r>
  <r>
    <x v="0"/>
    <s v="中頭郡西原町"/>
    <x v="26"/>
    <x v="7"/>
    <n v="4"/>
    <n v="0.53"/>
    <n v="2"/>
    <n v="0.44"/>
    <n v="2"/>
    <n v="0.7"/>
    <x v="0"/>
  </r>
  <r>
    <x v="0"/>
    <s v="中頭郡西原町"/>
    <x v="26"/>
    <x v="8"/>
    <n v="54"/>
    <n v="7.15"/>
    <n v="15"/>
    <n v="3.28"/>
    <n v="39"/>
    <n v="13.64"/>
    <x v="0"/>
  </r>
  <r>
    <x v="0"/>
    <s v="中頭郡西原町"/>
    <x v="26"/>
    <x v="9"/>
    <n v="32"/>
    <n v="4.24"/>
    <n v="16"/>
    <n v="3.5"/>
    <n v="14"/>
    <n v="4.9000000000000004"/>
    <x v="3"/>
  </r>
  <r>
    <x v="0"/>
    <s v="中頭郡西原町"/>
    <x v="26"/>
    <x v="10"/>
    <n v="76"/>
    <n v="10.07"/>
    <n v="68"/>
    <n v="14.88"/>
    <n v="8"/>
    <n v="2.8"/>
    <x v="0"/>
  </r>
  <r>
    <x v="0"/>
    <s v="中頭郡西原町"/>
    <x v="26"/>
    <x v="11"/>
    <n v="81"/>
    <n v="10.73"/>
    <n v="67"/>
    <n v="14.66"/>
    <n v="12"/>
    <n v="4.2"/>
    <x v="0"/>
  </r>
  <r>
    <x v="0"/>
    <s v="中頭郡西原町"/>
    <x v="26"/>
    <x v="12"/>
    <n v="55"/>
    <n v="7.28"/>
    <n v="53"/>
    <n v="11.6"/>
    <n v="1"/>
    <n v="0.35"/>
    <x v="0"/>
  </r>
  <r>
    <x v="0"/>
    <s v="中頭郡西原町"/>
    <x v="26"/>
    <x v="13"/>
    <n v="28"/>
    <n v="3.71"/>
    <n v="13"/>
    <n v="2.84"/>
    <n v="11"/>
    <n v="3.85"/>
    <x v="0"/>
  </r>
  <r>
    <x v="0"/>
    <s v="中頭郡西原町"/>
    <x v="26"/>
    <x v="14"/>
    <n v="57"/>
    <n v="7.55"/>
    <n v="37"/>
    <n v="8.1"/>
    <n v="18"/>
    <n v="6.29"/>
    <x v="3"/>
  </r>
  <r>
    <x v="0"/>
    <s v="島尻郡与那原町"/>
    <x v="27"/>
    <x v="0"/>
    <n v="0"/>
    <n v="0"/>
    <n v="0"/>
    <n v="0"/>
    <n v="0"/>
    <n v="0"/>
    <x v="0"/>
  </r>
  <r>
    <x v="0"/>
    <s v="島尻郡与那原町"/>
    <x v="27"/>
    <x v="1"/>
    <n v="39"/>
    <n v="9.2899999999999991"/>
    <n v="16"/>
    <n v="5.82"/>
    <n v="23"/>
    <n v="16.55"/>
    <x v="0"/>
  </r>
  <r>
    <x v="0"/>
    <s v="島尻郡与那原町"/>
    <x v="27"/>
    <x v="2"/>
    <n v="19"/>
    <n v="4.5199999999999996"/>
    <n v="12"/>
    <n v="4.3600000000000003"/>
    <n v="7"/>
    <n v="5.04"/>
    <x v="0"/>
  </r>
  <r>
    <x v="0"/>
    <s v="島尻郡与那原町"/>
    <x v="27"/>
    <x v="3"/>
    <n v="0"/>
    <n v="0"/>
    <n v="0"/>
    <n v="0"/>
    <n v="0"/>
    <n v="0"/>
    <x v="0"/>
  </r>
  <r>
    <x v="0"/>
    <s v="島尻郡与那原町"/>
    <x v="27"/>
    <x v="4"/>
    <n v="4"/>
    <n v="0.95"/>
    <n v="1"/>
    <n v="0.36"/>
    <n v="3"/>
    <n v="2.16"/>
    <x v="0"/>
  </r>
  <r>
    <x v="0"/>
    <s v="島尻郡与那原町"/>
    <x v="27"/>
    <x v="5"/>
    <n v="0"/>
    <n v="0"/>
    <n v="0"/>
    <n v="0"/>
    <n v="0"/>
    <n v="0"/>
    <x v="0"/>
  </r>
  <r>
    <x v="0"/>
    <s v="島尻郡与那原町"/>
    <x v="27"/>
    <x v="6"/>
    <n v="97"/>
    <n v="23.1"/>
    <n v="51"/>
    <n v="18.55"/>
    <n v="46"/>
    <n v="33.090000000000003"/>
    <x v="0"/>
  </r>
  <r>
    <x v="0"/>
    <s v="島尻郡与那原町"/>
    <x v="27"/>
    <x v="7"/>
    <n v="4"/>
    <n v="0.95"/>
    <n v="2"/>
    <n v="0.73"/>
    <n v="2"/>
    <n v="1.44"/>
    <x v="0"/>
  </r>
  <r>
    <x v="0"/>
    <s v="島尻郡与那原町"/>
    <x v="27"/>
    <x v="8"/>
    <n v="43"/>
    <n v="10.24"/>
    <n v="22"/>
    <n v="8"/>
    <n v="21"/>
    <n v="15.11"/>
    <x v="0"/>
  </r>
  <r>
    <x v="0"/>
    <s v="島尻郡与那原町"/>
    <x v="27"/>
    <x v="9"/>
    <n v="20"/>
    <n v="4.76"/>
    <n v="13"/>
    <n v="4.7300000000000004"/>
    <n v="6"/>
    <n v="4.32"/>
    <x v="0"/>
  </r>
  <r>
    <x v="0"/>
    <s v="島尻郡与那原町"/>
    <x v="27"/>
    <x v="10"/>
    <n v="70"/>
    <n v="16.670000000000002"/>
    <n v="67"/>
    <n v="24.36"/>
    <n v="3"/>
    <n v="2.16"/>
    <x v="0"/>
  </r>
  <r>
    <x v="0"/>
    <s v="島尻郡与那原町"/>
    <x v="27"/>
    <x v="11"/>
    <n v="49"/>
    <n v="11.67"/>
    <n v="40"/>
    <n v="14.55"/>
    <n v="9"/>
    <n v="6.47"/>
    <x v="0"/>
  </r>
  <r>
    <x v="0"/>
    <s v="島尻郡与那原町"/>
    <x v="27"/>
    <x v="12"/>
    <n v="31"/>
    <n v="7.38"/>
    <n v="26"/>
    <n v="9.4499999999999993"/>
    <n v="2"/>
    <n v="1.44"/>
    <x v="0"/>
  </r>
  <r>
    <x v="0"/>
    <s v="島尻郡与那原町"/>
    <x v="27"/>
    <x v="13"/>
    <n v="24"/>
    <n v="5.71"/>
    <n v="11"/>
    <n v="4"/>
    <n v="11"/>
    <n v="7.91"/>
    <x v="0"/>
  </r>
  <r>
    <x v="0"/>
    <s v="島尻郡与那原町"/>
    <x v="27"/>
    <x v="14"/>
    <n v="20"/>
    <n v="4.76"/>
    <n v="14"/>
    <n v="5.09"/>
    <n v="6"/>
    <n v="4.32"/>
    <x v="0"/>
  </r>
  <r>
    <x v="0"/>
    <s v="島尻郡南風原町"/>
    <x v="28"/>
    <x v="0"/>
    <n v="1"/>
    <n v="0.11"/>
    <n v="1"/>
    <n v="0.17"/>
    <n v="0"/>
    <n v="0"/>
    <x v="0"/>
  </r>
  <r>
    <x v="0"/>
    <s v="島尻郡南風原町"/>
    <x v="28"/>
    <x v="1"/>
    <n v="105"/>
    <n v="11.69"/>
    <n v="35"/>
    <n v="5.98"/>
    <n v="70"/>
    <n v="23.1"/>
    <x v="0"/>
  </r>
  <r>
    <x v="0"/>
    <s v="島尻郡南風原町"/>
    <x v="28"/>
    <x v="2"/>
    <n v="72"/>
    <n v="8.02"/>
    <n v="55"/>
    <n v="9.4"/>
    <n v="17"/>
    <n v="5.61"/>
    <x v="0"/>
  </r>
  <r>
    <x v="0"/>
    <s v="島尻郡南風原町"/>
    <x v="28"/>
    <x v="3"/>
    <n v="0"/>
    <n v="0"/>
    <n v="0"/>
    <n v="0"/>
    <n v="0"/>
    <n v="0"/>
    <x v="0"/>
  </r>
  <r>
    <x v="0"/>
    <s v="島尻郡南風原町"/>
    <x v="28"/>
    <x v="4"/>
    <n v="3"/>
    <n v="0.33"/>
    <n v="1"/>
    <n v="0.17"/>
    <n v="2"/>
    <n v="0.66"/>
    <x v="0"/>
  </r>
  <r>
    <x v="0"/>
    <s v="島尻郡南風原町"/>
    <x v="28"/>
    <x v="5"/>
    <n v="6"/>
    <n v="0.67"/>
    <n v="5"/>
    <n v="0.85"/>
    <n v="1"/>
    <n v="0.33"/>
    <x v="0"/>
  </r>
  <r>
    <x v="0"/>
    <s v="島尻郡南風原町"/>
    <x v="28"/>
    <x v="6"/>
    <n v="145"/>
    <n v="16.149999999999999"/>
    <n v="79"/>
    <n v="13.5"/>
    <n v="66"/>
    <n v="21.78"/>
    <x v="0"/>
  </r>
  <r>
    <x v="0"/>
    <s v="島尻郡南風原町"/>
    <x v="28"/>
    <x v="7"/>
    <n v="7"/>
    <n v="0.78"/>
    <n v="2"/>
    <n v="0.34"/>
    <n v="5"/>
    <n v="1.65"/>
    <x v="0"/>
  </r>
  <r>
    <x v="0"/>
    <s v="島尻郡南風原町"/>
    <x v="28"/>
    <x v="8"/>
    <n v="212"/>
    <n v="23.61"/>
    <n v="151"/>
    <n v="25.81"/>
    <n v="61"/>
    <n v="20.13"/>
    <x v="0"/>
  </r>
  <r>
    <x v="0"/>
    <s v="島尻郡南風原町"/>
    <x v="28"/>
    <x v="9"/>
    <n v="38"/>
    <n v="4.2300000000000004"/>
    <n v="23"/>
    <n v="3.93"/>
    <n v="15"/>
    <n v="4.95"/>
    <x v="0"/>
  </r>
  <r>
    <x v="0"/>
    <s v="島尻郡南風原町"/>
    <x v="28"/>
    <x v="10"/>
    <n v="74"/>
    <n v="8.24"/>
    <n v="64"/>
    <n v="10.94"/>
    <n v="10"/>
    <n v="3.3"/>
    <x v="0"/>
  </r>
  <r>
    <x v="0"/>
    <s v="島尻郡南風原町"/>
    <x v="28"/>
    <x v="11"/>
    <n v="110"/>
    <n v="12.25"/>
    <n v="85"/>
    <n v="14.53"/>
    <n v="25"/>
    <n v="8.25"/>
    <x v="0"/>
  </r>
  <r>
    <x v="0"/>
    <s v="島尻郡南風原町"/>
    <x v="28"/>
    <x v="12"/>
    <n v="59"/>
    <n v="6.57"/>
    <n v="53"/>
    <n v="9.06"/>
    <n v="5"/>
    <n v="1.65"/>
    <x v="0"/>
  </r>
  <r>
    <x v="0"/>
    <s v="島尻郡南風原町"/>
    <x v="28"/>
    <x v="13"/>
    <n v="35"/>
    <n v="3.9"/>
    <n v="15"/>
    <n v="2.56"/>
    <n v="16"/>
    <n v="5.28"/>
    <x v="0"/>
  </r>
  <r>
    <x v="0"/>
    <s v="島尻郡南風原町"/>
    <x v="28"/>
    <x v="14"/>
    <n v="31"/>
    <n v="3.45"/>
    <n v="16"/>
    <n v="2.74"/>
    <n v="10"/>
    <n v="3.3"/>
    <x v="13"/>
  </r>
  <r>
    <x v="0"/>
    <s v="島尻郡渡嘉敷村"/>
    <x v="29"/>
    <x v="0"/>
    <n v="0"/>
    <n v="0"/>
    <n v="0"/>
    <n v="0"/>
    <n v="0"/>
    <n v="0"/>
    <x v="0"/>
  </r>
  <r>
    <x v="0"/>
    <s v="島尻郡渡嘉敷村"/>
    <x v="29"/>
    <x v="1"/>
    <n v="4"/>
    <n v="5.63"/>
    <n v="3"/>
    <n v="5.66"/>
    <n v="1"/>
    <n v="8.33"/>
    <x v="0"/>
  </r>
  <r>
    <x v="0"/>
    <s v="島尻郡渡嘉敷村"/>
    <x v="29"/>
    <x v="2"/>
    <n v="1"/>
    <n v="1.41"/>
    <n v="1"/>
    <n v="1.89"/>
    <n v="0"/>
    <n v="0"/>
    <x v="0"/>
  </r>
  <r>
    <x v="0"/>
    <s v="島尻郡渡嘉敷村"/>
    <x v="29"/>
    <x v="3"/>
    <n v="1"/>
    <n v="1.41"/>
    <n v="0"/>
    <n v="0"/>
    <n v="0"/>
    <n v="0"/>
    <x v="0"/>
  </r>
  <r>
    <x v="0"/>
    <s v="島尻郡渡嘉敷村"/>
    <x v="29"/>
    <x v="4"/>
    <n v="1"/>
    <n v="1.41"/>
    <n v="1"/>
    <n v="1.89"/>
    <n v="0"/>
    <n v="0"/>
    <x v="0"/>
  </r>
  <r>
    <x v="0"/>
    <s v="島尻郡渡嘉敷村"/>
    <x v="29"/>
    <x v="5"/>
    <n v="3"/>
    <n v="4.2300000000000004"/>
    <n v="2"/>
    <n v="3.77"/>
    <n v="1"/>
    <n v="8.33"/>
    <x v="0"/>
  </r>
  <r>
    <x v="0"/>
    <s v="島尻郡渡嘉敷村"/>
    <x v="29"/>
    <x v="6"/>
    <n v="4"/>
    <n v="5.63"/>
    <n v="3"/>
    <n v="5.66"/>
    <n v="1"/>
    <n v="8.33"/>
    <x v="0"/>
  </r>
  <r>
    <x v="0"/>
    <s v="島尻郡渡嘉敷村"/>
    <x v="29"/>
    <x v="7"/>
    <n v="0"/>
    <n v="0"/>
    <n v="0"/>
    <n v="0"/>
    <n v="0"/>
    <n v="0"/>
    <x v="0"/>
  </r>
  <r>
    <x v="0"/>
    <s v="島尻郡渡嘉敷村"/>
    <x v="29"/>
    <x v="8"/>
    <n v="4"/>
    <n v="5.63"/>
    <n v="2"/>
    <n v="3.77"/>
    <n v="2"/>
    <n v="16.670000000000002"/>
    <x v="0"/>
  </r>
  <r>
    <x v="0"/>
    <s v="島尻郡渡嘉敷村"/>
    <x v="29"/>
    <x v="9"/>
    <n v="2"/>
    <n v="2.82"/>
    <n v="2"/>
    <n v="3.77"/>
    <n v="0"/>
    <n v="0"/>
    <x v="0"/>
  </r>
  <r>
    <x v="0"/>
    <s v="島尻郡渡嘉敷村"/>
    <x v="29"/>
    <x v="10"/>
    <n v="24"/>
    <n v="33.799999999999997"/>
    <n v="20"/>
    <n v="37.74"/>
    <n v="3"/>
    <n v="25"/>
    <x v="0"/>
  </r>
  <r>
    <x v="0"/>
    <s v="島尻郡渡嘉敷村"/>
    <x v="29"/>
    <x v="11"/>
    <n v="20"/>
    <n v="28.17"/>
    <n v="17"/>
    <n v="32.08"/>
    <n v="2"/>
    <n v="16.670000000000002"/>
    <x v="0"/>
  </r>
  <r>
    <x v="0"/>
    <s v="島尻郡渡嘉敷村"/>
    <x v="29"/>
    <x v="12"/>
    <n v="0"/>
    <n v="0"/>
    <n v="0"/>
    <n v="0"/>
    <n v="0"/>
    <n v="0"/>
    <x v="0"/>
  </r>
  <r>
    <x v="0"/>
    <s v="島尻郡渡嘉敷村"/>
    <x v="29"/>
    <x v="13"/>
    <n v="3"/>
    <n v="4.2300000000000004"/>
    <n v="1"/>
    <n v="1.89"/>
    <n v="0"/>
    <n v="0"/>
    <x v="0"/>
  </r>
  <r>
    <x v="0"/>
    <s v="島尻郡渡嘉敷村"/>
    <x v="29"/>
    <x v="14"/>
    <n v="4"/>
    <n v="5.63"/>
    <n v="1"/>
    <n v="1.89"/>
    <n v="2"/>
    <n v="16.670000000000002"/>
    <x v="0"/>
  </r>
  <r>
    <x v="0"/>
    <s v="島尻郡座間味村"/>
    <x v="30"/>
    <x v="0"/>
    <n v="0"/>
    <n v="0"/>
    <n v="0"/>
    <n v="0"/>
    <n v="0"/>
    <n v="0"/>
    <x v="0"/>
  </r>
  <r>
    <x v="0"/>
    <s v="島尻郡座間味村"/>
    <x v="30"/>
    <x v="1"/>
    <n v="4"/>
    <n v="2.67"/>
    <n v="3"/>
    <n v="2.38"/>
    <n v="1"/>
    <n v="5.26"/>
    <x v="0"/>
  </r>
  <r>
    <x v="0"/>
    <s v="島尻郡座間味村"/>
    <x v="30"/>
    <x v="2"/>
    <n v="2"/>
    <n v="1.33"/>
    <n v="1"/>
    <n v="0.79"/>
    <n v="1"/>
    <n v="5.26"/>
    <x v="0"/>
  </r>
  <r>
    <x v="0"/>
    <s v="島尻郡座間味村"/>
    <x v="30"/>
    <x v="3"/>
    <n v="1"/>
    <n v="0.67"/>
    <n v="0"/>
    <n v="0"/>
    <n v="0"/>
    <n v="0"/>
    <x v="0"/>
  </r>
  <r>
    <x v="0"/>
    <s v="島尻郡座間味村"/>
    <x v="30"/>
    <x v="4"/>
    <n v="0"/>
    <n v="0"/>
    <n v="0"/>
    <n v="0"/>
    <n v="0"/>
    <n v="0"/>
    <x v="0"/>
  </r>
  <r>
    <x v="0"/>
    <s v="島尻郡座間味村"/>
    <x v="30"/>
    <x v="5"/>
    <n v="3"/>
    <n v="2"/>
    <n v="2"/>
    <n v="1.59"/>
    <n v="0"/>
    <n v="0"/>
    <x v="0"/>
  </r>
  <r>
    <x v="0"/>
    <s v="島尻郡座間味村"/>
    <x v="30"/>
    <x v="6"/>
    <n v="15"/>
    <n v="10"/>
    <n v="12"/>
    <n v="9.52"/>
    <n v="3"/>
    <n v="15.79"/>
    <x v="0"/>
  </r>
  <r>
    <x v="0"/>
    <s v="島尻郡座間味村"/>
    <x v="30"/>
    <x v="7"/>
    <n v="0"/>
    <n v="0"/>
    <n v="0"/>
    <n v="0"/>
    <n v="0"/>
    <n v="0"/>
    <x v="0"/>
  </r>
  <r>
    <x v="0"/>
    <s v="島尻郡座間味村"/>
    <x v="30"/>
    <x v="8"/>
    <n v="9"/>
    <n v="6"/>
    <n v="8"/>
    <n v="6.35"/>
    <n v="1"/>
    <n v="5.26"/>
    <x v="0"/>
  </r>
  <r>
    <x v="0"/>
    <s v="島尻郡座間味村"/>
    <x v="30"/>
    <x v="9"/>
    <n v="0"/>
    <n v="0"/>
    <n v="0"/>
    <n v="0"/>
    <n v="0"/>
    <n v="0"/>
    <x v="0"/>
  </r>
  <r>
    <x v="0"/>
    <s v="島尻郡座間味村"/>
    <x v="30"/>
    <x v="10"/>
    <n v="75"/>
    <n v="50"/>
    <n v="66"/>
    <n v="52.38"/>
    <n v="8"/>
    <n v="42.11"/>
    <x v="0"/>
  </r>
  <r>
    <x v="0"/>
    <s v="島尻郡座間味村"/>
    <x v="30"/>
    <x v="11"/>
    <n v="36"/>
    <n v="24"/>
    <n v="31"/>
    <n v="24.6"/>
    <n v="4"/>
    <n v="21.05"/>
    <x v="0"/>
  </r>
  <r>
    <x v="0"/>
    <s v="島尻郡座間味村"/>
    <x v="30"/>
    <x v="12"/>
    <n v="3"/>
    <n v="2"/>
    <n v="3"/>
    <n v="2.38"/>
    <n v="0"/>
    <n v="0"/>
    <x v="0"/>
  </r>
  <r>
    <x v="0"/>
    <s v="島尻郡座間味村"/>
    <x v="30"/>
    <x v="13"/>
    <n v="2"/>
    <n v="1.33"/>
    <n v="0"/>
    <n v="0"/>
    <n v="1"/>
    <n v="5.26"/>
    <x v="0"/>
  </r>
  <r>
    <x v="0"/>
    <s v="島尻郡座間味村"/>
    <x v="30"/>
    <x v="14"/>
    <n v="0"/>
    <n v="0"/>
    <n v="0"/>
    <n v="0"/>
    <n v="0"/>
    <n v="0"/>
    <x v="0"/>
  </r>
  <r>
    <x v="0"/>
    <s v="島尻郡粟国村"/>
    <x v="31"/>
    <x v="0"/>
    <n v="0"/>
    <n v="0"/>
    <n v="0"/>
    <n v="0"/>
    <n v="0"/>
    <n v="0"/>
    <x v="0"/>
  </r>
  <r>
    <x v="0"/>
    <s v="島尻郡粟国村"/>
    <x v="31"/>
    <x v="1"/>
    <n v="1"/>
    <n v="2.63"/>
    <n v="1"/>
    <n v="3.33"/>
    <n v="0"/>
    <n v="0"/>
    <x v="0"/>
  </r>
  <r>
    <x v="0"/>
    <s v="島尻郡粟国村"/>
    <x v="31"/>
    <x v="2"/>
    <n v="4"/>
    <n v="10.53"/>
    <n v="2"/>
    <n v="6.67"/>
    <n v="2"/>
    <n v="50"/>
    <x v="0"/>
  </r>
  <r>
    <x v="0"/>
    <s v="島尻郡粟国村"/>
    <x v="31"/>
    <x v="3"/>
    <n v="2"/>
    <n v="5.26"/>
    <n v="0"/>
    <n v="0"/>
    <n v="1"/>
    <n v="25"/>
    <x v="0"/>
  </r>
  <r>
    <x v="0"/>
    <s v="島尻郡粟国村"/>
    <x v="31"/>
    <x v="4"/>
    <n v="0"/>
    <n v="0"/>
    <n v="0"/>
    <n v="0"/>
    <n v="0"/>
    <n v="0"/>
    <x v="0"/>
  </r>
  <r>
    <x v="0"/>
    <s v="島尻郡粟国村"/>
    <x v="31"/>
    <x v="5"/>
    <n v="4"/>
    <n v="10.53"/>
    <n v="3"/>
    <n v="10"/>
    <n v="0"/>
    <n v="0"/>
    <x v="0"/>
  </r>
  <r>
    <x v="0"/>
    <s v="島尻郡粟国村"/>
    <x v="31"/>
    <x v="6"/>
    <n v="10"/>
    <n v="26.32"/>
    <n v="9"/>
    <n v="30"/>
    <n v="0"/>
    <n v="0"/>
    <x v="1"/>
  </r>
  <r>
    <x v="0"/>
    <s v="島尻郡粟国村"/>
    <x v="31"/>
    <x v="7"/>
    <n v="0"/>
    <n v="0"/>
    <n v="0"/>
    <n v="0"/>
    <n v="0"/>
    <n v="0"/>
    <x v="0"/>
  </r>
  <r>
    <x v="0"/>
    <s v="島尻郡粟国村"/>
    <x v="31"/>
    <x v="8"/>
    <n v="0"/>
    <n v="0"/>
    <n v="0"/>
    <n v="0"/>
    <n v="0"/>
    <n v="0"/>
    <x v="0"/>
  </r>
  <r>
    <x v="0"/>
    <s v="島尻郡粟国村"/>
    <x v="31"/>
    <x v="9"/>
    <n v="0"/>
    <n v="0"/>
    <n v="0"/>
    <n v="0"/>
    <n v="0"/>
    <n v="0"/>
    <x v="0"/>
  </r>
  <r>
    <x v="0"/>
    <s v="島尻郡粟国村"/>
    <x v="31"/>
    <x v="10"/>
    <n v="12"/>
    <n v="31.58"/>
    <n v="12"/>
    <n v="40"/>
    <n v="0"/>
    <n v="0"/>
    <x v="0"/>
  </r>
  <r>
    <x v="0"/>
    <s v="島尻郡粟国村"/>
    <x v="31"/>
    <x v="11"/>
    <n v="3"/>
    <n v="7.89"/>
    <n v="3"/>
    <n v="10"/>
    <n v="0"/>
    <n v="0"/>
    <x v="0"/>
  </r>
  <r>
    <x v="0"/>
    <s v="島尻郡粟国村"/>
    <x v="31"/>
    <x v="12"/>
    <n v="0"/>
    <n v="0"/>
    <n v="0"/>
    <n v="0"/>
    <n v="0"/>
    <n v="0"/>
    <x v="0"/>
  </r>
  <r>
    <x v="0"/>
    <s v="島尻郡粟国村"/>
    <x v="31"/>
    <x v="13"/>
    <n v="2"/>
    <n v="5.26"/>
    <n v="0"/>
    <n v="0"/>
    <n v="1"/>
    <n v="25"/>
    <x v="0"/>
  </r>
  <r>
    <x v="0"/>
    <s v="島尻郡粟国村"/>
    <x v="31"/>
    <x v="14"/>
    <n v="0"/>
    <n v="0"/>
    <n v="0"/>
    <n v="0"/>
    <n v="0"/>
    <n v="0"/>
    <x v="0"/>
  </r>
  <r>
    <x v="0"/>
    <s v="島尻郡渡名喜村"/>
    <x v="32"/>
    <x v="0"/>
    <n v="0"/>
    <n v="0"/>
    <n v="0"/>
    <n v="0"/>
    <n v="0"/>
    <n v="0"/>
    <x v="0"/>
  </r>
  <r>
    <x v="0"/>
    <s v="島尻郡渡名喜村"/>
    <x v="32"/>
    <x v="1"/>
    <n v="0"/>
    <n v="0"/>
    <n v="0"/>
    <n v="0"/>
    <n v="0"/>
    <n v="0"/>
    <x v="0"/>
  </r>
  <r>
    <x v="0"/>
    <s v="島尻郡渡名喜村"/>
    <x v="32"/>
    <x v="2"/>
    <n v="1"/>
    <n v="6.25"/>
    <n v="0"/>
    <n v="0"/>
    <n v="1"/>
    <n v="20"/>
    <x v="0"/>
  </r>
  <r>
    <x v="0"/>
    <s v="島尻郡渡名喜村"/>
    <x v="32"/>
    <x v="3"/>
    <n v="2"/>
    <n v="12.5"/>
    <n v="0"/>
    <n v="0"/>
    <n v="1"/>
    <n v="20"/>
    <x v="0"/>
  </r>
  <r>
    <x v="0"/>
    <s v="島尻郡渡名喜村"/>
    <x v="32"/>
    <x v="4"/>
    <n v="0"/>
    <n v="0"/>
    <n v="0"/>
    <n v="0"/>
    <n v="0"/>
    <n v="0"/>
    <x v="0"/>
  </r>
  <r>
    <x v="0"/>
    <s v="島尻郡渡名喜村"/>
    <x v="32"/>
    <x v="5"/>
    <n v="1"/>
    <n v="6.25"/>
    <n v="0"/>
    <n v="0"/>
    <n v="1"/>
    <n v="20"/>
    <x v="0"/>
  </r>
  <r>
    <x v="0"/>
    <s v="島尻郡渡名喜村"/>
    <x v="32"/>
    <x v="6"/>
    <n v="5"/>
    <n v="31.25"/>
    <n v="4"/>
    <n v="44.44"/>
    <n v="1"/>
    <n v="20"/>
    <x v="0"/>
  </r>
  <r>
    <x v="0"/>
    <s v="島尻郡渡名喜村"/>
    <x v="32"/>
    <x v="7"/>
    <n v="0"/>
    <n v="0"/>
    <n v="0"/>
    <n v="0"/>
    <n v="0"/>
    <n v="0"/>
    <x v="0"/>
  </r>
  <r>
    <x v="0"/>
    <s v="島尻郡渡名喜村"/>
    <x v="32"/>
    <x v="8"/>
    <n v="0"/>
    <n v="0"/>
    <n v="0"/>
    <n v="0"/>
    <n v="0"/>
    <n v="0"/>
    <x v="0"/>
  </r>
  <r>
    <x v="0"/>
    <s v="島尻郡渡名喜村"/>
    <x v="32"/>
    <x v="9"/>
    <n v="0"/>
    <n v="0"/>
    <n v="0"/>
    <n v="0"/>
    <n v="0"/>
    <n v="0"/>
    <x v="0"/>
  </r>
  <r>
    <x v="0"/>
    <s v="島尻郡渡名喜村"/>
    <x v="32"/>
    <x v="10"/>
    <n v="6"/>
    <n v="37.5"/>
    <n v="5"/>
    <n v="55.56"/>
    <n v="1"/>
    <n v="20"/>
    <x v="0"/>
  </r>
  <r>
    <x v="0"/>
    <s v="島尻郡渡名喜村"/>
    <x v="32"/>
    <x v="11"/>
    <n v="0"/>
    <n v="0"/>
    <n v="0"/>
    <n v="0"/>
    <n v="0"/>
    <n v="0"/>
    <x v="0"/>
  </r>
  <r>
    <x v="0"/>
    <s v="島尻郡渡名喜村"/>
    <x v="32"/>
    <x v="12"/>
    <n v="0"/>
    <n v="0"/>
    <n v="0"/>
    <n v="0"/>
    <n v="0"/>
    <n v="0"/>
    <x v="0"/>
  </r>
  <r>
    <x v="0"/>
    <s v="島尻郡渡名喜村"/>
    <x v="32"/>
    <x v="13"/>
    <n v="1"/>
    <n v="6.25"/>
    <n v="0"/>
    <n v="0"/>
    <n v="0"/>
    <n v="0"/>
    <x v="0"/>
  </r>
  <r>
    <x v="0"/>
    <s v="島尻郡渡名喜村"/>
    <x v="32"/>
    <x v="14"/>
    <n v="0"/>
    <n v="0"/>
    <n v="0"/>
    <n v="0"/>
    <n v="0"/>
    <n v="0"/>
    <x v="0"/>
  </r>
  <r>
    <x v="0"/>
    <s v="島尻郡南大東村"/>
    <x v="33"/>
    <x v="0"/>
    <n v="0"/>
    <n v="0"/>
    <n v="0"/>
    <n v="0"/>
    <n v="0"/>
    <n v="0"/>
    <x v="0"/>
  </r>
  <r>
    <x v="0"/>
    <s v="島尻郡南大東村"/>
    <x v="33"/>
    <x v="1"/>
    <n v="1"/>
    <n v="2"/>
    <n v="0"/>
    <n v="0"/>
    <n v="1"/>
    <n v="5.88"/>
    <x v="0"/>
  </r>
  <r>
    <x v="0"/>
    <s v="島尻郡南大東村"/>
    <x v="33"/>
    <x v="2"/>
    <n v="2"/>
    <n v="4"/>
    <n v="0"/>
    <n v="0"/>
    <n v="2"/>
    <n v="11.76"/>
    <x v="0"/>
  </r>
  <r>
    <x v="0"/>
    <s v="島尻郡南大東村"/>
    <x v="33"/>
    <x v="3"/>
    <n v="1"/>
    <n v="2"/>
    <n v="0"/>
    <n v="0"/>
    <n v="1"/>
    <n v="5.88"/>
    <x v="0"/>
  </r>
  <r>
    <x v="0"/>
    <s v="島尻郡南大東村"/>
    <x v="33"/>
    <x v="4"/>
    <n v="0"/>
    <n v="0"/>
    <n v="0"/>
    <n v="0"/>
    <n v="0"/>
    <n v="0"/>
    <x v="0"/>
  </r>
  <r>
    <x v="0"/>
    <s v="島尻郡南大東村"/>
    <x v="33"/>
    <x v="5"/>
    <n v="3"/>
    <n v="6"/>
    <n v="0"/>
    <n v="0"/>
    <n v="3"/>
    <n v="17.649999999999999"/>
    <x v="0"/>
  </r>
  <r>
    <x v="0"/>
    <s v="島尻郡南大東村"/>
    <x v="33"/>
    <x v="6"/>
    <n v="9"/>
    <n v="18"/>
    <n v="5"/>
    <n v="16.670000000000002"/>
    <n v="4"/>
    <n v="23.53"/>
    <x v="0"/>
  </r>
  <r>
    <x v="0"/>
    <s v="島尻郡南大東村"/>
    <x v="33"/>
    <x v="7"/>
    <n v="0"/>
    <n v="0"/>
    <n v="0"/>
    <n v="0"/>
    <n v="0"/>
    <n v="0"/>
    <x v="0"/>
  </r>
  <r>
    <x v="0"/>
    <s v="島尻郡南大東村"/>
    <x v="33"/>
    <x v="8"/>
    <n v="1"/>
    <n v="2"/>
    <n v="0"/>
    <n v="0"/>
    <n v="1"/>
    <n v="5.88"/>
    <x v="0"/>
  </r>
  <r>
    <x v="0"/>
    <s v="島尻郡南大東村"/>
    <x v="33"/>
    <x v="9"/>
    <n v="2"/>
    <n v="4"/>
    <n v="0"/>
    <n v="0"/>
    <n v="1"/>
    <n v="5.88"/>
    <x v="0"/>
  </r>
  <r>
    <x v="0"/>
    <s v="島尻郡南大東村"/>
    <x v="33"/>
    <x v="10"/>
    <n v="19"/>
    <n v="38"/>
    <n v="19"/>
    <n v="63.33"/>
    <n v="0"/>
    <n v="0"/>
    <x v="0"/>
  </r>
  <r>
    <x v="0"/>
    <s v="島尻郡南大東村"/>
    <x v="33"/>
    <x v="11"/>
    <n v="4"/>
    <n v="8"/>
    <n v="3"/>
    <n v="10"/>
    <n v="1"/>
    <n v="5.88"/>
    <x v="0"/>
  </r>
  <r>
    <x v="0"/>
    <s v="島尻郡南大東村"/>
    <x v="33"/>
    <x v="12"/>
    <n v="3"/>
    <n v="6"/>
    <n v="1"/>
    <n v="3.33"/>
    <n v="1"/>
    <n v="5.88"/>
    <x v="0"/>
  </r>
  <r>
    <x v="0"/>
    <s v="島尻郡南大東村"/>
    <x v="33"/>
    <x v="13"/>
    <n v="0"/>
    <n v="0"/>
    <n v="0"/>
    <n v="0"/>
    <n v="0"/>
    <n v="0"/>
    <x v="0"/>
  </r>
  <r>
    <x v="0"/>
    <s v="島尻郡南大東村"/>
    <x v="33"/>
    <x v="14"/>
    <n v="5"/>
    <n v="10"/>
    <n v="2"/>
    <n v="6.67"/>
    <n v="2"/>
    <n v="11.76"/>
    <x v="0"/>
  </r>
  <r>
    <x v="0"/>
    <s v="島尻郡北大東村"/>
    <x v="34"/>
    <x v="0"/>
    <n v="0"/>
    <n v="0"/>
    <n v="0"/>
    <n v="0"/>
    <n v="0"/>
    <n v="0"/>
    <x v="0"/>
  </r>
  <r>
    <x v="0"/>
    <s v="島尻郡北大東村"/>
    <x v="34"/>
    <x v="1"/>
    <n v="1"/>
    <n v="3.13"/>
    <n v="0"/>
    <n v="0"/>
    <n v="1"/>
    <n v="16.670000000000002"/>
    <x v="0"/>
  </r>
  <r>
    <x v="0"/>
    <s v="島尻郡北大東村"/>
    <x v="34"/>
    <x v="2"/>
    <n v="1"/>
    <n v="3.13"/>
    <n v="0"/>
    <n v="0"/>
    <n v="1"/>
    <n v="16.670000000000002"/>
    <x v="0"/>
  </r>
  <r>
    <x v="0"/>
    <s v="島尻郡北大東村"/>
    <x v="34"/>
    <x v="3"/>
    <n v="2"/>
    <n v="6.25"/>
    <n v="0"/>
    <n v="0"/>
    <n v="1"/>
    <n v="16.670000000000002"/>
    <x v="0"/>
  </r>
  <r>
    <x v="0"/>
    <s v="島尻郡北大東村"/>
    <x v="34"/>
    <x v="4"/>
    <n v="0"/>
    <n v="0"/>
    <n v="0"/>
    <n v="0"/>
    <n v="0"/>
    <n v="0"/>
    <x v="0"/>
  </r>
  <r>
    <x v="0"/>
    <s v="島尻郡北大東村"/>
    <x v="34"/>
    <x v="5"/>
    <n v="5"/>
    <n v="15.63"/>
    <n v="2"/>
    <n v="14.29"/>
    <n v="1"/>
    <n v="16.670000000000002"/>
    <x v="0"/>
  </r>
  <r>
    <x v="0"/>
    <s v="島尻郡北大東村"/>
    <x v="34"/>
    <x v="6"/>
    <n v="9"/>
    <n v="28.13"/>
    <n v="6"/>
    <n v="42.86"/>
    <n v="2"/>
    <n v="33.33"/>
    <x v="1"/>
  </r>
  <r>
    <x v="0"/>
    <s v="島尻郡北大東村"/>
    <x v="34"/>
    <x v="7"/>
    <n v="0"/>
    <n v="0"/>
    <n v="0"/>
    <n v="0"/>
    <n v="0"/>
    <n v="0"/>
    <x v="0"/>
  </r>
  <r>
    <x v="0"/>
    <s v="島尻郡北大東村"/>
    <x v="34"/>
    <x v="8"/>
    <n v="0"/>
    <n v="0"/>
    <n v="0"/>
    <n v="0"/>
    <n v="0"/>
    <n v="0"/>
    <x v="0"/>
  </r>
  <r>
    <x v="0"/>
    <s v="島尻郡北大東村"/>
    <x v="34"/>
    <x v="9"/>
    <n v="1"/>
    <n v="3.13"/>
    <n v="0"/>
    <n v="0"/>
    <n v="0"/>
    <n v="0"/>
    <x v="0"/>
  </r>
  <r>
    <x v="0"/>
    <s v="島尻郡北大東村"/>
    <x v="34"/>
    <x v="10"/>
    <n v="6"/>
    <n v="18.75"/>
    <n v="4"/>
    <n v="28.57"/>
    <n v="0"/>
    <n v="0"/>
    <x v="0"/>
  </r>
  <r>
    <x v="0"/>
    <s v="島尻郡北大東村"/>
    <x v="34"/>
    <x v="11"/>
    <n v="1"/>
    <n v="3.13"/>
    <n v="1"/>
    <n v="7.14"/>
    <n v="0"/>
    <n v="0"/>
    <x v="0"/>
  </r>
  <r>
    <x v="0"/>
    <s v="島尻郡北大東村"/>
    <x v="34"/>
    <x v="12"/>
    <n v="1"/>
    <n v="3.13"/>
    <n v="0"/>
    <n v="0"/>
    <n v="0"/>
    <n v="0"/>
    <x v="0"/>
  </r>
  <r>
    <x v="0"/>
    <s v="島尻郡北大東村"/>
    <x v="34"/>
    <x v="13"/>
    <n v="1"/>
    <n v="3.13"/>
    <n v="0"/>
    <n v="0"/>
    <n v="0"/>
    <n v="0"/>
    <x v="0"/>
  </r>
  <r>
    <x v="0"/>
    <s v="島尻郡北大東村"/>
    <x v="34"/>
    <x v="14"/>
    <n v="4"/>
    <n v="12.5"/>
    <n v="1"/>
    <n v="7.14"/>
    <n v="0"/>
    <n v="0"/>
    <x v="0"/>
  </r>
  <r>
    <x v="0"/>
    <s v="島尻郡伊平屋村"/>
    <x v="35"/>
    <x v="0"/>
    <n v="0"/>
    <n v="0"/>
    <n v="0"/>
    <n v="0"/>
    <n v="0"/>
    <n v="0"/>
    <x v="0"/>
  </r>
  <r>
    <x v="0"/>
    <s v="島尻郡伊平屋村"/>
    <x v="35"/>
    <x v="1"/>
    <n v="4"/>
    <n v="7.55"/>
    <n v="1"/>
    <n v="3.03"/>
    <n v="3"/>
    <n v="20"/>
    <x v="0"/>
  </r>
  <r>
    <x v="0"/>
    <s v="島尻郡伊平屋村"/>
    <x v="35"/>
    <x v="2"/>
    <n v="9"/>
    <n v="16.98"/>
    <n v="4"/>
    <n v="12.12"/>
    <n v="4"/>
    <n v="26.67"/>
    <x v="1"/>
  </r>
  <r>
    <x v="0"/>
    <s v="島尻郡伊平屋村"/>
    <x v="35"/>
    <x v="3"/>
    <n v="0"/>
    <n v="0"/>
    <n v="0"/>
    <n v="0"/>
    <n v="0"/>
    <n v="0"/>
    <x v="0"/>
  </r>
  <r>
    <x v="0"/>
    <s v="島尻郡伊平屋村"/>
    <x v="35"/>
    <x v="4"/>
    <n v="0"/>
    <n v="0"/>
    <n v="0"/>
    <n v="0"/>
    <n v="0"/>
    <n v="0"/>
    <x v="0"/>
  </r>
  <r>
    <x v="0"/>
    <s v="島尻郡伊平屋村"/>
    <x v="35"/>
    <x v="5"/>
    <n v="2"/>
    <n v="3.77"/>
    <n v="1"/>
    <n v="3.03"/>
    <n v="1"/>
    <n v="6.67"/>
    <x v="0"/>
  </r>
  <r>
    <x v="0"/>
    <s v="島尻郡伊平屋村"/>
    <x v="35"/>
    <x v="6"/>
    <n v="17"/>
    <n v="32.08"/>
    <n v="11"/>
    <n v="33.33"/>
    <n v="6"/>
    <n v="40"/>
    <x v="0"/>
  </r>
  <r>
    <x v="0"/>
    <s v="島尻郡伊平屋村"/>
    <x v="35"/>
    <x v="7"/>
    <n v="0"/>
    <n v="0"/>
    <n v="0"/>
    <n v="0"/>
    <n v="0"/>
    <n v="0"/>
    <x v="0"/>
  </r>
  <r>
    <x v="0"/>
    <s v="島尻郡伊平屋村"/>
    <x v="35"/>
    <x v="8"/>
    <n v="1"/>
    <n v="1.89"/>
    <n v="0"/>
    <n v="0"/>
    <n v="0"/>
    <n v="0"/>
    <x v="0"/>
  </r>
  <r>
    <x v="0"/>
    <s v="島尻郡伊平屋村"/>
    <x v="35"/>
    <x v="9"/>
    <n v="0"/>
    <n v="0"/>
    <n v="0"/>
    <n v="0"/>
    <n v="0"/>
    <n v="0"/>
    <x v="0"/>
  </r>
  <r>
    <x v="0"/>
    <s v="島尻郡伊平屋村"/>
    <x v="35"/>
    <x v="10"/>
    <n v="12"/>
    <n v="22.64"/>
    <n v="12"/>
    <n v="36.36"/>
    <n v="0"/>
    <n v="0"/>
    <x v="0"/>
  </r>
  <r>
    <x v="0"/>
    <s v="島尻郡伊平屋村"/>
    <x v="35"/>
    <x v="11"/>
    <n v="3"/>
    <n v="5.66"/>
    <n v="3"/>
    <n v="9.09"/>
    <n v="0"/>
    <n v="0"/>
    <x v="0"/>
  </r>
  <r>
    <x v="0"/>
    <s v="島尻郡伊平屋村"/>
    <x v="35"/>
    <x v="12"/>
    <n v="1"/>
    <n v="1.89"/>
    <n v="0"/>
    <n v="0"/>
    <n v="0"/>
    <n v="0"/>
    <x v="0"/>
  </r>
  <r>
    <x v="0"/>
    <s v="島尻郡伊平屋村"/>
    <x v="35"/>
    <x v="13"/>
    <n v="1"/>
    <n v="1.89"/>
    <n v="0"/>
    <n v="0"/>
    <n v="0"/>
    <n v="0"/>
    <x v="0"/>
  </r>
  <r>
    <x v="0"/>
    <s v="島尻郡伊平屋村"/>
    <x v="35"/>
    <x v="14"/>
    <n v="3"/>
    <n v="5.66"/>
    <n v="1"/>
    <n v="3.03"/>
    <n v="1"/>
    <n v="6.67"/>
    <x v="0"/>
  </r>
  <r>
    <x v="0"/>
    <s v="島尻郡伊是名村"/>
    <x v="36"/>
    <x v="0"/>
    <n v="0"/>
    <n v="0"/>
    <n v="0"/>
    <n v="0"/>
    <n v="0"/>
    <n v="0"/>
    <x v="0"/>
  </r>
  <r>
    <x v="0"/>
    <s v="島尻郡伊是名村"/>
    <x v="36"/>
    <x v="1"/>
    <n v="12"/>
    <n v="19.670000000000002"/>
    <n v="1"/>
    <n v="2.86"/>
    <n v="11"/>
    <n v="55"/>
    <x v="0"/>
  </r>
  <r>
    <x v="0"/>
    <s v="島尻郡伊是名村"/>
    <x v="36"/>
    <x v="2"/>
    <n v="3"/>
    <n v="4.92"/>
    <n v="0"/>
    <n v="0"/>
    <n v="3"/>
    <n v="15"/>
    <x v="0"/>
  </r>
  <r>
    <x v="0"/>
    <s v="島尻郡伊是名村"/>
    <x v="36"/>
    <x v="3"/>
    <n v="0"/>
    <n v="0"/>
    <n v="0"/>
    <n v="0"/>
    <n v="0"/>
    <n v="0"/>
    <x v="0"/>
  </r>
  <r>
    <x v="0"/>
    <s v="島尻郡伊是名村"/>
    <x v="36"/>
    <x v="4"/>
    <n v="0"/>
    <n v="0"/>
    <n v="0"/>
    <n v="0"/>
    <n v="0"/>
    <n v="0"/>
    <x v="0"/>
  </r>
  <r>
    <x v="0"/>
    <s v="島尻郡伊是名村"/>
    <x v="36"/>
    <x v="5"/>
    <n v="1"/>
    <n v="1.64"/>
    <n v="0"/>
    <n v="0"/>
    <n v="1"/>
    <n v="5"/>
    <x v="0"/>
  </r>
  <r>
    <x v="0"/>
    <s v="島尻郡伊是名村"/>
    <x v="36"/>
    <x v="6"/>
    <n v="18"/>
    <n v="29.51"/>
    <n v="14"/>
    <n v="40"/>
    <n v="3"/>
    <n v="15"/>
    <x v="1"/>
  </r>
  <r>
    <x v="0"/>
    <s v="島尻郡伊是名村"/>
    <x v="36"/>
    <x v="7"/>
    <n v="0"/>
    <n v="0"/>
    <n v="0"/>
    <n v="0"/>
    <n v="0"/>
    <n v="0"/>
    <x v="0"/>
  </r>
  <r>
    <x v="0"/>
    <s v="島尻郡伊是名村"/>
    <x v="36"/>
    <x v="8"/>
    <n v="2"/>
    <n v="3.28"/>
    <n v="1"/>
    <n v="2.86"/>
    <n v="0"/>
    <n v="0"/>
    <x v="0"/>
  </r>
  <r>
    <x v="0"/>
    <s v="島尻郡伊是名村"/>
    <x v="36"/>
    <x v="9"/>
    <n v="0"/>
    <n v="0"/>
    <n v="0"/>
    <n v="0"/>
    <n v="0"/>
    <n v="0"/>
    <x v="0"/>
  </r>
  <r>
    <x v="0"/>
    <s v="島尻郡伊是名村"/>
    <x v="36"/>
    <x v="10"/>
    <n v="15"/>
    <n v="24.59"/>
    <n v="14"/>
    <n v="40"/>
    <n v="1"/>
    <n v="5"/>
    <x v="0"/>
  </r>
  <r>
    <x v="0"/>
    <s v="島尻郡伊是名村"/>
    <x v="36"/>
    <x v="11"/>
    <n v="6"/>
    <n v="9.84"/>
    <n v="5"/>
    <n v="14.29"/>
    <n v="0"/>
    <n v="0"/>
    <x v="0"/>
  </r>
  <r>
    <x v="0"/>
    <s v="島尻郡伊是名村"/>
    <x v="36"/>
    <x v="12"/>
    <n v="1"/>
    <n v="1.64"/>
    <n v="0"/>
    <n v="0"/>
    <n v="0"/>
    <n v="0"/>
    <x v="0"/>
  </r>
  <r>
    <x v="0"/>
    <s v="島尻郡伊是名村"/>
    <x v="36"/>
    <x v="13"/>
    <n v="1"/>
    <n v="1.64"/>
    <n v="0"/>
    <n v="0"/>
    <n v="0"/>
    <n v="0"/>
    <x v="0"/>
  </r>
  <r>
    <x v="0"/>
    <s v="島尻郡伊是名村"/>
    <x v="36"/>
    <x v="14"/>
    <n v="2"/>
    <n v="3.28"/>
    <n v="0"/>
    <n v="0"/>
    <n v="1"/>
    <n v="5"/>
    <x v="0"/>
  </r>
  <r>
    <x v="0"/>
    <s v="島尻郡久米島町"/>
    <x v="37"/>
    <x v="0"/>
    <n v="0"/>
    <n v="0"/>
    <n v="0"/>
    <n v="0"/>
    <n v="0"/>
    <n v="0"/>
    <x v="0"/>
  </r>
  <r>
    <x v="0"/>
    <s v="島尻郡久米島町"/>
    <x v="37"/>
    <x v="1"/>
    <n v="12"/>
    <n v="3.15"/>
    <n v="6"/>
    <n v="1.93"/>
    <n v="6"/>
    <n v="9.23"/>
    <x v="0"/>
  </r>
  <r>
    <x v="0"/>
    <s v="島尻郡久米島町"/>
    <x v="37"/>
    <x v="2"/>
    <n v="83"/>
    <n v="21.78"/>
    <n v="71"/>
    <n v="22.83"/>
    <n v="12"/>
    <n v="18.46"/>
    <x v="0"/>
  </r>
  <r>
    <x v="0"/>
    <s v="島尻郡久米島町"/>
    <x v="37"/>
    <x v="3"/>
    <n v="0"/>
    <n v="0"/>
    <n v="0"/>
    <n v="0"/>
    <n v="0"/>
    <n v="0"/>
    <x v="0"/>
  </r>
  <r>
    <x v="0"/>
    <s v="島尻郡久米島町"/>
    <x v="37"/>
    <x v="4"/>
    <n v="0"/>
    <n v="0"/>
    <n v="0"/>
    <n v="0"/>
    <n v="0"/>
    <n v="0"/>
    <x v="0"/>
  </r>
  <r>
    <x v="0"/>
    <s v="島尻郡久米島町"/>
    <x v="37"/>
    <x v="5"/>
    <n v="5"/>
    <n v="1.31"/>
    <n v="1"/>
    <n v="0.32"/>
    <n v="4"/>
    <n v="6.15"/>
    <x v="0"/>
  </r>
  <r>
    <x v="0"/>
    <s v="島尻郡久米島町"/>
    <x v="37"/>
    <x v="6"/>
    <n v="80"/>
    <n v="21"/>
    <n v="63"/>
    <n v="20.260000000000002"/>
    <n v="17"/>
    <n v="26.15"/>
    <x v="0"/>
  </r>
  <r>
    <x v="0"/>
    <s v="島尻郡久米島町"/>
    <x v="37"/>
    <x v="7"/>
    <n v="3"/>
    <n v="0.79"/>
    <n v="1"/>
    <n v="0.32"/>
    <n v="2"/>
    <n v="3.08"/>
    <x v="0"/>
  </r>
  <r>
    <x v="0"/>
    <s v="島尻郡久米島町"/>
    <x v="37"/>
    <x v="8"/>
    <n v="41"/>
    <n v="10.76"/>
    <n v="34"/>
    <n v="10.93"/>
    <n v="6"/>
    <n v="9.23"/>
    <x v="0"/>
  </r>
  <r>
    <x v="0"/>
    <s v="島尻郡久米島町"/>
    <x v="37"/>
    <x v="9"/>
    <n v="7"/>
    <n v="1.84"/>
    <n v="4"/>
    <n v="1.29"/>
    <n v="2"/>
    <n v="3.08"/>
    <x v="0"/>
  </r>
  <r>
    <x v="0"/>
    <s v="島尻郡久米島町"/>
    <x v="37"/>
    <x v="10"/>
    <n v="73"/>
    <n v="19.16"/>
    <n v="68"/>
    <n v="21.86"/>
    <n v="4"/>
    <n v="6.15"/>
    <x v="0"/>
  </r>
  <r>
    <x v="0"/>
    <s v="島尻郡久米島町"/>
    <x v="37"/>
    <x v="11"/>
    <n v="44"/>
    <n v="11.55"/>
    <n v="40"/>
    <n v="12.86"/>
    <n v="3"/>
    <n v="4.62"/>
    <x v="0"/>
  </r>
  <r>
    <x v="0"/>
    <s v="島尻郡久米島町"/>
    <x v="37"/>
    <x v="12"/>
    <n v="10"/>
    <n v="2.62"/>
    <n v="9"/>
    <n v="2.89"/>
    <n v="1"/>
    <n v="1.54"/>
    <x v="0"/>
  </r>
  <r>
    <x v="0"/>
    <s v="島尻郡久米島町"/>
    <x v="37"/>
    <x v="13"/>
    <n v="12"/>
    <n v="3.15"/>
    <n v="6"/>
    <n v="1.93"/>
    <n v="6"/>
    <n v="9.23"/>
    <x v="0"/>
  </r>
  <r>
    <x v="0"/>
    <s v="島尻郡久米島町"/>
    <x v="37"/>
    <x v="14"/>
    <n v="11"/>
    <n v="2.89"/>
    <n v="8"/>
    <n v="2.57"/>
    <n v="2"/>
    <n v="3.08"/>
    <x v="0"/>
  </r>
  <r>
    <x v="0"/>
    <s v="島尻郡八重瀬町"/>
    <x v="38"/>
    <x v="0"/>
    <n v="0"/>
    <n v="0"/>
    <n v="0"/>
    <n v="0"/>
    <n v="0"/>
    <n v="0"/>
    <x v="0"/>
  </r>
  <r>
    <x v="0"/>
    <s v="島尻郡八重瀬町"/>
    <x v="38"/>
    <x v="1"/>
    <n v="84"/>
    <n v="16.059999999999999"/>
    <n v="30"/>
    <n v="8.85"/>
    <n v="54"/>
    <n v="30.17"/>
    <x v="0"/>
  </r>
  <r>
    <x v="0"/>
    <s v="島尻郡八重瀬町"/>
    <x v="38"/>
    <x v="2"/>
    <n v="39"/>
    <n v="7.46"/>
    <n v="20"/>
    <n v="5.9"/>
    <n v="18"/>
    <n v="10.06"/>
    <x v="1"/>
  </r>
  <r>
    <x v="0"/>
    <s v="島尻郡八重瀬町"/>
    <x v="38"/>
    <x v="3"/>
    <n v="0"/>
    <n v="0"/>
    <n v="0"/>
    <n v="0"/>
    <n v="0"/>
    <n v="0"/>
    <x v="0"/>
  </r>
  <r>
    <x v="0"/>
    <s v="島尻郡八重瀬町"/>
    <x v="38"/>
    <x v="4"/>
    <n v="2"/>
    <n v="0.38"/>
    <n v="1"/>
    <n v="0.28999999999999998"/>
    <n v="1"/>
    <n v="0.56000000000000005"/>
    <x v="0"/>
  </r>
  <r>
    <x v="0"/>
    <s v="島尻郡八重瀬町"/>
    <x v="38"/>
    <x v="5"/>
    <n v="10"/>
    <n v="1.91"/>
    <n v="10"/>
    <n v="2.95"/>
    <n v="0"/>
    <n v="0"/>
    <x v="0"/>
  </r>
  <r>
    <x v="0"/>
    <s v="島尻郡八重瀬町"/>
    <x v="38"/>
    <x v="6"/>
    <n v="127"/>
    <n v="24.28"/>
    <n v="89"/>
    <n v="26.25"/>
    <n v="38"/>
    <n v="21.23"/>
    <x v="0"/>
  </r>
  <r>
    <x v="0"/>
    <s v="島尻郡八重瀬町"/>
    <x v="38"/>
    <x v="7"/>
    <n v="1"/>
    <n v="0.19"/>
    <n v="0"/>
    <n v="0"/>
    <n v="1"/>
    <n v="0.56000000000000005"/>
    <x v="0"/>
  </r>
  <r>
    <x v="0"/>
    <s v="島尻郡八重瀬町"/>
    <x v="38"/>
    <x v="8"/>
    <n v="46"/>
    <n v="8.8000000000000007"/>
    <n v="24"/>
    <n v="7.08"/>
    <n v="22"/>
    <n v="12.29"/>
    <x v="0"/>
  </r>
  <r>
    <x v="0"/>
    <s v="島尻郡八重瀬町"/>
    <x v="38"/>
    <x v="9"/>
    <n v="22"/>
    <n v="4.21"/>
    <n v="13"/>
    <n v="3.83"/>
    <n v="9"/>
    <n v="5.03"/>
    <x v="0"/>
  </r>
  <r>
    <x v="0"/>
    <s v="島尻郡八重瀬町"/>
    <x v="38"/>
    <x v="10"/>
    <n v="46"/>
    <n v="8.8000000000000007"/>
    <n v="44"/>
    <n v="12.98"/>
    <n v="2"/>
    <n v="1.1200000000000001"/>
    <x v="0"/>
  </r>
  <r>
    <x v="0"/>
    <s v="島尻郡八重瀬町"/>
    <x v="38"/>
    <x v="11"/>
    <n v="71"/>
    <n v="13.58"/>
    <n v="59"/>
    <n v="17.399999999999999"/>
    <n v="11"/>
    <n v="6.15"/>
    <x v="0"/>
  </r>
  <r>
    <x v="0"/>
    <s v="島尻郡八重瀬町"/>
    <x v="38"/>
    <x v="12"/>
    <n v="26"/>
    <n v="4.97"/>
    <n v="23"/>
    <n v="6.78"/>
    <n v="3"/>
    <n v="1.68"/>
    <x v="0"/>
  </r>
  <r>
    <x v="0"/>
    <s v="島尻郡八重瀬町"/>
    <x v="38"/>
    <x v="13"/>
    <n v="25"/>
    <n v="4.78"/>
    <n v="11"/>
    <n v="3.24"/>
    <n v="12"/>
    <n v="6.7"/>
    <x v="0"/>
  </r>
  <r>
    <x v="0"/>
    <s v="島尻郡八重瀬町"/>
    <x v="38"/>
    <x v="14"/>
    <n v="24"/>
    <n v="4.59"/>
    <n v="15"/>
    <n v="4.42"/>
    <n v="8"/>
    <n v="4.47"/>
    <x v="1"/>
  </r>
  <r>
    <x v="0"/>
    <s v="宮古郡多良間村"/>
    <x v="39"/>
    <x v="0"/>
    <n v="0"/>
    <n v="0"/>
    <n v="0"/>
    <n v="0"/>
    <n v="0"/>
    <n v="0"/>
    <x v="0"/>
  </r>
  <r>
    <x v="0"/>
    <s v="宮古郡多良間村"/>
    <x v="39"/>
    <x v="1"/>
    <n v="7"/>
    <n v="12.96"/>
    <n v="1"/>
    <n v="3.13"/>
    <n v="6"/>
    <n v="35.29"/>
    <x v="0"/>
  </r>
  <r>
    <x v="0"/>
    <s v="宮古郡多良間村"/>
    <x v="39"/>
    <x v="2"/>
    <n v="5"/>
    <n v="9.26"/>
    <n v="1"/>
    <n v="3.13"/>
    <n v="4"/>
    <n v="23.53"/>
    <x v="0"/>
  </r>
  <r>
    <x v="0"/>
    <s v="宮古郡多良間村"/>
    <x v="39"/>
    <x v="3"/>
    <n v="2"/>
    <n v="3.7"/>
    <n v="0"/>
    <n v="0"/>
    <n v="1"/>
    <n v="5.88"/>
    <x v="0"/>
  </r>
  <r>
    <x v="0"/>
    <s v="宮古郡多良間村"/>
    <x v="39"/>
    <x v="4"/>
    <n v="0"/>
    <n v="0"/>
    <n v="0"/>
    <n v="0"/>
    <n v="0"/>
    <n v="0"/>
    <x v="0"/>
  </r>
  <r>
    <x v="0"/>
    <s v="宮古郡多良間村"/>
    <x v="39"/>
    <x v="5"/>
    <n v="1"/>
    <n v="1.85"/>
    <n v="1"/>
    <n v="3.13"/>
    <n v="0"/>
    <n v="0"/>
    <x v="0"/>
  </r>
  <r>
    <x v="0"/>
    <s v="宮古郡多良間村"/>
    <x v="39"/>
    <x v="6"/>
    <n v="14"/>
    <n v="25.93"/>
    <n v="10"/>
    <n v="31.25"/>
    <n v="4"/>
    <n v="23.53"/>
    <x v="0"/>
  </r>
  <r>
    <x v="0"/>
    <s v="宮古郡多良間村"/>
    <x v="39"/>
    <x v="7"/>
    <n v="0"/>
    <n v="0"/>
    <n v="0"/>
    <n v="0"/>
    <n v="0"/>
    <n v="0"/>
    <x v="0"/>
  </r>
  <r>
    <x v="0"/>
    <s v="宮古郡多良間村"/>
    <x v="39"/>
    <x v="8"/>
    <n v="1"/>
    <n v="1.85"/>
    <n v="1"/>
    <n v="3.13"/>
    <n v="0"/>
    <n v="0"/>
    <x v="0"/>
  </r>
  <r>
    <x v="0"/>
    <s v="宮古郡多良間村"/>
    <x v="39"/>
    <x v="9"/>
    <n v="1"/>
    <n v="1.85"/>
    <n v="0"/>
    <n v="0"/>
    <n v="1"/>
    <n v="5.88"/>
    <x v="0"/>
  </r>
  <r>
    <x v="0"/>
    <s v="宮古郡多良間村"/>
    <x v="39"/>
    <x v="10"/>
    <n v="11"/>
    <n v="20.37"/>
    <n v="10"/>
    <n v="31.25"/>
    <n v="1"/>
    <n v="5.88"/>
    <x v="0"/>
  </r>
  <r>
    <x v="0"/>
    <s v="宮古郡多良間村"/>
    <x v="39"/>
    <x v="11"/>
    <n v="5"/>
    <n v="9.26"/>
    <n v="5"/>
    <n v="15.63"/>
    <n v="0"/>
    <n v="0"/>
    <x v="0"/>
  </r>
  <r>
    <x v="0"/>
    <s v="宮古郡多良間村"/>
    <x v="39"/>
    <x v="12"/>
    <n v="3"/>
    <n v="5.56"/>
    <n v="0"/>
    <n v="0"/>
    <n v="0"/>
    <n v="0"/>
    <x v="0"/>
  </r>
  <r>
    <x v="0"/>
    <s v="宮古郡多良間村"/>
    <x v="39"/>
    <x v="13"/>
    <n v="2"/>
    <n v="3.7"/>
    <n v="1"/>
    <n v="3.13"/>
    <n v="0"/>
    <n v="0"/>
    <x v="0"/>
  </r>
  <r>
    <x v="0"/>
    <s v="宮古郡多良間村"/>
    <x v="39"/>
    <x v="14"/>
    <n v="2"/>
    <n v="3.7"/>
    <n v="2"/>
    <n v="6.25"/>
    <n v="0"/>
    <n v="0"/>
    <x v="0"/>
  </r>
  <r>
    <x v="0"/>
    <s v="八重山郡竹富町"/>
    <x v="40"/>
    <x v="0"/>
    <n v="0"/>
    <n v="0"/>
    <n v="0"/>
    <n v="0"/>
    <n v="0"/>
    <n v="0"/>
    <x v="0"/>
  </r>
  <r>
    <x v="0"/>
    <s v="八重山郡竹富町"/>
    <x v="40"/>
    <x v="1"/>
    <n v="8"/>
    <n v="2.34"/>
    <n v="1"/>
    <n v="0.38"/>
    <n v="7"/>
    <n v="9.86"/>
    <x v="0"/>
  </r>
  <r>
    <x v="0"/>
    <s v="八重山郡竹富町"/>
    <x v="40"/>
    <x v="2"/>
    <n v="23"/>
    <n v="6.73"/>
    <n v="11"/>
    <n v="4.1500000000000004"/>
    <n v="12"/>
    <n v="16.899999999999999"/>
    <x v="0"/>
  </r>
  <r>
    <x v="0"/>
    <s v="八重山郡竹富町"/>
    <x v="40"/>
    <x v="3"/>
    <n v="1"/>
    <n v="0.28999999999999998"/>
    <n v="0"/>
    <n v="0"/>
    <n v="1"/>
    <n v="1.41"/>
    <x v="0"/>
  </r>
  <r>
    <x v="0"/>
    <s v="八重山郡竹富町"/>
    <x v="40"/>
    <x v="4"/>
    <n v="0"/>
    <n v="0"/>
    <n v="0"/>
    <n v="0"/>
    <n v="0"/>
    <n v="0"/>
    <x v="0"/>
  </r>
  <r>
    <x v="0"/>
    <s v="八重山郡竹富町"/>
    <x v="40"/>
    <x v="5"/>
    <n v="21"/>
    <n v="6.14"/>
    <n v="12"/>
    <n v="4.53"/>
    <n v="8"/>
    <n v="11.27"/>
    <x v="0"/>
  </r>
  <r>
    <x v="0"/>
    <s v="八重山郡竹富町"/>
    <x v="40"/>
    <x v="6"/>
    <n v="46"/>
    <n v="13.45"/>
    <n v="34"/>
    <n v="12.83"/>
    <n v="11"/>
    <n v="15.49"/>
    <x v="1"/>
  </r>
  <r>
    <x v="0"/>
    <s v="八重山郡竹富町"/>
    <x v="40"/>
    <x v="7"/>
    <n v="0"/>
    <n v="0"/>
    <n v="0"/>
    <n v="0"/>
    <n v="0"/>
    <n v="0"/>
    <x v="0"/>
  </r>
  <r>
    <x v="0"/>
    <s v="八重山郡竹富町"/>
    <x v="40"/>
    <x v="8"/>
    <n v="19"/>
    <n v="5.56"/>
    <n v="12"/>
    <n v="4.53"/>
    <n v="7"/>
    <n v="9.86"/>
    <x v="0"/>
  </r>
  <r>
    <x v="0"/>
    <s v="八重山郡竹富町"/>
    <x v="40"/>
    <x v="9"/>
    <n v="6"/>
    <n v="1.75"/>
    <n v="1"/>
    <n v="0.38"/>
    <n v="5"/>
    <n v="7.04"/>
    <x v="0"/>
  </r>
  <r>
    <x v="0"/>
    <s v="八重山郡竹富町"/>
    <x v="40"/>
    <x v="10"/>
    <n v="140"/>
    <n v="40.94"/>
    <n v="133"/>
    <n v="50.19"/>
    <n v="6"/>
    <n v="8.4499999999999993"/>
    <x v="0"/>
  </r>
  <r>
    <x v="0"/>
    <s v="八重山郡竹富町"/>
    <x v="40"/>
    <x v="11"/>
    <n v="68"/>
    <n v="19.88"/>
    <n v="56"/>
    <n v="21.13"/>
    <n v="12"/>
    <n v="16.899999999999999"/>
    <x v="0"/>
  </r>
  <r>
    <x v="0"/>
    <s v="八重山郡竹富町"/>
    <x v="40"/>
    <x v="12"/>
    <n v="3"/>
    <n v="0.88"/>
    <n v="2"/>
    <n v="0.75"/>
    <n v="0"/>
    <n v="0"/>
    <x v="1"/>
  </r>
  <r>
    <x v="0"/>
    <s v="八重山郡竹富町"/>
    <x v="40"/>
    <x v="13"/>
    <n v="4"/>
    <n v="1.17"/>
    <n v="1"/>
    <n v="0.38"/>
    <n v="1"/>
    <n v="1.41"/>
    <x v="0"/>
  </r>
  <r>
    <x v="0"/>
    <s v="八重山郡竹富町"/>
    <x v="40"/>
    <x v="14"/>
    <n v="3"/>
    <n v="0.88"/>
    <n v="2"/>
    <n v="0.75"/>
    <n v="1"/>
    <n v="1.41"/>
    <x v="0"/>
  </r>
  <r>
    <x v="0"/>
    <s v="八重山郡与那国町"/>
    <x v="41"/>
    <x v="0"/>
    <n v="0"/>
    <n v="0"/>
    <n v="0"/>
    <n v="0"/>
    <n v="0"/>
    <n v="0"/>
    <x v="0"/>
  </r>
  <r>
    <x v="0"/>
    <s v="八重山郡与那国町"/>
    <x v="41"/>
    <x v="1"/>
    <n v="5"/>
    <n v="3.6"/>
    <n v="2"/>
    <n v="1.9"/>
    <n v="3"/>
    <n v="10.71"/>
    <x v="0"/>
  </r>
  <r>
    <x v="0"/>
    <s v="八重山郡与那国町"/>
    <x v="41"/>
    <x v="2"/>
    <n v="53"/>
    <n v="38.130000000000003"/>
    <n v="43"/>
    <n v="40.950000000000003"/>
    <n v="10"/>
    <n v="35.71"/>
    <x v="0"/>
  </r>
  <r>
    <x v="0"/>
    <s v="八重山郡与那国町"/>
    <x v="41"/>
    <x v="3"/>
    <n v="2"/>
    <n v="1.44"/>
    <n v="0"/>
    <n v="0"/>
    <n v="1"/>
    <n v="3.57"/>
    <x v="0"/>
  </r>
  <r>
    <x v="0"/>
    <s v="八重山郡与那国町"/>
    <x v="41"/>
    <x v="4"/>
    <n v="0"/>
    <n v="0"/>
    <n v="0"/>
    <n v="0"/>
    <n v="0"/>
    <n v="0"/>
    <x v="0"/>
  </r>
  <r>
    <x v="0"/>
    <s v="八重山郡与那国町"/>
    <x v="41"/>
    <x v="5"/>
    <n v="2"/>
    <n v="1.44"/>
    <n v="1"/>
    <n v="0.95"/>
    <n v="0"/>
    <n v="0"/>
    <x v="1"/>
  </r>
  <r>
    <x v="0"/>
    <s v="八重山郡与那国町"/>
    <x v="41"/>
    <x v="6"/>
    <n v="18"/>
    <n v="12.95"/>
    <n v="14"/>
    <n v="13.33"/>
    <n v="4"/>
    <n v="14.29"/>
    <x v="0"/>
  </r>
  <r>
    <x v="0"/>
    <s v="八重山郡与那国町"/>
    <x v="41"/>
    <x v="7"/>
    <n v="0"/>
    <n v="0"/>
    <n v="0"/>
    <n v="0"/>
    <n v="0"/>
    <n v="0"/>
    <x v="0"/>
  </r>
  <r>
    <x v="0"/>
    <s v="八重山郡与那国町"/>
    <x v="41"/>
    <x v="8"/>
    <n v="4"/>
    <n v="2.88"/>
    <n v="4"/>
    <n v="3.81"/>
    <n v="0"/>
    <n v="0"/>
    <x v="0"/>
  </r>
  <r>
    <x v="0"/>
    <s v="八重山郡与那国町"/>
    <x v="41"/>
    <x v="9"/>
    <n v="1"/>
    <n v="0.72"/>
    <n v="1"/>
    <n v="0.95"/>
    <n v="0"/>
    <n v="0"/>
    <x v="0"/>
  </r>
  <r>
    <x v="0"/>
    <s v="八重山郡与那国町"/>
    <x v="41"/>
    <x v="10"/>
    <n v="35"/>
    <n v="25.18"/>
    <n v="29"/>
    <n v="27.62"/>
    <n v="6"/>
    <n v="21.43"/>
    <x v="0"/>
  </r>
  <r>
    <x v="0"/>
    <s v="八重山郡与那国町"/>
    <x v="41"/>
    <x v="11"/>
    <n v="8"/>
    <n v="5.76"/>
    <n v="5"/>
    <n v="4.76"/>
    <n v="1"/>
    <n v="3.57"/>
    <x v="3"/>
  </r>
  <r>
    <x v="0"/>
    <s v="八重山郡与那国町"/>
    <x v="41"/>
    <x v="12"/>
    <n v="5"/>
    <n v="3.6"/>
    <n v="3"/>
    <n v="2.86"/>
    <n v="1"/>
    <n v="3.57"/>
    <x v="0"/>
  </r>
  <r>
    <x v="0"/>
    <s v="八重山郡与那国町"/>
    <x v="41"/>
    <x v="13"/>
    <n v="4"/>
    <n v="2.88"/>
    <n v="2"/>
    <n v="1.9"/>
    <n v="1"/>
    <n v="3.57"/>
    <x v="0"/>
  </r>
  <r>
    <x v="0"/>
    <s v="八重山郡与那国町"/>
    <x v="41"/>
    <x v="14"/>
    <n v="2"/>
    <n v="1.44"/>
    <n v="1"/>
    <n v="0.95"/>
    <n v="1"/>
    <n v="3.57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0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3"/>
  </r>
  <r>
    <x v="0"/>
    <x v="0"/>
    <x v="0"/>
    <x v="4"/>
    <x v="4"/>
    <x v="4"/>
    <x v="4"/>
    <x v="4"/>
    <x v="4"/>
    <x v="4"/>
    <x v="4"/>
    <x v="4"/>
    <x v="4"/>
    <x v="4"/>
  </r>
  <r>
    <x v="0"/>
    <x v="0"/>
    <x v="0"/>
    <x v="5"/>
    <x v="5"/>
    <x v="5"/>
    <x v="5"/>
    <x v="5"/>
    <x v="5"/>
    <x v="5"/>
    <x v="5"/>
    <x v="5"/>
    <x v="5"/>
    <x v="5"/>
  </r>
  <r>
    <x v="0"/>
    <x v="0"/>
    <x v="0"/>
    <x v="6"/>
    <x v="6"/>
    <x v="6"/>
    <x v="6"/>
    <x v="6"/>
    <x v="6"/>
    <x v="6"/>
    <x v="6"/>
    <x v="6"/>
    <x v="6"/>
    <x v="2"/>
  </r>
  <r>
    <x v="0"/>
    <x v="0"/>
    <x v="0"/>
    <x v="7"/>
    <x v="7"/>
    <x v="7"/>
    <x v="7"/>
    <x v="7"/>
    <x v="7"/>
    <x v="7"/>
    <x v="7"/>
    <x v="7"/>
    <x v="7"/>
    <x v="2"/>
  </r>
  <r>
    <x v="0"/>
    <x v="0"/>
    <x v="0"/>
    <x v="8"/>
    <x v="8"/>
    <x v="8"/>
    <x v="8"/>
    <x v="8"/>
    <x v="8"/>
    <x v="8"/>
    <x v="8"/>
    <x v="8"/>
    <x v="8"/>
    <x v="6"/>
  </r>
  <r>
    <x v="0"/>
    <x v="0"/>
    <x v="0"/>
    <x v="9"/>
    <x v="9"/>
    <x v="9"/>
    <x v="9"/>
    <x v="9"/>
    <x v="9"/>
    <x v="9"/>
    <x v="9"/>
    <x v="9"/>
    <x v="9"/>
    <x v="6"/>
  </r>
  <r>
    <x v="0"/>
    <x v="0"/>
    <x v="0"/>
    <x v="10"/>
    <x v="10"/>
    <x v="10"/>
    <x v="10"/>
    <x v="10"/>
    <x v="9"/>
    <x v="10"/>
    <x v="10"/>
    <x v="10"/>
    <x v="10"/>
    <x v="2"/>
  </r>
  <r>
    <x v="0"/>
    <x v="0"/>
    <x v="0"/>
    <x v="11"/>
    <x v="11"/>
    <x v="11"/>
    <x v="11"/>
    <x v="11"/>
    <x v="10"/>
    <x v="11"/>
    <x v="11"/>
    <x v="11"/>
    <x v="11"/>
    <x v="7"/>
  </r>
  <r>
    <x v="0"/>
    <x v="0"/>
    <x v="0"/>
    <x v="12"/>
    <x v="12"/>
    <x v="12"/>
    <x v="12"/>
    <x v="12"/>
    <x v="11"/>
    <x v="12"/>
    <x v="12"/>
    <x v="12"/>
    <x v="12"/>
    <x v="6"/>
  </r>
  <r>
    <x v="0"/>
    <x v="0"/>
    <x v="0"/>
    <x v="13"/>
    <x v="13"/>
    <x v="13"/>
    <x v="13"/>
    <x v="13"/>
    <x v="12"/>
    <x v="13"/>
    <x v="13"/>
    <x v="13"/>
    <x v="13"/>
    <x v="2"/>
  </r>
  <r>
    <x v="0"/>
    <x v="0"/>
    <x v="0"/>
    <x v="14"/>
    <x v="14"/>
    <x v="14"/>
    <x v="14"/>
    <x v="14"/>
    <x v="13"/>
    <x v="14"/>
    <x v="14"/>
    <x v="14"/>
    <x v="14"/>
    <x v="6"/>
  </r>
  <r>
    <x v="0"/>
    <x v="0"/>
    <x v="0"/>
    <x v="15"/>
    <x v="15"/>
    <x v="15"/>
    <x v="15"/>
    <x v="15"/>
    <x v="14"/>
    <x v="15"/>
    <x v="15"/>
    <x v="15"/>
    <x v="15"/>
    <x v="6"/>
  </r>
  <r>
    <x v="0"/>
    <x v="0"/>
    <x v="0"/>
    <x v="16"/>
    <x v="16"/>
    <x v="16"/>
    <x v="16"/>
    <x v="16"/>
    <x v="15"/>
    <x v="16"/>
    <x v="16"/>
    <x v="16"/>
    <x v="16"/>
    <x v="8"/>
  </r>
  <r>
    <x v="0"/>
    <x v="0"/>
    <x v="0"/>
    <x v="17"/>
    <x v="17"/>
    <x v="17"/>
    <x v="17"/>
    <x v="17"/>
    <x v="16"/>
    <x v="17"/>
    <x v="17"/>
    <x v="17"/>
    <x v="17"/>
    <x v="2"/>
  </r>
  <r>
    <x v="0"/>
    <x v="0"/>
    <x v="0"/>
    <x v="18"/>
    <x v="18"/>
    <x v="18"/>
    <x v="18"/>
    <x v="18"/>
    <x v="17"/>
    <x v="18"/>
    <x v="18"/>
    <x v="18"/>
    <x v="18"/>
    <x v="9"/>
  </r>
  <r>
    <x v="0"/>
    <x v="0"/>
    <x v="0"/>
    <x v="19"/>
    <x v="19"/>
    <x v="19"/>
    <x v="19"/>
    <x v="19"/>
    <x v="18"/>
    <x v="19"/>
    <x v="19"/>
    <x v="19"/>
    <x v="19"/>
    <x v="0"/>
  </r>
  <r>
    <x v="0"/>
    <x v="1"/>
    <x v="1"/>
    <x v="0"/>
    <x v="0"/>
    <x v="0"/>
    <x v="0"/>
    <x v="20"/>
    <x v="19"/>
    <x v="20"/>
    <x v="20"/>
    <x v="20"/>
    <x v="20"/>
    <x v="6"/>
  </r>
  <r>
    <x v="0"/>
    <x v="1"/>
    <x v="1"/>
    <x v="1"/>
    <x v="1"/>
    <x v="1"/>
    <x v="1"/>
    <x v="21"/>
    <x v="20"/>
    <x v="21"/>
    <x v="21"/>
    <x v="21"/>
    <x v="21"/>
    <x v="3"/>
  </r>
  <r>
    <x v="0"/>
    <x v="1"/>
    <x v="1"/>
    <x v="2"/>
    <x v="2"/>
    <x v="2"/>
    <x v="2"/>
    <x v="22"/>
    <x v="21"/>
    <x v="22"/>
    <x v="22"/>
    <x v="22"/>
    <x v="22"/>
    <x v="2"/>
  </r>
  <r>
    <x v="0"/>
    <x v="1"/>
    <x v="1"/>
    <x v="3"/>
    <x v="3"/>
    <x v="3"/>
    <x v="3"/>
    <x v="23"/>
    <x v="22"/>
    <x v="23"/>
    <x v="23"/>
    <x v="23"/>
    <x v="23"/>
    <x v="2"/>
  </r>
  <r>
    <x v="0"/>
    <x v="1"/>
    <x v="1"/>
    <x v="5"/>
    <x v="5"/>
    <x v="5"/>
    <x v="4"/>
    <x v="24"/>
    <x v="23"/>
    <x v="24"/>
    <x v="24"/>
    <x v="24"/>
    <x v="24"/>
    <x v="3"/>
  </r>
  <r>
    <x v="0"/>
    <x v="1"/>
    <x v="1"/>
    <x v="4"/>
    <x v="4"/>
    <x v="4"/>
    <x v="5"/>
    <x v="25"/>
    <x v="24"/>
    <x v="25"/>
    <x v="25"/>
    <x v="25"/>
    <x v="25"/>
    <x v="2"/>
  </r>
  <r>
    <x v="0"/>
    <x v="1"/>
    <x v="1"/>
    <x v="7"/>
    <x v="7"/>
    <x v="7"/>
    <x v="6"/>
    <x v="26"/>
    <x v="25"/>
    <x v="26"/>
    <x v="26"/>
    <x v="26"/>
    <x v="26"/>
    <x v="2"/>
  </r>
  <r>
    <x v="0"/>
    <x v="1"/>
    <x v="1"/>
    <x v="11"/>
    <x v="11"/>
    <x v="11"/>
    <x v="7"/>
    <x v="27"/>
    <x v="26"/>
    <x v="27"/>
    <x v="27"/>
    <x v="27"/>
    <x v="27"/>
    <x v="6"/>
  </r>
  <r>
    <x v="0"/>
    <x v="1"/>
    <x v="1"/>
    <x v="6"/>
    <x v="6"/>
    <x v="6"/>
    <x v="8"/>
    <x v="28"/>
    <x v="27"/>
    <x v="28"/>
    <x v="28"/>
    <x v="28"/>
    <x v="28"/>
    <x v="2"/>
  </r>
  <r>
    <x v="0"/>
    <x v="1"/>
    <x v="1"/>
    <x v="12"/>
    <x v="12"/>
    <x v="12"/>
    <x v="9"/>
    <x v="29"/>
    <x v="28"/>
    <x v="29"/>
    <x v="29"/>
    <x v="29"/>
    <x v="29"/>
    <x v="2"/>
  </r>
  <r>
    <x v="0"/>
    <x v="1"/>
    <x v="1"/>
    <x v="13"/>
    <x v="13"/>
    <x v="13"/>
    <x v="10"/>
    <x v="30"/>
    <x v="29"/>
    <x v="30"/>
    <x v="30"/>
    <x v="30"/>
    <x v="30"/>
    <x v="2"/>
  </r>
  <r>
    <x v="0"/>
    <x v="1"/>
    <x v="1"/>
    <x v="17"/>
    <x v="17"/>
    <x v="17"/>
    <x v="11"/>
    <x v="31"/>
    <x v="30"/>
    <x v="31"/>
    <x v="31"/>
    <x v="31"/>
    <x v="31"/>
    <x v="2"/>
  </r>
  <r>
    <x v="0"/>
    <x v="1"/>
    <x v="1"/>
    <x v="9"/>
    <x v="9"/>
    <x v="9"/>
    <x v="12"/>
    <x v="32"/>
    <x v="31"/>
    <x v="32"/>
    <x v="32"/>
    <x v="32"/>
    <x v="32"/>
    <x v="2"/>
  </r>
  <r>
    <x v="0"/>
    <x v="1"/>
    <x v="1"/>
    <x v="10"/>
    <x v="10"/>
    <x v="10"/>
    <x v="13"/>
    <x v="33"/>
    <x v="32"/>
    <x v="33"/>
    <x v="33"/>
    <x v="33"/>
    <x v="33"/>
    <x v="2"/>
  </r>
  <r>
    <x v="0"/>
    <x v="1"/>
    <x v="1"/>
    <x v="8"/>
    <x v="8"/>
    <x v="8"/>
    <x v="14"/>
    <x v="34"/>
    <x v="17"/>
    <x v="34"/>
    <x v="34"/>
    <x v="34"/>
    <x v="34"/>
    <x v="2"/>
  </r>
  <r>
    <x v="0"/>
    <x v="1"/>
    <x v="1"/>
    <x v="16"/>
    <x v="16"/>
    <x v="16"/>
    <x v="15"/>
    <x v="35"/>
    <x v="33"/>
    <x v="35"/>
    <x v="35"/>
    <x v="35"/>
    <x v="35"/>
    <x v="10"/>
  </r>
  <r>
    <x v="0"/>
    <x v="1"/>
    <x v="1"/>
    <x v="20"/>
    <x v="20"/>
    <x v="20"/>
    <x v="16"/>
    <x v="36"/>
    <x v="34"/>
    <x v="36"/>
    <x v="36"/>
    <x v="36"/>
    <x v="36"/>
    <x v="2"/>
  </r>
  <r>
    <x v="0"/>
    <x v="1"/>
    <x v="1"/>
    <x v="19"/>
    <x v="19"/>
    <x v="19"/>
    <x v="17"/>
    <x v="37"/>
    <x v="35"/>
    <x v="37"/>
    <x v="37"/>
    <x v="37"/>
    <x v="19"/>
    <x v="6"/>
  </r>
  <r>
    <x v="0"/>
    <x v="1"/>
    <x v="1"/>
    <x v="21"/>
    <x v="21"/>
    <x v="21"/>
    <x v="18"/>
    <x v="38"/>
    <x v="36"/>
    <x v="35"/>
    <x v="35"/>
    <x v="38"/>
    <x v="37"/>
    <x v="11"/>
  </r>
  <r>
    <x v="0"/>
    <x v="1"/>
    <x v="1"/>
    <x v="22"/>
    <x v="22"/>
    <x v="22"/>
    <x v="19"/>
    <x v="39"/>
    <x v="37"/>
    <x v="38"/>
    <x v="38"/>
    <x v="39"/>
    <x v="38"/>
    <x v="6"/>
  </r>
  <r>
    <x v="0"/>
    <x v="2"/>
    <x v="2"/>
    <x v="0"/>
    <x v="0"/>
    <x v="0"/>
    <x v="0"/>
    <x v="40"/>
    <x v="38"/>
    <x v="39"/>
    <x v="39"/>
    <x v="40"/>
    <x v="39"/>
    <x v="2"/>
  </r>
  <r>
    <x v="0"/>
    <x v="2"/>
    <x v="2"/>
    <x v="2"/>
    <x v="2"/>
    <x v="2"/>
    <x v="1"/>
    <x v="41"/>
    <x v="39"/>
    <x v="40"/>
    <x v="40"/>
    <x v="41"/>
    <x v="40"/>
    <x v="2"/>
  </r>
  <r>
    <x v="0"/>
    <x v="2"/>
    <x v="2"/>
    <x v="1"/>
    <x v="1"/>
    <x v="1"/>
    <x v="2"/>
    <x v="42"/>
    <x v="40"/>
    <x v="41"/>
    <x v="41"/>
    <x v="42"/>
    <x v="41"/>
    <x v="6"/>
  </r>
  <r>
    <x v="0"/>
    <x v="2"/>
    <x v="2"/>
    <x v="3"/>
    <x v="3"/>
    <x v="3"/>
    <x v="3"/>
    <x v="43"/>
    <x v="41"/>
    <x v="42"/>
    <x v="42"/>
    <x v="43"/>
    <x v="42"/>
    <x v="2"/>
  </r>
  <r>
    <x v="0"/>
    <x v="2"/>
    <x v="2"/>
    <x v="5"/>
    <x v="5"/>
    <x v="5"/>
    <x v="4"/>
    <x v="37"/>
    <x v="42"/>
    <x v="34"/>
    <x v="43"/>
    <x v="44"/>
    <x v="43"/>
    <x v="0"/>
  </r>
  <r>
    <x v="0"/>
    <x v="2"/>
    <x v="2"/>
    <x v="8"/>
    <x v="8"/>
    <x v="8"/>
    <x v="5"/>
    <x v="44"/>
    <x v="43"/>
    <x v="43"/>
    <x v="44"/>
    <x v="45"/>
    <x v="44"/>
    <x v="2"/>
  </r>
  <r>
    <x v="0"/>
    <x v="2"/>
    <x v="2"/>
    <x v="4"/>
    <x v="4"/>
    <x v="4"/>
    <x v="6"/>
    <x v="45"/>
    <x v="44"/>
    <x v="33"/>
    <x v="45"/>
    <x v="46"/>
    <x v="45"/>
    <x v="2"/>
  </r>
  <r>
    <x v="0"/>
    <x v="2"/>
    <x v="2"/>
    <x v="6"/>
    <x v="6"/>
    <x v="6"/>
    <x v="7"/>
    <x v="46"/>
    <x v="45"/>
    <x v="44"/>
    <x v="46"/>
    <x v="47"/>
    <x v="46"/>
    <x v="2"/>
  </r>
  <r>
    <x v="0"/>
    <x v="2"/>
    <x v="2"/>
    <x v="9"/>
    <x v="9"/>
    <x v="9"/>
    <x v="8"/>
    <x v="47"/>
    <x v="46"/>
    <x v="45"/>
    <x v="47"/>
    <x v="48"/>
    <x v="47"/>
    <x v="2"/>
  </r>
  <r>
    <x v="0"/>
    <x v="2"/>
    <x v="2"/>
    <x v="7"/>
    <x v="7"/>
    <x v="7"/>
    <x v="9"/>
    <x v="48"/>
    <x v="47"/>
    <x v="46"/>
    <x v="48"/>
    <x v="49"/>
    <x v="48"/>
    <x v="2"/>
  </r>
  <r>
    <x v="0"/>
    <x v="2"/>
    <x v="2"/>
    <x v="10"/>
    <x v="10"/>
    <x v="10"/>
    <x v="10"/>
    <x v="49"/>
    <x v="48"/>
    <x v="47"/>
    <x v="49"/>
    <x v="50"/>
    <x v="49"/>
    <x v="2"/>
  </r>
  <r>
    <x v="0"/>
    <x v="2"/>
    <x v="2"/>
    <x v="11"/>
    <x v="11"/>
    <x v="11"/>
    <x v="10"/>
    <x v="49"/>
    <x v="48"/>
    <x v="48"/>
    <x v="50"/>
    <x v="51"/>
    <x v="50"/>
    <x v="6"/>
  </r>
  <r>
    <x v="0"/>
    <x v="2"/>
    <x v="2"/>
    <x v="12"/>
    <x v="12"/>
    <x v="12"/>
    <x v="12"/>
    <x v="50"/>
    <x v="49"/>
    <x v="28"/>
    <x v="51"/>
    <x v="52"/>
    <x v="51"/>
    <x v="2"/>
  </r>
  <r>
    <x v="0"/>
    <x v="2"/>
    <x v="2"/>
    <x v="15"/>
    <x v="15"/>
    <x v="15"/>
    <x v="13"/>
    <x v="51"/>
    <x v="50"/>
    <x v="49"/>
    <x v="52"/>
    <x v="53"/>
    <x v="52"/>
    <x v="2"/>
  </r>
  <r>
    <x v="0"/>
    <x v="2"/>
    <x v="2"/>
    <x v="13"/>
    <x v="13"/>
    <x v="13"/>
    <x v="14"/>
    <x v="52"/>
    <x v="51"/>
    <x v="32"/>
    <x v="53"/>
    <x v="54"/>
    <x v="53"/>
    <x v="2"/>
  </r>
  <r>
    <x v="0"/>
    <x v="2"/>
    <x v="2"/>
    <x v="16"/>
    <x v="16"/>
    <x v="16"/>
    <x v="15"/>
    <x v="53"/>
    <x v="52"/>
    <x v="44"/>
    <x v="46"/>
    <x v="55"/>
    <x v="54"/>
    <x v="2"/>
  </r>
  <r>
    <x v="0"/>
    <x v="2"/>
    <x v="2"/>
    <x v="17"/>
    <x v="17"/>
    <x v="17"/>
    <x v="16"/>
    <x v="54"/>
    <x v="53"/>
    <x v="45"/>
    <x v="47"/>
    <x v="56"/>
    <x v="55"/>
    <x v="2"/>
  </r>
  <r>
    <x v="0"/>
    <x v="2"/>
    <x v="2"/>
    <x v="18"/>
    <x v="18"/>
    <x v="18"/>
    <x v="17"/>
    <x v="55"/>
    <x v="54"/>
    <x v="50"/>
    <x v="18"/>
    <x v="57"/>
    <x v="56"/>
    <x v="2"/>
  </r>
  <r>
    <x v="0"/>
    <x v="2"/>
    <x v="2"/>
    <x v="22"/>
    <x v="22"/>
    <x v="22"/>
    <x v="18"/>
    <x v="56"/>
    <x v="55"/>
    <x v="36"/>
    <x v="54"/>
    <x v="40"/>
    <x v="39"/>
    <x v="2"/>
  </r>
  <r>
    <x v="0"/>
    <x v="2"/>
    <x v="2"/>
    <x v="19"/>
    <x v="19"/>
    <x v="19"/>
    <x v="18"/>
    <x v="56"/>
    <x v="55"/>
    <x v="51"/>
    <x v="55"/>
    <x v="58"/>
    <x v="57"/>
    <x v="2"/>
  </r>
  <r>
    <x v="0"/>
    <x v="3"/>
    <x v="3"/>
    <x v="0"/>
    <x v="0"/>
    <x v="0"/>
    <x v="0"/>
    <x v="57"/>
    <x v="56"/>
    <x v="52"/>
    <x v="56"/>
    <x v="59"/>
    <x v="58"/>
    <x v="2"/>
  </r>
  <r>
    <x v="0"/>
    <x v="3"/>
    <x v="3"/>
    <x v="2"/>
    <x v="2"/>
    <x v="2"/>
    <x v="1"/>
    <x v="58"/>
    <x v="57"/>
    <x v="53"/>
    <x v="57"/>
    <x v="57"/>
    <x v="59"/>
    <x v="2"/>
  </r>
  <r>
    <x v="0"/>
    <x v="3"/>
    <x v="3"/>
    <x v="4"/>
    <x v="4"/>
    <x v="4"/>
    <x v="2"/>
    <x v="59"/>
    <x v="58"/>
    <x v="54"/>
    <x v="58"/>
    <x v="40"/>
    <x v="60"/>
    <x v="2"/>
  </r>
  <r>
    <x v="0"/>
    <x v="3"/>
    <x v="3"/>
    <x v="3"/>
    <x v="3"/>
    <x v="3"/>
    <x v="3"/>
    <x v="60"/>
    <x v="59"/>
    <x v="55"/>
    <x v="59"/>
    <x v="60"/>
    <x v="61"/>
    <x v="2"/>
  </r>
  <r>
    <x v="0"/>
    <x v="3"/>
    <x v="3"/>
    <x v="1"/>
    <x v="1"/>
    <x v="1"/>
    <x v="4"/>
    <x v="61"/>
    <x v="60"/>
    <x v="56"/>
    <x v="60"/>
    <x v="61"/>
    <x v="62"/>
    <x v="2"/>
  </r>
  <r>
    <x v="0"/>
    <x v="3"/>
    <x v="3"/>
    <x v="14"/>
    <x v="14"/>
    <x v="14"/>
    <x v="5"/>
    <x v="62"/>
    <x v="61"/>
    <x v="57"/>
    <x v="61"/>
    <x v="62"/>
    <x v="63"/>
    <x v="2"/>
  </r>
  <r>
    <x v="0"/>
    <x v="3"/>
    <x v="3"/>
    <x v="6"/>
    <x v="6"/>
    <x v="6"/>
    <x v="6"/>
    <x v="63"/>
    <x v="62"/>
    <x v="35"/>
    <x v="62"/>
    <x v="63"/>
    <x v="64"/>
    <x v="2"/>
  </r>
  <r>
    <x v="0"/>
    <x v="3"/>
    <x v="3"/>
    <x v="18"/>
    <x v="18"/>
    <x v="18"/>
    <x v="6"/>
    <x v="63"/>
    <x v="62"/>
    <x v="58"/>
    <x v="63"/>
    <x v="64"/>
    <x v="65"/>
    <x v="6"/>
  </r>
  <r>
    <x v="0"/>
    <x v="3"/>
    <x v="3"/>
    <x v="7"/>
    <x v="7"/>
    <x v="7"/>
    <x v="8"/>
    <x v="64"/>
    <x v="63"/>
    <x v="33"/>
    <x v="64"/>
    <x v="65"/>
    <x v="36"/>
    <x v="2"/>
  </r>
  <r>
    <x v="0"/>
    <x v="3"/>
    <x v="3"/>
    <x v="5"/>
    <x v="5"/>
    <x v="5"/>
    <x v="9"/>
    <x v="65"/>
    <x v="64"/>
    <x v="59"/>
    <x v="65"/>
    <x v="57"/>
    <x v="59"/>
    <x v="2"/>
  </r>
  <r>
    <x v="0"/>
    <x v="3"/>
    <x v="3"/>
    <x v="23"/>
    <x v="23"/>
    <x v="23"/>
    <x v="10"/>
    <x v="66"/>
    <x v="65"/>
    <x v="60"/>
    <x v="66"/>
    <x v="46"/>
    <x v="66"/>
    <x v="2"/>
  </r>
  <r>
    <x v="0"/>
    <x v="3"/>
    <x v="3"/>
    <x v="12"/>
    <x v="12"/>
    <x v="12"/>
    <x v="11"/>
    <x v="67"/>
    <x v="66"/>
    <x v="61"/>
    <x v="67"/>
    <x v="65"/>
    <x v="36"/>
    <x v="2"/>
  </r>
  <r>
    <x v="0"/>
    <x v="3"/>
    <x v="3"/>
    <x v="8"/>
    <x v="8"/>
    <x v="8"/>
    <x v="12"/>
    <x v="68"/>
    <x v="30"/>
    <x v="62"/>
    <x v="68"/>
    <x v="44"/>
    <x v="67"/>
    <x v="2"/>
  </r>
  <r>
    <x v="0"/>
    <x v="3"/>
    <x v="3"/>
    <x v="10"/>
    <x v="10"/>
    <x v="10"/>
    <x v="13"/>
    <x v="69"/>
    <x v="67"/>
    <x v="63"/>
    <x v="69"/>
    <x v="66"/>
    <x v="68"/>
    <x v="2"/>
  </r>
  <r>
    <x v="0"/>
    <x v="3"/>
    <x v="3"/>
    <x v="13"/>
    <x v="13"/>
    <x v="13"/>
    <x v="13"/>
    <x v="69"/>
    <x v="67"/>
    <x v="61"/>
    <x v="67"/>
    <x v="67"/>
    <x v="69"/>
    <x v="2"/>
  </r>
  <r>
    <x v="0"/>
    <x v="3"/>
    <x v="3"/>
    <x v="9"/>
    <x v="9"/>
    <x v="9"/>
    <x v="15"/>
    <x v="70"/>
    <x v="68"/>
    <x v="64"/>
    <x v="70"/>
    <x v="65"/>
    <x v="36"/>
    <x v="2"/>
  </r>
  <r>
    <x v="0"/>
    <x v="3"/>
    <x v="3"/>
    <x v="15"/>
    <x v="15"/>
    <x v="15"/>
    <x v="16"/>
    <x v="55"/>
    <x v="69"/>
    <x v="61"/>
    <x v="67"/>
    <x v="68"/>
    <x v="70"/>
    <x v="6"/>
  </r>
  <r>
    <x v="0"/>
    <x v="3"/>
    <x v="3"/>
    <x v="19"/>
    <x v="19"/>
    <x v="19"/>
    <x v="17"/>
    <x v="71"/>
    <x v="70"/>
    <x v="65"/>
    <x v="71"/>
    <x v="44"/>
    <x v="67"/>
    <x v="2"/>
  </r>
  <r>
    <x v="0"/>
    <x v="3"/>
    <x v="3"/>
    <x v="16"/>
    <x v="16"/>
    <x v="16"/>
    <x v="18"/>
    <x v="72"/>
    <x v="34"/>
    <x v="66"/>
    <x v="72"/>
    <x v="62"/>
    <x v="63"/>
    <x v="2"/>
  </r>
  <r>
    <x v="0"/>
    <x v="3"/>
    <x v="3"/>
    <x v="11"/>
    <x v="11"/>
    <x v="11"/>
    <x v="19"/>
    <x v="73"/>
    <x v="71"/>
    <x v="65"/>
    <x v="71"/>
    <x v="67"/>
    <x v="69"/>
    <x v="2"/>
  </r>
  <r>
    <x v="0"/>
    <x v="4"/>
    <x v="4"/>
    <x v="1"/>
    <x v="1"/>
    <x v="1"/>
    <x v="0"/>
    <x v="74"/>
    <x v="72"/>
    <x v="67"/>
    <x v="73"/>
    <x v="69"/>
    <x v="71"/>
    <x v="6"/>
  </r>
  <r>
    <x v="0"/>
    <x v="4"/>
    <x v="4"/>
    <x v="0"/>
    <x v="0"/>
    <x v="0"/>
    <x v="1"/>
    <x v="75"/>
    <x v="73"/>
    <x v="68"/>
    <x v="74"/>
    <x v="50"/>
    <x v="72"/>
    <x v="2"/>
  </r>
  <r>
    <x v="0"/>
    <x v="4"/>
    <x v="4"/>
    <x v="2"/>
    <x v="2"/>
    <x v="2"/>
    <x v="2"/>
    <x v="76"/>
    <x v="57"/>
    <x v="30"/>
    <x v="75"/>
    <x v="70"/>
    <x v="26"/>
    <x v="2"/>
  </r>
  <r>
    <x v="0"/>
    <x v="4"/>
    <x v="4"/>
    <x v="5"/>
    <x v="5"/>
    <x v="5"/>
    <x v="3"/>
    <x v="35"/>
    <x v="74"/>
    <x v="69"/>
    <x v="24"/>
    <x v="71"/>
    <x v="5"/>
    <x v="1"/>
  </r>
  <r>
    <x v="0"/>
    <x v="4"/>
    <x v="4"/>
    <x v="3"/>
    <x v="3"/>
    <x v="3"/>
    <x v="4"/>
    <x v="38"/>
    <x v="75"/>
    <x v="70"/>
    <x v="76"/>
    <x v="72"/>
    <x v="73"/>
    <x v="2"/>
  </r>
  <r>
    <x v="0"/>
    <x v="4"/>
    <x v="4"/>
    <x v="6"/>
    <x v="6"/>
    <x v="6"/>
    <x v="5"/>
    <x v="77"/>
    <x v="76"/>
    <x v="71"/>
    <x v="77"/>
    <x v="73"/>
    <x v="74"/>
    <x v="2"/>
  </r>
  <r>
    <x v="0"/>
    <x v="4"/>
    <x v="4"/>
    <x v="4"/>
    <x v="4"/>
    <x v="4"/>
    <x v="6"/>
    <x v="62"/>
    <x v="77"/>
    <x v="70"/>
    <x v="76"/>
    <x v="45"/>
    <x v="75"/>
    <x v="2"/>
  </r>
  <r>
    <x v="0"/>
    <x v="4"/>
    <x v="4"/>
    <x v="10"/>
    <x v="10"/>
    <x v="10"/>
    <x v="7"/>
    <x v="78"/>
    <x v="78"/>
    <x v="32"/>
    <x v="78"/>
    <x v="74"/>
    <x v="76"/>
    <x v="2"/>
  </r>
  <r>
    <x v="0"/>
    <x v="4"/>
    <x v="4"/>
    <x v="9"/>
    <x v="9"/>
    <x v="9"/>
    <x v="8"/>
    <x v="79"/>
    <x v="79"/>
    <x v="62"/>
    <x v="79"/>
    <x v="72"/>
    <x v="73"/>
    <x v="2"/>
  </r>
  <r>
    <x v="0"/>
    <x v="4"/>
    <x v="4"/>
    <x v="11"/>
    <x v="11"/>
    <x v="11"/>
    <x v="9"/>
    <x v="80"/>
    <x v="80"/>
    <x v="72"/>
    <x v="80"/>
    <x v="34"/>
    <x v="77"/>
    <x v="2"/>
  </r>
  <r>
    <x v="0"/>
    <x v="4"/>
    <x v="4"/>
    <x v="12"/>
    <x v="12"/>
    <x v="12"/>
    <x v="9"/>
    <x v="80"/>
    <x v="80"/>
    <x v="73"/>
    <x v="81"/>
    <x v="75"/>
    <x v="20"/>
    <x v="2"/>
  </r>
  <r>
    <x v="0"/>
    <x v="4"/>
    <x v="4"/>
    <x v="7"/>
    <x v="7"/>
    <x v="7"/>
    <x v="11"/>
    <x v="81"/>
    <x v="81"/>
    <x v="60"/>
    <x v="82"/>
    <x v="76"/>
    <x v="78"/>
    <x v="2"/>
  </r>
  <r>
    <x v="0"/>
    <x v="4"/>
    <x v="4"/>
    <x v="13"/>
    <x v="13"/>
    <x v="13"/>
    <x v="12"/>
    <x v="82"/>
    <x v="82"/>
    <x v="74"/>
    <x v="83"/>
    <x v="77"/>
    <x v="79"/>
    <x v="2"/>
  </r>
  <r>
    <x v="0"/>
    <x v="4"/>
    <x v="4"/>
    <x v="16"/>
    <x v="16"/>
    <x v="16"/>
    <x v="13"/>
    <x v="64"/>
    <x v="50"/>
    <x v="75"/>
    <x v="84"/>
    <x v="78"/>
    <x v="58"/>
    <x v="3"/>
  </r>
  <r>
    <x v="0"/>
    <x v="4"/>
    <x v="4"/>
    <x v="8"/>
    <x v="8"/>
    <x v="8"/>
    <x v="14"/>
    <x v="83"/>
    <x v="53"/>
    <x v="76"/>
    <x v="85"/>
    <x v="40"/>
    <x v="80"/>
    <x v="2"/>
  </r>
  <r>
    <x v="0"/>
    <x v="4"/>
    <x v="4"/>
    <x v="17"/>
    <x v="17"/>
    <x v="17"/>
    <x v="15"/>
    <x v="84"/>
    <x v="83"/>
    <x v="77"/>
    <x v="17"/>
    <x v="79"/>
    <x v="81"/>
    <x v="2"/>
  </r>
  <r>
    <x v="0"/>
    <x v="4"/>
    <x v="4"/>
    <x v="20"/>
    <x v="20"/>
    <x v="20"/>
    <x v="16"/>
    <x v="85"/>
    <x v="84"/>
    <x v="44"/>
    <x v="86"/>
    <x v="76"/>
    <x v="78"/>
    <x v="2"/>
  </r>
  <r>
    <x v="0"/>
    <x v="4"/>
    <x v="4"/>
    <x v="22"/>
    <x v="22"/>
    <x v="22"/>
    <x v="17"/>
    <x v="67"/>
    <x v="85"/>
    <x v="36"/>
    <x v="87"/>
    <x v="61"/>
    <x v="82"/>
    <x v="2"/>
  </r>
  <r>
    <x v="0"/>
    <x v="4"/>
    <x v="4"/>
    <x v="19"/>
    <x v="19"/>
    <x v="19"/>
    <x v="18"/>
    <x v="86"/>
    <x v="86"/>
    <x v="78"/>
    <x v="88"/>
    <x v="45"/>
    <x v="75"/>
    <x v="6"/>
  </r>
  <r>
    <x v="0"/>
    <x v="4"/>
    <x v="4"/>
    <x v="24"/>
    <x v="24"/>
    <x v="24"/>
    <x v="19"/>
    <x v="68"/>
    <x v="35"/>
    <x v="36"/>
    <x v="87"/>
    <x v="70"/>
    <x v="26"/>
    <x v="2"/>
  </r>
  <r>
    <x v="0"/>
    <x v="4"/>
    <x v="4"/>
    <x v="15"/>
    <x v="15"/>
    <x v="15"/>
    <x v="19"/>
    <x v="68"/>
    <x v="35"/>
    <x v="79"/>
    <x v="89"/>
    <x v="54"/>
    <x v="83"/>
    <x v="2"/>
  </r>
  <r>
    <x v="0"/>
    <x v="5"/>
    <x v="5"/>
    <x v="0"/>
    <x v="0"/>
    <x v="0"/>
    <x v="0"/>
    <x v="87"/>
    <x v="87"/>
    <x v="80"/>
    <x v="90"/>
    <x v="40"/>
    <x v="84"/>
    <x v="6"/>
  </r>
  <r>
    <x v="0"/>
    <x v="5"/>
    <x v="5"/>
    <x v="2"/>
    <x v="2"/>
    <x v="2"/>
    <x v="1"/>
    <x v="88"/>
    <x v="88"/>
    <x v="81"/>
    <x v="91"/>
    <x v="64"/>
    <x v="85"/>
    <x v="2"/>
  </r>
  <r>
    <x v="0"/>
    <x v="5"/>
    <x v="5"/>
    <x v="3"/>
    <x v="3"/>
    <x v="3"/>
    <x v="2"/>
    <x v="37"/>
    <x v="89"/>
    <x v="82"/>
    <x v="92"/>
    <x v="80"/>
    <x v="86"/>
    <x v="6"/>
  </r>
  <r>
    <x v="0"/>
    <x v="5"/>
    <x v="5"/>
    <x v="4"/>
    <x v="4"/>
    <x v="4"/>
    <x v="3"/>
    <x v="89"/>
    <x v="90"/>
    <x v="83"/>
    <x v="93"/>
    <x v="44"/>
    <x v="87"/>
    <x v="6"/>
  </r>
  <r>
    <x v="0"/>
    <x v="5"/>
    <x v="5"/>
    <x v="1"/>
    <x v="1"/>
    <x v="1"/>
    <x v="4"/>
    <x v="90"/>
    <x v="91"/>
    <x v="84"/>
    <x v="94"/>
    <x v="52"/>
    <x v="88"/>
    <x v="2"/>
  </r>
  <r>
    <x v="0"/>
    <x v="5"/>
    <x v="5"/>
    <x v="5"/>
    <x v="5"/>
    <x v="5"/>
    <x v="5"/>
    <x v="91"/>
    <x v="92"/>
    <x v="49"/>
    <x v="95"/>
    <x v="44"/>
    <x v="87"/>
    <x v="12"/>
  </r>
  <r>
    <x v="0"/>
    <x v="5"/>
    <x v="5"/>
    <x v="6"/>
    <x v="6"/>
    <x v="6"/>
    <x v="6"/>
    <x v="51"/>
    <x v="93"/>
    <x v="75"/>
    <x v="96"/>
    <x v="81"/>
    <x v="89"/>
    <x v="2"/>
  </r>
  <r>
    <x v="0"/>
    <x v="5"/>
    <x v="5"/>
    <x v="8"/>
    <x v="8"/>
    <x v="8"/>
    <x v="7"/>
    <x v="92"/>
    <x v="94"/>
    <x v="79"/>
    <x v="48"/>
    <x v="82"/>
    <x v="90"/>
    <x v="2"/>
  </r>
  <r>
    <x v="0"/>
    <x v="5"/>
    <x v="5"/>
    <x v="12"/>
    <x v="12"/>
    <x v="12"/>
    <x v="8"/>
    <x v="70"/>
    <x v="11"/>
    <x v="77"/>
    <x v="97"/>
    <x v="46"/>
    <x v="91"/>
    <x v="2"/>
  </r>
  <r>
    <x v="0"/>
    <x v="5"/>
    <x v="5"/>
    <x v="7"/>
    <x v="7"/>
    <x v="7"/>
    <x v="9"/>
    <x v="55"/>
    <x v="95"/>
    <x v="50"/>
    <x v="98"/>
    <x v="57"/>
    <x v="92"/>
    <x v="2"/>
  </r>
  <r>
    <x v="0"/>
    <x v="5"/>
    <x v="5"/>
    <x v="13"/>
    <x v="13"/>
    <x v="13"/>
    <x v="10"/>
    <x v="93"/>
    <x v="96"/>
    <x v="85"/>
    <x v="99"/>
    <x v="68"/>
    <x v="93"/>
    <x v="2"/>
  </r>
  <r>
    <x v="0"/>
    <x v="5"/>
    <x v="5"/>
    <x v="16"/>
    <x v="16"/>
    <x v="16"/>
    <x v="10"/>
    <x v="93"/>
    <x v="96"/>
    <x v="66"/>
    <x v="100"/>
    <x v="30"/>
    <x v="94"/>
    <x v="6"/>
  </r>
  <r>
    <x v="0"/>
    <x v="5"/>
    <x v="5"/>
    <x v="10"/>
    <x v="10"/>
    <x v="10"/>
    <x v="12"/>
    <x v="71"/>
    <x v="15"/>
    <x v="78"/>
    <x v="79"/>
    <x v="57"/>
    <x v="92"/>
    <x v="2"/>
  </r>
  <r>
    <x v="0"/>
    <x v="5"/>
    <x v="5"/>
    <x v="15"/>
    <x v="15"/>
    <x v="15"/>
    <x v="13"/>
    <x v="72"/>
    <x v="97"/>
    <x v="85"/>
    <x v="99"/>
    <x v="53"/>
    <x v="95"/>
    <x v="2"/>
  </r>
  <r>
    <x v="0"/>
    <x v="5"/>
    <x v="5"/>
    <x v="9"/>
    <x v="9"/>
    <x v="9"/>
    <x v="14"/>
    <x v="56"/>
    <x v="68"/>
    <x v="86"/>
    <x v="101"/>
    <x v="64"/>
    <x v="85"/>
    <x v="2"/>
  </r>
  <r>
    <x v="0"/>
    <x v="5"/>
    <x v="5"/>
    <x v="17"/>
    <x v="17"/>
    <x v="17"/>
    <x v="14"/>
    <x v="56"/>
    <x v="68"/>
    <x v="87"/>
    <x v="102"/>
    <x v="65"/>
    <x v="96"/>
    <x v="2"/>
  </r>
  <r>
    <x v="0"/>
    <x v="5"/>
    <x v="5"/>
    <x v="11"/>
    <x v="11"/>
    <x v="11"/>
    <x v="16"/>
    <x v="94"/>
    <x v="17"/>
    <x v="71"/>
    <x v="103"/>
    <x v="82"/>
    <x v="90"/>
    <x v="2"/>
  </r>
  <r>
    <x v="0"/>
    <x v="5"/>
    <x v="5"/>
    <x v="24"/>
    <x v="24"/>
    <x v="24"/>
    <x v="17"/>
    <x v="95"/>
    <x v="35"/>
    <x v="64"/>
    <x v="47"/>
    <x v="67"/>
    <x v="97"/>
    <x v="2"/>
  </r>
  <r>
    <x v="0"/>
    <x v="5"/>
    <x v="5"/>
    <x v="14"/>
    <x v="14"/>
    <x v="14"/>
    <x v="18"/>
    <x v="96"/>
    <x v="98"/>
    <x v="45"/>
    <x v="104"/>
    <x v="53"/>
    <x v="95"/>
    <x v="2"/>
  </r>
  <r>
    <x v="0"/>
    <x v="5"/>
    <x v="5"/>
    <x v="20"/>
    <x v="20"/>
    <x v="20"/>
    <x v="19"/>
    <x v="97"/>
    <x v="99"/>
    <x v="88"/>
    <x v="38"/>
    <x v="83"/>
    <x v="98"/>
    <x v="2"/>
  </r>
  <r>
    <x v="0"/>
    <x v="5"/>
    <x v="5"/>
    <x v="19"/>
    <x v="19"/>
    <x v="19"/>
    <x v="19"/>
    <x v="97"/>
    <x v="99"/>
    <x v="36"/>
    <x v="105"/>
    <x v="67"/>
    <x v="97"/>
    <x v="2"/>
  </r>
  <r>
    <x v="0"/>
    <x v="6"/>
    <x v="6"/>
    <x v="0"/>
    <x v="0"/>
    <x v="0"/>
    <x v="0"/>
    <x v="98"/>
    <x v="100"/>
    <x v="89"/>
    <x v="106"/>
    <x v="83"/>
    <x v="99"/>
    <x v="2"/>
  </r>
  <r>
    <x v="0"/>
    <x v="6"/>
    <x v="6"/>
    <x v="2"/>
    <x v="2"/>
    <x v="2"/>
    <x v="1"/>
    <x v="99"/>
    <x v="101"/>
    <x v="90"/>
    <x v="107"/>
    <x v="84"/>
    <x v="100"/>
    <x v="2"/>
  </r>
  <r>
    <x v="0"/>
    <x v="6"/>
    <x v="6"/>
    <x v="1"/>
    <x v="1"/>
    <x v="1"/>
    <x v="2"/>
    <x v="100"/>
    <x v="102"/>
    <x v="91"/>
    <x v="108"/>
    <x v="75"/>
    <x v="101"/>
    <x v="2"/>
  </r>
  <r>
    <x v="0"/>
    <x v="6"/>
    <x v="6"/>
    <x v="4"/>
    <x v="4"/>
    <x v="4"/>
    <x v="3"/>
    <x v="101"/>
    <x v="103"/>
    <x v="92"/>
    <x v="109"/>
    <x v="84"/>
    <x v="100"/>
    <x v="2"/>
  </r>
  <r>
    <x v="0"/>
    <x v="6"/>
    <x v="6"/>
    <x v="3"/>
    <x v="3"/>
    <x v="3"/>
    <x v="4"/>
    <x v="102"/>
    <x v="104"/>
    <x v="93"/>
    <x v="110"/>
    <x v="64"/>
    <x v="102"/>
    <x v="2"/>
  </r>
  <r>
    <x v="0"/>
    <x v="6"/>
    <x v="6"/>
    <x v="5"/>
    <x v="5"/>
    <x v="5"/>
    <x v="5"/>
    <x v="103"/>
    <x v="105"/>
    <x v="70"/>
    <x v="111"/>
    <x v="82"/>
    <x v="103"/>
    <x v="2"/>
  </r>
  <r>
    <x v="0"/>
    <x v="6"/>
    <x v="6"/>
    <x v="6"/>
    <x v="6"/>
    <x v="6"/>
    <x v="6"/>
    <x v="104"/>
    <x v="106"/>
    <x v="94"/>
    <x v="112"/>
    <x v="47"/>
    <x v="104"/>
    <x v="2"/>
  </r>
  <r>
    <x v="0"/>
    <x v="6"/>
    <x v="6"/>
    <x v="15"/>
    <x v="15"/>
    <x v="15"/>
    <x v="7"/>
    <x v="51"/>
    <x v="107"/>
    <x v="76"/>
    <x v="113"/>
    <x v="68"/>
    <x v="105"/>
    <x v="2"/>
  </r>
  <r>
    <x v="0"/>
    <x v="6"/>
    <x v="6"/>
    <x v="10"/>
    <x v="10"/>
    <x v="10"/>
    <x v="8"/>
    <x v="86"/>
    <x v="108"/>
    <x v="50"/>
    <x v="114"/>
    <x v="62"/>
    <x v="106"/>
    <x v="2"/>
  </r>
  <r>
    <x v="0"/>
    <x v="6"/>
    <x v="6"/>
    <x v="9"/>
    <x v="9"/>
    <x v="9"/>
    <x v="9"/>
    <x v="105"/>
    <x v="29"/>
    <x v="35"/>
    <x v="115"/>
    <x v="85"/>
    <x v="107"/>
    <x v="2"/>
  </r>
  <r>
    <x v="0"/>
    <x v="6"/>
    <x v="6"/>
    <x v="16"/>
    <x v="16"/>
    <x v="16"/>
    <x v="10"/>
    <x v="70"/>
    <x v="109"/>
    <x v="95"/>
    <x v="116"/>
    <x v="86"/>
    <x v="108"/>
    <x v="2"/>
  </r>
  <r>
    <x v="0"/>
    <x v="6"/>
    <x v="6"/>
    <x v="12"/>
    <x v="12"/>
    <x v="12"/>
    <x v="11"/>
    <x v="55"/>
    <x v="110"/>
    <x v="96"/>
    <x v="12"/>
    <x v="64"/>
    <x v="102"/>
    <x v="6"/>
  </r>
  <r>
    <x v="0"/>
    <x v="6"/>
    <x v="6"/>
    <x v="8"/>
    <x v="8"/>
    <x v="8"/>
    <x v="12"/>
    <x v="106"/>
    <x v="111"/>
    <x v="85"/>
    <x v="117"/>
    <x v="82"/>
    <x v="103"/>
    <x v="2"/>
  </r>
  <r>
    <x v="0"/>
    <x v="6"/>
    <x v="6"/>
    <x v="7"/>
    <x v="7"/>
    <x v="7"/>
    <x v="13"/>
    <x v="72"/>
    <x v="112"/>
    <x v="97"/>
    <x v="118"/>
    <x v="82"/>
    <x v="103"/>
    <x v="2"/>
  </r>
  <r>
    <x v="0"/>
    <x v="6"/>
    <x v="6"/>
    <x v="11"/>
    <x v="11"/>
    <x v="11"/>
    <x v="14"/>
    <x v="73"/>
    <x v="113"/>
    <x v="50"/>
    <x v="114"/>
    <x v="82"/>
    <x v="103"/>
    <x v="2"/>
  </r>
  <r>
    <x v="0"/>
    <x v="6"/>
    <x v="6"/>
    <x v="13"/>
    <x v="13"/>
    <x v="13"/>
    <x v="14"/>
    <x v="73"/>
    <x v="113"/>
    <x v="63"/>
    <x v="119"/>
    <x v="87"/>
    <x v="109"/>
    <x v="2"/>
  </r>
  <r>
    <x v="0"/>
    <x v="6"/>
    <x v="6"/>
    <x v="23"/>
    <x v="23"/>
    <x v="23"/>
    <x v="16"/>
    <x v="94"/>
    <x v="69"/>
    <x v="51"/>
    <x v="120"/>
    <x v="84"/>
    <x v="100"/>
    <x v="2"/>
  </r>
  <r>
    <x v="0"/>
    <x v="6"/>
    <x v="6"/>
    <x v="25"/>
    <x v="25"/>
    <x v="25"/>
    <x v="16"/>
    <x v="94"/>
    <x v="69"/>
    <x v="66"/>
    <x v="121"/>
    <x v="46"/>
    <x v="110"/>
    <x v="2"/>
  </r>
  <r>
    <x v="0"/>
    <x v="6"/>
    <x v="6"/>
    <x v="19"/>
    <x v="19"/>
    <x v="19"/>
    <x v="16"/>
    <x v="94"/>
    <x v="69"/>
    <x v="64"/>
    <x v="122"/>
    <x v="66"/>
    <x v="111"/>
    <x v="2"/>
  </r>
  <r>
    <x v="0"/>
    <x v="6"/>
    <x v="6"/>
    <x v="17"/>
    <x v="17"/>
    <x v="17"/>
    <x v="19"/>
    <x v="107"/>
    <x v="114"/>
    <x v="66"/>
    <x v="121"/>
    <x v="51"/>
    <x v="112"/>
    <x v="2"/>
  </r>
  <r>
    <x v="0"/>
    <x v="6"/>
    <x v="6"/>
    <x v="26"/>
    <x v="26"/>
    <x v="26"/>
    <x v="19"/>
    <x v="107"/>
    <x v="114"/>
    <x v="64"/>
    <x v="122"/>
    <x v="77"/>
    <x v="113"/>
    <x v="2"/>
  </r>
  <r>
    <x v="0"/>
    <x v="7"/>
    <x v="7"/>
    <x v="0"/>
    <x v="0"/>
    <x v="0"/>
    <x v="0"/>
    <x v="108"/>
    <x v="115"/>
    <x v="98"/>
    <x v="123"/>
    <x v="65"/>
    <x v="68"/>
    <x v="2"/>
  </r>
  <r>
    <x v="0"/>
    <x v="7"/>
    <x v="7"/>
    <x v="2"/>
    <x v="2"/>
    <x v="2"/>
    <x v="1"/>
    <x v="109"/>
    <x v="116"/>
    <x v="99"/>
    <x v="124"/>
    <x v="86"/>
    <x v="65"/>
    <x v="2"/>
  </r>
  <r>
    <x v="0"/>
    <x v="7"/>
    <x v="7"/>
    <x v="1"/>
    <x v="1"/>
    <x v="1"/>
    <x v="2"/>
    <x v="110"/>
    <x v="117"/>
    <x v="100"/>
    <x v="125"/>
    <x v="88"/>
    <x v="114"/>
    <x v="2"/>
  </r>
  <r>
    <x v="0"/>
    <x v="7"/>
    <x v="7"/>
    <x v="3"/>
    <x v="3"/>
    <x v="3"/>
    <x v="3"/>
    <x v="111"/>
    <x v="118"/>
    <x v="101"/>
    <x v="126"/>
    <x v="89"/>
    <x v="115"/>
    <x v="2"/>
  </r>
  <r>
    <x v="0"/>
    <x v="7"/>
    <x v="7"/>
    <x v="5"/>
    <x v="5"/>
    <x v="5"/>
    <x v="4"/>
    <x v="98"/>
    <x v="119"/>
    <x v="102"/>
    <x v="127"/>
    <x v="90"/>
    <x v="116"/>
    <x v="2"/>
  </r>
  <r>
    <x v="0"/>
    <x v="7"/>
    <x v="7"/>
    <x v="4"/>
    <x v="4"/>
    <x v="4"/>
    <x v="5"/>
    <x v="99"/>
    <x v="120"/>
    <x v="103"/>
    <x v="128"/>
    <x v="91"/>
    <x v="38"/>
    <x v="2"/>
  </r>
  <r>
    <x v="0"/>
    <x v="7"/>
    <x v="7"/>
    <x v="8"/>
    <x v="8"/>
    <x v="8"/>
    <x v="6"/>
    <x v="112"/>
    <x v="121"/>
    <x v="83"/>
    <x v="129"/>
    <x v="80"/>
    <x v="117"/>
    <x v="2"/>
  </r>
  <r>
    <x v="0"/>
    <x v="7"/>
    <x v="7"/>
    <x v="7"/>
    <x v="7"/>
    <x v="7"/>
    <x v="7"/>
    <x v="113"/>
    <x v="122"/>
    <x v="104"/>
    <x v="130"/>
    <x v="66"/>
    <x v="118"/>
    <x v="2"/>
  </r>
  <r>
    <x v="0"/>
    <x v="7"/>
    <x v="7"/>
    <x v="6"/>
    <x v="6"/>
    <x v="6"/>
    <x v="8"/>
    <x v="81"/>
    <x v="123"/>
    <x v="86"/>
    <x v="17"/>
    <x v="92"/>
    <x v="119"/>
    <x v="2"/>
  </r>
  <r>
    <x v="0"/>
    <x v="7"/>
    <x v="7"/>
    <x v="17"/>
    <x v="17"/>
    <x v="17"/>
    <x v="9"/>
    <x v="114"/>
    <x v="124"/>
    <x v="88"/>
    <x v="131"/>
    <x v="93"/>
    <x v="120"/>
    <x v="2"/>
  </r>
  <r>
    <x v="0"/>
    <x v="7"/>
    <x v="7"/>
    <x v="15"/>
    <x v="15"/>
    <x v="15"/>
    <x v="9"/>
    <x v="114"/>
    <x v="124"/>
    <x v="74"/>
    <x v="132"/>
    <x v="44"/>
    <x v="121"/>
    <x v="2"/>
  </r>
  <r>
    <x v="0"/>
    <x v="7"/>
    <x v="7"/>
    <x v="13"/>
    <x v="13"/>
    <x v="13"/>
    <x v="11"/>
    <x v="104"/>
    <x v="125"/>
    <x v="105"/>
    <x v="27"/>
    <x v="58"/>
    <x v="80"/>
    <x v="2"/>
  </r>
  <r>
    <x v="0"/>
    <x v="7"/>
    <x v="7"/>
    <x v="9"/>
    <x v="9"/>
    <x v="9"/>
    <x v="12"/>
    <x v="115"/>
    <x v="126"/>
    <x v="78"/>
    <x v="101"/>
    <x v="94"/>
    <x v="122"/>
    <x v="2"/>
  </r>
  <r>
    <x v="0"/>
    <x v="7"/>
    <x v="7"/>
    <x v="10"/>
    <x v="10"/>
    <x v="10"/>
    <x v="13"/>
    <x v="45"/>
    <x v="127"/>
    <x v="60"/>
    <x v="18"/>
    <x v="95"/>
    <x v="123"/>
    <x v="2"/>
  </r>
  <r>
    <x v="0"/>
    <x v="7"/>
    <x v="7"/>
    <x v="11"/>
    <x v="11"/>
    <x v="11"/>
    <x v="14"/>
    <x v="83"/>
    <x v="128"/>
    <x v="106"/>
    <x v="133"/>
    <x v="40"/>
    <x v="8"/>
    <x v="6"/>
  </r>
  <r>
    <x v="0"/>
    <x v="7"/>
    <x v="7"/>
    <x v="16"/>
    <x v="16"/>
    <x v="16"/>
    <x v="15"/>
    <x v="116"/>
    <x v="14"/>
    <x v="94"/>
    <x v="134"/>
    <x v="96"/>
    <x v="124"/>
    <x v="6"/>
  </r>
  <r>
    <x v="0"/>
    <x v="7"/>
    <x v="7"/>
    <x v="12"/>
    <x v="12"/>
    <x v="12"/>
    <x v="16"/>
    <x v="117"/>
    <x v="129"/>
    <x v="85"/>
    <x v="135"/>
    <x v="56"/>
    <x v="125"/>
    <x v="2"/>
  </r>
  <r>
    <x v="0"/>
    <x v="7"/>
    <x v="7"/>
    <x v="19"/>
    <x v="19"/>
    <x v="19"/>
    <x v="17"/>
    <x v="118"/>
    <x v="130"/>
    <x v="85"/>
    <x v="135"/>
    <x v="83"/>
    <x v="126"/>
    <x v="2"/>
  </r>
  <r>
    <x v="0"/>
    <x v="7"/>
    <x v="7"/>
    <x v="21"/>
    <x v="21"/>
    <x v="21"/>
    <x v="18"/>
    <x v="70"/>
    <x v="131"/>
    <x v="77"/>
    <x v="136"/>
    <x v="71"/>
    <x v="127"/>
    <x v="2"/>
  </r>
  <r>
    <x v="0"/>
    <x v="7"/>
    <x v="7"/>
    <x v="14"/>
    <x v="14"/>
    <x v="14"/>
    <x v="19"/>
    <x v="71"/>
    <x v="132"/>
    <x v="94"/>
    <x v="134"/>
    <x v="58"/>
    <x v="80"/>
    <x v="2"/>
  </r>
  <r>
    <x v="0"/>
    <x v="8"/>
    <x v="8"/>
    <x v="2"/>
    <x v="2"/>
    <x v="2"/>
    <x v="0"/>
    <x v="59"/>
    <x v="133"/>
    <x v="107"/>
    <x v="137"/>
    <x v="85"/>
    <x v="128"/>
    <x v="2"/>
  </r>
  <r>
    <x v="0"/>
    <x v="8"/>
    <x v="8"/>
    <x v="1"/>
    <x v="1"/>
    <x v="1"/>
    <x v="1"/>
    <x v="77"/>
    <x v="134"/>
    <x v="71"/>
    <x v="138"/>
    <x v="73"/>
    <x v="129"/>
    <x v="2"/>
  </r>
  <r>
    <x v="0"/>
    <x v="8"/>
    <x v="8"/>
    <x v="3"/>
    <x v="3"/>
    <x v="3"/>
    <x v="2"/>
    <x v="119"/>
    <x v="135"/>
    <x v="73"/>
    <x v="139"/>
    <x v="97"/>
    <x v="130"/>
    <x v="2"/>
  </r>
  <r>
    <x v="0"/>
    <x v="8"/>
    <x v="8"/>
    <x v="5"/>
    <x v="5"/>
    <x v="5"/>
    <x v="2"/>
    <x v="119"/>
    <x v="135"/>
    <x v="93"/>
    <x v="140"/>
    <x v="44"/>
    <x v="131"/>
    <x v="2"/>
  </r>
  <r>
    <x v="0"/>
    <x v="8"/>
    <x v="8"/>
    <x v="6"/>
    <x v="6"/>
    <x v="6"/>
    <x v="4"/>
    <x v="85"/>
    <x v="24"/>
    <x v="88"/>
    <x v="141"/>
    <x v="94"/>
    <x v="132"/>
    <x v="2"/>
  </r>
  <r>
    <x v="0"/>
    <x v="8"/>
    <x v="8"/>
    <x v="0"/>
    <x v="0"/>
    <x v="0"/>
    <x v="4"/>
    <x v="85"/>
    <x v="24"/>
    <x v="108"/>
    <x v="142"/>
    <x v="49"/>
    <x v="133"/>
    <x v="2"/>
  </r>
  <r>
    <x v="0"/>
    <x v="8"/>
    <x v="8"/>
    <x v="10"/>
    <x v="10"/>
    <x v="10"/>
    <x v="6"/>
    <x v="120"/>
    <x v="136"/>
    <x v="61"/>
    <x v="143"/>
    <x v="91"/>
    <x v="134"/>
    <x v="2"/>
  </r>
  <r>
    <x v="0"/>
    <x v="8"/>
    <x v="8"/>
    <x v="4"/>
    <x v="4"/>
    <x v="4"/>
    <x v="7"/>
    <x v="86"/>
    <x v="137"/>
    <x v="109"/>
    <x v="144"/>
    <x v="84"/>
    <x v="135"/>
    <x v="2"/>
  </r>
  <r>
    <x v="0"/>
    <x v="8"/>
    <x v="8"/>
    <x v="8"/>
    <x v="8"/>
    <x v="8"/>
    <x v="8"/>
    <x v="68"/>
    <x v="138"/>
    <x v="38"/>
    <x v="145"/>
    <x v="64"/>
    <x v="136"/>
    <x v="2"/>
  </r>
  <r>
    <x v="0"/>
    <x v="8"/>
    <x v="8"/>
    <x v="11"/>
    <x v="11"/>
    <x v="11"/>
    <x v="9"/>
    <x v="121"/>
    <x v="139"/>
    <x v="61"/>
    <x v="143"/>
    <x v="64"/>
    <x v="136"/>
    <x v="2"/>
  </r>
  <r>
    <x v="0"/>
    <x v="8"/>
    <x v="8"/>
    <x v="9"/>
    <x v="9"/>
    <x v="9"/>
    <x v="10"/>
    <x v="122"/>
    <x v="140"/>
    <x v="51"/>
    <x v="146"/>
    <x v="59"/>
    <x v="51"/>
    <x v="2"/>
  </r>
  <r>
    <x v="0"/>
    <x v="8"/>
    <x v="8"/>
    <x v="7"/>
    <x v="7"/>
    <x v="7"/>
    <x v="11"/>
    <x v="118"/>
    <x v="141"/>
    <x v="77"/>
    <x v="147"/>
    <x v="41"/>
    <x v="137"/>
    <x v="2"/>
  </r>
  <r>
    <x v="0"/>
    <x v="8"/>
    <x v="8"/>
    <x v="15"/>
    <x v="15"/>
    <x v="15"/>
    <x v="12"/>
    <x v="123"/>
    <x v="142"/>
    <x v="62"/>
    <x v="148"/>
    <x v="82"/>
    <x v="138"/>
    <x v="2"/>
  </r>
  <r>
    <x v="0"/>
    <x v="8"/>
    <x v="8"/>
    <x v="16"/>
    <x v="16"/>
    <x v="16"/>
    <x v="13"/>
    <x v="105"/>
    <x v="143"/>
    <x v="36"/>
    <x v="149"/>
    <x v="71"/>
    <x v="139"/>
    <x v="3"/>
  </r>
  <r>
    <x v="0"/>
    <x v="8"/>
    <x v="8"/>
    <x v="13"/>
    <x v="13"/>
    <x v="13"/>
    <x v="14"/>
    <x v="55"/>
    <x v="144"/>
    <x v="110"/>
    <x v="150"/>
    <x v="87"/>
    <x v="140"/>
    <x v="2"/>
  </r>
  <r>
    <x v="0"/>
    <x v="8"/>
    <x v="8"/>
    <x v="17"/>
    <x v="17"/>
    <x v="17"/>
    <x v="15"/>
    <x v="71"/>
    <x v="145"/>
    <x v="111"/>
    <x v="151"/>
    <x v="45"/>
    <x v="141"/>
    <x v="2"/>
  </r>
  <r>
    <x v="0"/>
    <x v="8"/>
    <x v="8"/>
    <x v="12"/>
    <x v="12"/>
    <x v="12"/>
    <x v="16"/>
    <x v="124"/>
    <x v="69"/>
    <x v="86"/>
    <x v="115"/>
    <x v="44"/>
    <x v="131"/>
    <x v="2"/>
  </r>
  <r>
    <x v="0"/>
    <x v="8"/>
    <x v="8"/>
    <x v="20"/>
    <x v="20"/>
    <x v="20"/>
    <x v="17"/>
    <x v="96"/>
    <x v="70"/>
    <x v="88"/>
    <x v="141"/>
    <x v="84"/>
    <x v="135"/>
    <x v="2"/>
  </r>
  <r>
    <x v="0"/>
    <x v="8"/>
    <x v="8"/>
    <x v="25"/>
    <x v="25"/>
    <x v="25"/>
    <x v="18"/>
    <x v="97"/>
    <x v="37"/>
    <x v="66"/>
    <x v="152"/>
    <x v="58"/>
    <x v="142"/>
    <x v="2"/>
  </r>
  <r>
    <x v="0"/>
    <x v="8"/>
    <x v="8"/>
    <x v="19"/>
    <x v="19"/>
    <x v="19"/>
    <x v="19"/>
    <x v="125"/>
    <x v="146"/>
    <x v="88"/>
    <x v="141"/>
    <x v="66"/>
    <x v="143"/>
    <x v="2"/>
  </r>
  <r>
    <x v="0"/>
    <x v="9"/>
    <x v="9"/>
    <x v="0"/>
    <x v="0"/>
    <x v="0"/>
    <x v="0"/>
    <x v="126"/>
    <x v="147"/>
    <x v="25"/>
    <x v="153"/>
    <x v="54"/>
    <x v="144"/>
    <x v="2"/>
  </r>
  <r>
    <x v="0"/>
    <x v="9"/>
    <x v="9"/>
    <x v="1"/>
    <x v="1"/>
    <x v="1"/>
    <x v="1"/>
    <x v="127"/>
    <x v="148"/>
    <x v="112"/>
    <x v="154"/>
    <x v="81"/>
    <x v="145"/>
    <x v="2"/>
  </r>
  <r>
    <x v="0"/>
    <x v="9"/>
    <x v="9"/>
    <x v="2"/>
    <x v="2"/>
    <x v="2"/>
    <x v="2"/>
    <x v="128"/>
    <x v="149"/>
    <x v="113"/>
    <x v="155"/>
    <x v="30"/>
    <x v="146"/>
    <x v="2"/>
  </r>
  <r>
    <x v="0"/>
    <x v="9"/>
    <x v="9"/>
    <x v="3"/>
    <x v="3"/>
    <x v="3"/>
    <x v="3"/>
    <x v="129"/>
    <x v="150"/>
    <x v="114"/>
    <x v="156"/>
    <x v="41"/>
    <x v="147"/>
    <x v="2"/>
  </r>
  <r>
    <x v="0"/>
    <x v="9"/>
    <x v="9"/>
    <x v="4"/>
    <x v="4"/>
    <x v="4"/>
    <x v="4"/>
    <x v="99"/>
    <x v="151"/>
    <x v="17"/>
    <x v="139"/>
    <x v="49"/>
    <x v="148"/>
    <x v="6"/>
  </r>
  <r>
    <x v="0"/>
    <x v="9"/>
    <x v="9"/>
    <x v="5"/>
    <x v="5"/>
    <x v="5"/>
    <x v="5"/>
    <x v="100"/>
    <x v="152"/>
    <x v="115"/>
    <x v="157"/>
    <x v="66"/>
    <x v="149"/>
    <x v="3"/>
  </r>
  <r>
    <x v="0"/>
    <x v="9"/>
    <x v="9"/>
    <x v="10"/>
    <x v="10"/>
    <x v="10"/>
    <x v="6"/>
    <x v="130"/>
    <x v="153"/>
    <x v="116"/>
    <x v="158"/>
    <x v="52"/>
    <x v="150"/>
    <x v="2"/>
  </r>
  <r>
    <x v="0"/>
    <x v="9"/>
    <x v="9"/>
    <x v="8"/>
    <x v="8"/>
    <x v="8"/>
    <x v="7"/>
    <x v="81"/>
    <x v="154"/>
    <x v="41"/>
    <x v="159"/>
    <x v="64"/>
    <x v="151"/>
    <x v="2"/>
  </r>
  <r>
    <x v="0"/>
    <x v="9"/>
    <x v="9"/>
    <x v="15"/>
    <x v="15"/>
    <x v="15"/>
    <x v="8"/>
    <x v="131"/>
    <x v="141"/>
    <x v="117"/>
    <x v="160"/>
    <x v="98"/>
    <x v="152"/>
    <x v="2"/>
  </r>
  <r>
    <x v="0"/>
    <x v="9"/>
    <x v="9"/>
    <x v="6"/>
    <x v="6"/>
    <x v="6"/>
    <x v="9"/>
    <x v="115"/>
    <x v="155"/>
    <x v="63"/>
    <x v="161"/>
    <x v="99"/>
    <x v="153"/>
    <x v="2"/>
  </r>
  <r>
    <x v="0"/>
    <x v="9"/>
    <x v="9"/>
    <x v="9"/>
    <x v="9"/>
    <x v="9"/>
    <x v="10"/>
    <x v="64"/>
    <x v="156"/>
    <x v="85"/>
    <x v="162"/>
    <x v="100"/>
    <x v="154"/>
    <x v="6"/>
  </r>
  <r>
    <x v="0"/>
    <x v="9"/>
    <x v="9"/>
    <x v="7"/>
    <x v="7"/>
    <x v="7"/>
    <x v="11"/>
    <x v="116"/>
    <x v="52"/>
    <x v="118"/>
    <x v="51"/>
    <x v="62"/>
    <x v="155"/>
    <x v="2"/>
  </r>
  <r>
    <x v="0"/>
    <x v="9"/>
    <x v="9"/>
    <x v="12"/>
    <x v="12"/>
    <x v="12"/>
    <x v="12"/>
    <x v="52"/>
    <x v="13"/>
    <x v="60"/>
    <x v="163"/>
    <x v="40"/>
    <x v="100"/>
    <x v="2"/>
  </r>
  <r>
    <x v="0"/>
    <x v="9"/>
    <x v="9"/>
    <x v="13"/>
    <x v="13"/>
    <x v="13"/>
    <x v="13"/>
    <x v="68"/>
    <x v="16"/>
    <x v="73"/>
    <x v="164"/>
    <x v="82"/>
    <x v="156"/>
    <x v="2"/>
  </r>
  <r>
    <x v="0"/>
    <x v="9"/>
    <x v="9"/>
    <x v="16"/>
    <x v="16"/>
    <x v="16"/>
    <x v="14"/>
    <x v="121"/>
    <x v="69"/>
    <x v="119"/>
    <x v="116"/>
    <x v="52"/>
    <x v="150"/>
    <x v="0"/>
  </r>
  <r>
    <x v="0"/>
    <x v="9"/>
    <x v="9"/>
    <x v="11"/>
    <x v="11"/>
    <x v="11"/>
    <x v="15"/>
    <x v="123"/>
    <x v="54"/>
    <x v="109"/>
    <x v="104"/>
    <x v="77"/>
    <x v="157"/>
    <x v="2"/>
  </r>
  <r>
    <x v="0"/>
    <x v="9"/>
    <x v="9"/>
    <x v="23"/>
    <x v="23"/>
    <x v="23"/>
    <x v="16"/>
    <x v="70"/>
    <x v="157"/>
    <x v="45"/>
    <x v="165"/>
    <x v="64"/>
    <x v="151"/>
    <x v="2"/>
  </r>
  <r>
    <x v="0"/>
    <x v="9"/>
    <x v="9"/>
    <x v="17"/>
    <x v="17"/>
    <x v="17"/>
    <x v="16"/>
    <x v="70"/>
    <x v="157"/>
    <x v="86"/>
    <x v="166"/>
    <x v="62"/>
    <x v="155"/>
    <x v="2"/>
  </r>
  <r>
    <x v="0"/>
    <x v="9"/>
    <x v="9"/>
    <x v="19"/>
    <x v="19"/>
    <x v="19"/>
    <x v="18"/>
    <x v="106"/>
    <x v="158"/>
    <x v="45"/>
    <x v="165"/>
    <x v="84"/>
    <x v="158"/>
    <x v="2"/>
  </r>
  <r>
    <x v="0"/>
    <x v="9"/>
    <x v="9"/>
    <x v="27"/>
    <x v="27"/>
    <x v="27"/>
    <x v="19"/>
    <x v="71"/>
    <x v="159"/>
    <x v="50"/>
    <x v="96"/>
    <x v="77"/>
    <x v="157"/>
    <x v="2"/>
  </r>
  <r>
    <x v="0"/>
    <x v="10"/>
    <x v="10"/>
    <x v="0"/>
    <x v="0"/>
    <x v="0"/>
    <x v="0"/>
    <x v="132"/>
    <x v="160"/>
    <x v="120"/>
    <x v="167"/>
    <x v="40"/>
    <x v="159"/>
    <x v="2"/>
  </r>
  <r>
    <x v="0"/>
    <x v="10"/>
    <x v="10"/>
    <x v="2"/>
    <x v="2"/>
    <x v="2"/>
    <x v="1"/>
    <x v="133"/>
    <x v="161"/>
    <x v="121"/>
    <x v="168"/>
    <x v="77"/>
    <x v="160"/>
    <x v="2"/>
  </r>
  <r>
    <x v="0"/>
    <x v="10"/>
    <x v="10"/>
    <x v="4"/>
    <x v="4"/>
    <x v="4"/>
    <x v="2"/>
    <x v="134"/>
    <x v="162"/>
    <x v="122"/>
    <x v="169"/>
    <x v="58"/>
    <x v="161"/>
    <x v="2"/>
  </r>
  <r>
    <x v="0"/>
    <x v="10"/>
    <x v="10"/>
    <x v="6"/>
    <x v="6"/>
    <x v="6"/>
    <x v="3"/>
    <x v="101"/>
    <x v="151"/>
    <x v="94"/>
    <x v="170"/>
    <x v="101"/>
    <x v="162"/>
    <x v="2"/>
  </r>
  <r>
    <x v="0"/>
    <x v="10"/>
    <x v="10"/>
    <x v="3"/>
    <x v="3"/>
    <x v="3"/>
    <x v="4"/>
    <x v="135"/>
    <x v="163"/>
    <x v="56"/>
    <x v="171"/>
    <x v="91"/>
    <x v="28"/>
    <x v="2"/>
  </r>
  <r>
    <x v="0"/>
    <x v="10"/>
    <x v="10"/>
    <x v="5"/>
    <x v="5"/>
    <x v="5"/>
    <x v="5"/>
    <x v="79"/>
    <x v="91"/>
    <x v="123"/>
    <x v="172"/>
    <x v="57"/>
    <x v="163"/>
    <x v="6"/>
  </r>
  <r>
    <x v="0"/>
    <x v="10"/>
    <x v="10"/>
    <x v="1"/>
    <x v="1"/>
    <x v="1"/>
    <x v="6"/>
    <x v="80"/>
    <x v="164"/>
    <x v="124"/>
    <x v="173"/>
    <x v="102"/>
    <x v="164"/>
    <x v="2"/>
  </r>
  <r>
    <x v="0"/>
    <x v="10"/>
    <x v="10"/>
    <x v="14"/>
    <x v="14"/>
    <x v="14"/>
    <x v="7"/>
    <x v="136"/>
    <x v="165"/>
    <x v="125"/>
    <x v="174"/>
    <x v="58"/>
    <x v="161"/>
    <x v="2"/>
  </r>
  <r>
    <x v="0"/>
    <x v="10"/>
    <x v="10"/>
    <x v="18"/>
    <x v="18"/>
    <x v="18"/>
    <x v="8"/>
    <x v="84"/>
    <x v="166"/>
    <x v="32"/>
    <x v="175"/>
    <x v="65"/>
    <x v="165"/>
    <x v="2"/>
  </r>
  <r>
    <x v="0"/>
    <x v="10"/>
    <x v="10"/>
    <x v="7"/>
    <x v="7"/>
    <x v="7"/>
    <x v="9"/>
    <x v="116"/>
    <x v="122"/>
    <x v="126"/>
    <x v="176"/>
    <x v="98"/>
    <x v="157"/>
    <x v="2"/>
  </r>
  <r>
    <x v="0"/>
    <x v="10"/>
    <x v="10"/>
    <x v="23"/>
    <x v="23"/>
    <x v="23"/>
    <x v="10"/>
    <x v="117"/>
    <x v="167"/>
    <x v="32"/>
    <x v="175"/>
    <x v="84"/>
    <x v="166"/>
    <x v="2"/>
  </r>
  <r>
    <x v="0"/>
    <x v="10"/>
    <x v="10"/>
    <x v="15"/>
    <x v="15"/>
    <x v="15"/>
    <x v="11"/>
    <x v="53"/>
    <x v="126"/>
    <x v="127"/>
    <x v="177"/>
    <x v="68"/>
    <x v="167"/>
    <x v="2"/>
  </r>
  <r>
    <x v="0"/>
    <x v="10"/>
    <x v="10"/>
    <x v="8"/>
    <x v="8"/>
    <x v="8"/>
    <x v="12"/>
    <x v="54"/>
    <x v="168"/>
    <x v="128"/>
    <x v="178"/>
    <x v="84"/>
    <x v="166"/>
    <x v="2"/>
  </r>
  <r>
    <x v="0"/>
    <x v="10"/>
    <x v="10"/>
    <x v="12"/>
    <x v="12"/>
    <x v="12"/>
    <x v="12"/>
    <x v="54"/>
    <x v="168"/>
    <x v="47"/>
    <x v="49"/>
    <x v="40"/>
    <x v="159"/>
    <x v="2"/>
  </r>
  <r>
    <x v="0"/>
    <x v="10"/>
    <x v="10"/>
    <x v="9"/>
    <x v="9"/>
    <x v="9"/>
    <x v="14"/>
    <x v="92"/>
    <x v="169"/>
    <x v="71"/>
    <x v="179"/>
    <x v="49"/>
    <x v="168"/>
    <x v="2"/>
  </r>
  <r>
    <x v="0"/>
    <x v="10"/>
    <x v="10"/>
    <x v="10"/>
    <x v="10"/>
    <x v="10"/>
    <x v="15"/>
    <x v="118"/>
    <x v="31"/>
    <x v="28"/>
    <x v="51"/>
    <x v="84"/>
    <x v="166"/>
    <x v="2"/>
  </r>
  <r>
    <x v="0"/>
    <x v="10"/>
    <x v="10"/>
    <x v="28"/>
    <x v="28"/>
    <x v="28"/>
    <x v="16"/>
    <x v="123"/>
    <x v="170"/>
    <x v="128"/>
    <x v="178"/>
    <x v="68"/>
    <x v="167"/>
    <x v="2"/>
  </r>
  <r>
    <x v="0"/>
    <x v="10"/>
    <x v="10"/>
    <x v="13"/>
    <x v="13"/>
    <x v="13"/>
    <x v="17"/>
    <x v="137"/>
    <x v="15"/>
    <x v="128"/>
    <x v="178"/>
    <x v="87"/>
    <x v="169"/>
    <x v="2"/>
  </r>
  <r>
    <x v="0"/>
    <x v="10"/>
    <x v="10"/>
    <x v="11"/>
    <x v="11"/>
    <x v="11"/>
    <x v="18"/>
    <x v="69"/>
    <x v="112"/>
    <x v="63"/>
    <x v="180"/>
    <x v="66"/>
    <x v="170"/>
    <x v="2"/>
  </r>
  <r>
    <x v="0"/>
    <x v="10"/>
    <x v="10"/>
    <x v="29"/>
    <x v="29"/>
    <x v="29"/>
    <x v="19"/>
    <x v="73"/>
    <x v="71"/>
    <x v="86"/>
    <x v="32"/>
    <x v="51"/>
    <x v="116"/>
    <x v="2"/>
  </r>
  <r>
    <x v="0"/>
    <x v="10"/>
    <x v="10"/>
    <x v="16"/>
    <x v="16"/>
    <x v="16"/>
    <x v="19"/>
    <x v="73"/>
    <x v="71"/>
    <x v="119"/>
    <x v="181"/>
    <x v="71"/>
    <x v="171"/>
    <x v="2"/>
  </r>
  <r>
    <x v="0"/>
    <x v="11"/>
    <x v="11"/>
    <x v="0"/>
    <x v="0"/>
    <x v="0"/>
    <x v="0"/>
    <x v="89"/>
    <x v="171"/>
    <x v="129"/>
    <x v="182"/>
    <x v="82"/>
    <x v="80"/>
    <x v="2"/>
  </r>
  <r>
    <x v="0"/>
    <x v="11"/>
    <x v="11"/>
    <x v="3"/>
    <x v="3"/>
    <x v="3"/>
    <x v="1"/>
    <x v="130"/>
    <x v="172"/>
    <x v="130"/>
    <x v="183"/>
    <x v="57"/>
    <x v="172"/>
    <x v="2"/>
  </r>
  <r>
    <x v="0"/>
    <x v="11"/>
    <x v="11"/>
    <x v="2"/>
    <x v="2"/>
    <x v="2"/>
    <x v="2"/>
    <x v="81"/>
    <x v="173"/>
    <x v="131"/>
    <x v="184"/>
    <x v="44"/>
    <x v="173"/>
    <x v="2"/>
  </r>
  <r>
    <x v="0"/>
    <x v="11"/>
    <x v="11"/>
    <x v="5"/>
    <x v="5"/>
    <x v="5"/>
    <x v="3"/>
    <x v="49"/>
    <x v="174"/>
    <x v="132"/>
    <x v="185"/>
    <x v="77"/>
    <x v="24"/>
    <x v="3"/>
  </r>
  <r>
    <x v="0"/>
    <x v="11"/>
    <x v="11"/>
    <x v="4"/>
    <x v="4"/>
    <x v="4"/>
    <x v="4"/>
    <x v="138"/>
    <x v="175"/>
    <x v="133"/>
    <x v="186"/>
    <x v="82"/>
    <x v="80"/>
    <x v="6"/>
  </r>
  <r>
    <x v="0"/>
    <x v="11"/>
    <x v="11"/>
    <x v="6"/>
    <x v="6"/>
    <x v="6"/>
    <x v="5"/>
    <x v="66"/>
    <x v="176"/>
    <x v="94"/>
    <x v="34"/>
    <x v="96"/>
    <x v="174"/>
    <x v="2"/>
  </r>
  <r>
    <x v="0"/>
    <x v="11"/>
    <x v="11"/>
    <x v="9"/>
    <x v="9"/>
    <x v="9"/>
    <x v="6"/>
    <x v="121"/>
    <x v="136"/>
    <x v="71"/>
    <x v="187"/>
    <x v="62"/>
    <x v="175"/>
    <x v="2"/>
  </r>
  <r>
    <x v="0"/>
    <x v="11"/>
    <x v="11"/>
    <x v="16"/>
    <x v="16"/>
    <x v="16"/>
    <x v="7"/>
    <x v="123"/>
    <x v="177"/>
    <x v="134"/>
    <x v="188"/>
    <x v="34"/>
    <x v="176"/>
    <x v="2"/>
  </r>
  <r>
    <x v="0"/>
    <x v="11"/>
    <x v="11"/>
    <x v="15"/>
    <x v="15"/>
    <x v="15"/>
    <x v="7"/>
    <x v="123"/>
    <x v="177"/>
    <x v="60"/>
    <x v="189"/>
    <x v="98"/>
    <x v="177"/>
    <x v="2"/>
  </r>
  <r>
    <x v="0"/>
    <x v="11"/>
    <x v="11"/>
    <x v="10"/>
    <x v="10"/>
    <x v="10"/>
    <x v="9"/>
    <x v="70"/>
    <x v="178"/>
    <x v="135"/>
    <x v="190"/>
    <x v="66"/>
    <x v="178"/>
    <x v="2"/>
  </r>
  <r>
    <x v="0"/>
    <x v="11"/>
    <x v="11"/>
    <x v="30"/>
    <x v="30"/>
    <x v="30"/>
    <x v="10"/>
    <x v="73"/>
    <x v="7"/>
    <x v="28"/>
    <x v="191"/>
    <x v="53"/>
    <x v="179"/>
    <x v="2"/>
  </r>
  <r>
    <x v="0"/>
    <x v="11"/>
    <x v="11"/>
    <x v="8"/>
    <x v="8"/>
    <x v="8"/>
    <x v="11"/>
    <x v="139"/>
    <x v="66"/>
    <x v="35"/>
    <x v="192"/>
    <x v="54"/>
    <x v="180"/>
    <x v="2"/>
  </r>
  <r>
    <x v="0"/>
    <x v="11"/>
    <x v="11"/>
    <x v="1"/>
    <x v="1"/>
    <x v="1"/>
    <x v="11"/>
    <x v="139"/>
    <x v="66"/>
    <x v="75"/>
    <x v="79"/>
    <x v="66"/>
    <x v="178"/>
    <x v="2"/>
  </r>
  <r>
    <x v="0"/>
    <x v="11"/>
    <x v="11"/>
    <x v="13"/>
    <x v="13"/>
    <x v="13"/>
    <x v="13"/>
    <x v="124"/>
    <x v="169"/>
    <x v="71"/>
    <x v="187"/>
    <x v="103"/>
    <x v="181"/>
    <x v="2"/>
  </r>
  <r>
    <x v="0"/>
    <x v="11"/>
    <x v="11"/>
    <x v="12"/>
    <x v="12"/>
    <x v="12"/>
    <x v="14"/>
    <x v="97"/>
    <x v="179"/>
    <x v="44"/>
    <x v="19"/>
    <x v="44"/>
    <x v="173"/>
    <x v="2"/>
  </r>
  <r>
    <x v="0"/>
    <x v="11"/>
    <x v="11"/>
    <x v="31"/>
    <x v="31"/>
    <x v="31"/>
    <x v="15"/>
    <x v="125"/>
    <x v="68"/>
    <x v="75"/>
    <x v="79"/>
    <x v="82"/>
    <x v="80"/>
    <x v="2"/>
  </r>
  <r>
    <x v="0"/>
    <x v="11"/>
    <x v="11"/>
    <x v="28"/>
    <x v="28"/>
    <x v="28"/>
    <x v="15"/>
    <x v="125"/>
    <x v="68"/>
    <x v="94"/>
    <x v="34"/>
    <x v="87"/>
    <x v="182"/>
    <x v="2"/>
  </r>
  <r>
    <x v="0"/>
    <x v="11"/>
    <x v="11"/>
    <x v="14"/>
    <x v="14"/>
    <x v="14"/>
    <x v="15"/>
    <x v="125"/>
    <x v="68"/>
    <x v="75"/>
    <x v="79"/>
    <x v="82"/>
    <x v="80"/>
    <x v="2"/>
  </r>
  <r>
    <x v="0"/>
    <x v="11"/>
    <x v="11"/>
    <x v="27"/>
    <x v="27"/>
    <x v="27"/>
    <x v="18"/>
    <x v="140"/>
    <x v="71"/>
    <x v="51"/>
    <x v="193"/>
    <x v="87"/>
    <x v="182"/>
    <x v="2"/>
  </r>
  <r>
    <x v="0"/>
    <x v="11"/>
    <x v="11"/>
    <x v="11"/>
    <x v="11"/>
    <x v="11"/>
    <x v="18"/>
    <x v="140"/>
    <x v="71"/>
    <x v="86"/>
    <x v="194"/>
    <x v="68"/>
    <x v="183"/>
    <x v="2"/>
  </r>
  <r>
    <x v="0"/>
    <x v="12"/>
    <x v="12"/>
    <x v="0"/>
    <x v="0"/>
    <x v="0"/>
    <x v="0"/>
    <x v="141"/>
    <x v="180"/>
    <x v="136"/>
    <x v="195"/>
    <x v="103"/>
    <x v="181"/>
    <x v="2"/>
  </r>
  <r>
    <x v="0"/>
    <x v="12"/>
    <x v="12"/>
    <x v="4"/>
    <x v="4"/>
    <x v="4"/>
    <x v="1"/>
    <x v="124"/>
    <x v="181"/>
    <x v="96"/>
    <x v="196"/>
    <x v="53"/>
    <x v="107"/>
    <x v="0"/>
  </r>
  <r>
    <x v="0"/>
    <x v="12"/>
    <x v="12"/>
    <x v="3"/>
    <x v="3"/>
    <x v="3"/>
    <x v="2"/>
    <x v="107"/>
    <x v="182"/>
    <x v="35"/>
    <x v="197"/>
    <x v="68"/>
    <x v="184"/>
    <x v="2"/>
  </r>
  <r>
    <x v="0"/>
    <x v="12"/>
    <x v="12"/>
    <x v="14"/>
    <x v="14"/>
    <x v="14"/>
    <x v="3"/>
    <x v="142"/>
    <x v="183"/>
    <x v="77"/>
    <x v="198"/>
    <x v="82"/>
    <x v="185"/>
    <x v="6"/>
  </r>
  <r>
    <x v="0"/>
    <x v="12"/>
    <x v="12"/>
    <x v="2"/>
    <x v="2"/>
    <x v="2"/>
    <x v="4"/>
    <x v="143"/>
    <x v="184"/>
    <x v="75"/>
    <x v="199"/>
    <x v="103"/>
    <x v="181"/>
    <x v="2"/>
  </r>
  <r>
    <x v="0"/>
    <x v="12"/>
    <x v="12"/>
    <x v="1"/>
    <x v="1"/>
    <x v="1"/>
    <x v="5"/>
    <x v="144"/>
    <x v="74"/>
    <x v="77"/>
    <x v="198"/>
    <x v="103"/>
    <x v="181"/>
    <x v="2"/>
  </r>
  <r>
    <x v="0"/>
    <x v="12"/>
    <x v="12"/>
    <x v="23"/>
    <x v="23"/>
    <x v="23"/>
    <x v="6"/>
    <x v="145"/>
    <x v="185"/>
    <x v="66"/>
    <x v="200"/>
    <x v="87"/>
    <x v="186"/>
    <x v="2"/>
  </r>
  <r>
    <x v="0"/>
    <x v="12"/>
    <x v="12"/>
    <x v="5"/>
    <x v="5"/>
    <x v="5"/>
    <x v="6"/>
    <x v="145"/>
    <x v="185"/>
    <x v="111"/>
    <x v="201"/>
    <x v="53"/>
    <x v="107"/>
    <x v="2"/>
  </r>
  <r>
    <x v="0"/>
    <x v="12"/>
    <x v="12"/>
    <x v="15"/>
    <x v="15"/>
    <x v="15"/>
    <x v="6"/>
    <x v="145"/>
    <x v="185"/>
    <x v="88"/>
    <x v="94"/>
    <x v="103"/>
    <x v="181"/>
    <x v="2"/>
  </r>
  <r>
    <x v="0"/>
    <x v="12"/>
    <x v="12"/>
    <x v="24"/>
    <x v="24"/>
    <x v="24"/>
    <x v="9"/>
    <x v="146"/>
    <x v="29"/>
    <x v="111"/>
    <x v="201"/>
    <x v="103"/>
    <x v="181"/>
    <x v="2"/>
  </r>
  <r>
    <x v="0"/>
    <x v="12"/>
    <x v="12"/>
    <x v="19"/>
    <x v="19"/>
    <x v="19"/>
    <x v="9"/>
    <x v="146"/>
    <x v="29"/>
    <x v="95"/>
    <x v="202"/>
    <x v="68"/>
    <x v="184"/>
    <x v="2"/>
  </r>
  <r>
    <x v="0"/>
    <x v="12"/>
    <x v="12"/>
    <x v="9"/>
    <x v="9"/>
    <x v="9"/>
    <x v="11"/>
    <x v="147"/>
    <x v="186"/>
    <x v="66"/>
    <x v="200"/>
    <x v="103"/>
    <x v="181"/>
    <x v="2"/>
  </r>
  <r>
    <x v="0"/>
    <x v="12"/>
    <x v="12"/>
    <x v="18"/>
    <x v="18"/>
    <x v="18"/>
    <x v="11"/>
    <x v="147"/>
    <x v="186"/>
    <x v="95"/>
    <x v="202"/>
    <x v="53"/>
    <x v="107"/>
    <x v="2"/>
  </r>
  <r>
    <x v="0"/>
    <x v="12"/>
    <x v="12"/>
    <x v="6"/>
    <x v="6"/>
    <x v="6"/>
    <x v="13"/>
    <x v="148"/>
    <x v="158"/>
    <x v="95"/>
    <x v="202"/>
    <x v="53"/>
    <x v="107"/>
    <x v="2"/>
  </r>
  <r>
    <x v="0"/>
    <x v="12"/>
    <x v="12"/>
    <x v="10"/>
    <x v="10"/>
    <x v="10"/>
    <x v="13"/>
    <x v="148"/>
    <x v="158"/>
    <x v="95"/>
    <x v="202"/>
    <x v="53"/>
    <x v="107"/>
    <x v="2"/>
  </r>
  <r>
    <x v="0"/>
    <x v="12"/>
    <x v="12"/>
    <x v="32"/>
    <x v="32"/>
    <x v="32"/>
    <x v="13"/>
    <x v="148"/>
    <x v="158"/>
    <x v="134"/>
    <x v="188"/>
    <x v="87"/>
    <x v="186"/>
    <x v="2"/>
  </r>
  <r>
    <x v="0"/>
    <x v="12"/>
    <x v="12"/>
    <x v="28"/>
    <x v="28"/>
    <x v="28"/>
    <x v="13"/>
    <x v="148"/>
    <x v="158"/>
    <x v="119"/>
    <x v="203"/>
    <x v="103"/>
    <x v="181"/>
    <x v="2"/>
  </r>
  <r>
    <x v="0"/>
    <x v="12"/>
    <x v="12"/>
    <x v="25"/>
    <x v="25"/>
    <x v="25"/>
    <x v="13"/>
    <x v="148"/>
    <x v="158"/>
    <x v="95"/>
    <x v="202"/>
    <x v="53"/>
    <x v="107"/>
    <x v="2"/>
  </r>
  <r>
    <x v="0"/>
    <x v="12"/>
    <x v="12"/>
    <x v="8"/>
    <x v="8"/>
    <x v="8"/>
    <x v="13"/>
    <x v="148"/>
    <x v="158"/>
    <x v="119"/>
    <x v="203"/>
    <x v="103"/>
    <x v="181"/>
    <x v="2"/>
  </r>
  <r>
    <x v="0"/>
    <x v="12"/>
    <x v="12"/>
    <x v="11"/>
    <x v="11"/>
    <x v="11"/>
    <x v="13"/>
    <x v="148"/>
    <x v="158"/>
    <x v="119"/>
    <x v="203"/>
    <x v="103"/>
    <x v="181"/>
    <x v="2"/>
  </r>
  <r>
    <x v="0"/>
    <x v="12"/>
    <x v="12"/>
    <x v="13"/>
    <x v="13"/>
    <x v="13"/>
    <x v="13"/>
    <x v="148"/>
    <x v="158"/>
    <x v="119"/>
    <x v="203"/>
    <x v="103"/>
    <x v="181"/>
    <x v="2"/>
  </r>
  <r>
    <x v="0"/>
    <x v="13"/>
    <x v="13"/>
    <x v="3"/>
    <x v="3"/>
    <x v="3"/>
    <x v="0"/>
    <x v="107"/>
    <x v="187"/>
    <x v="78"/>
    <x v="204"/>
    <x v="103"/>
    <x v="181"/>
    <x v="2"/>
  </r>
  <r>
    <x v="0"/>
    <x v="13"/>
    <x v="13"/>
    <x v="4"/>
    <x v="4"/>
    <x v="4"/>
    <x v="1"/>
    <x v="144"/>
    <x v="188"/>
    <x v="36"/>
    <x v="205"/>
    <x v="103"/>
    <x v="181"/>
    <x v="6"/>
  </r>
  <r>
    <x v="0"/>
    <x v="13"/>
    <x v="13"/>
    <x v="31"/>
    <x v="31"/>
    <x v="31"/>
    <x v="2"/>
    <x v="149"/>
    <x v="189"/>
    <x v="44"/>
    <x v="206"/>
    <x v="53"/>
    <x v="187"/>
    <x v="2"/>
  </r>
  <r>
    <x v="0"/>
    <x v="13"/>
    <x v="13"/>
    <x v="6"/>
    <x v="6"/>
    <x v="6"/>
    <x v="3"/>
    <x v="150"/>
    <x v="190"/>
    <x v="95"/>
    <x v="79"/>
    <x v="77"/>
    <x v="188"/>
    <x v="2"/>
  </r>
  <r>
    <x v="0"/>
    <x v="13"/>
    <x v="13"/>
    <x v="2"/>
    <x v="2"/>
    <x v="2"/>
    <x v="4"/>
    <x v="151"/>
    <x v="191"/>
    <x v="87"/>
    <x v="196"/>
    <x v="103"/>
    <x v="181"/>
    <x v="2"/>
  </r>
  <r>
    <x v="0"/>
    <x v="13"/>
    <x v="13"/>
    <x v="5"/>
    <x v="5"/>
    <x v="5"/>
    <x v="4"/>
    <x v="151"/>
    <x v="191"/>
    <x v="134"/>
    <x v="188"/>
    <x v="53"/>
    <x v="187"/>
    <x v="1"/>
  </r>
  <r>
    <x v="0"/>
    <x v="13"/>
    <x v="13"/>
    <x v="0"/>
    <x v="0"/>
    <x v="0"/>
    <x v="6"/>
    <x v="146"/>
    <x v="192"/>
    <x v="119"/>
    <x v="94"/>
    <x v="53"/>
    <x v="187"/>
    <x v="6"/>
  </r>
  <r>
    <x v="0"/>
    <x v="13"/>
    <x v="13"/>
    <x v="33"/>
    <x v="33"/>
    <x v="33"/>
    <x v="6"/>
    <x v="146"/>
    <x v="192"/>
    <x v="134"/>
    <x v="188"/>
    <x v="103"/>
    <x v="181"/>
    <x v="3"/>
  </r>
  <r>
    <x v="0"/>
    <x v="13"/>
    <x v="13"/>
    <x v="32"/>
    <x v="32"/>
    <x v="32"/>
    <x v="8"/>
    <x v="147"/>
    <x v="26"/>
    <x v="134"/>
    <x v="188"/>
    <x v="68"/>
    <x v="189"/>
    <x v="2"/>
  </r>
  <r>
    <x v="0"/>
    <x v="13"/>
    <x v="13"/>
    <x v="28"/>
    <x v="28"/>
    <x v="28"/>
    <x v="8"/>
    <x v="147"/>
    <x v="26"/>
    <x v="66"/>
    <x v="207"/>
    <x v="103"/>
    <x v="181"/>
    <x v="2"/>
  </r>
  <r>
    <x v="0"/>
    <x v="13"/>
    <x v="13"/>
    <x v="16"/>
    <x v="16"/>
    <x v="16"/>
    <x v="8"/>
    <x v="147"/>
    <x v="26"/>
    <x v="134"/>
    <x v="188"/>
    <x v="68"/>
    <x v="189"/>
    <x v="2"/>
  </r>
  <r>
    <x v="0"/>
    <x v="13"/>
    <x v="13"/>
    <x v="34"/>
    <x v="34"/>
    <x v="34"/>
    <x v="11"/>
    <x v="148"/>
    <x v="109"/>
    <x v="134"/>
    <x v="188"/>
    <x v="103"/>
    <x v="181"/>
    <x v="2"/>
  </r>
  <r>
    <x v="0"/>
    <x v="13"/>
    <x v="13"/>
    <x v="24"/>
    <x v="24"/>
    <x v="24"/>
    <x v="11"/>
    <x v="148"/>
    <x v="109"/>
    <x v="134"/>
    <x v="188"/>
    <x v="87"/>
    <x v="190"/>
    <x v="2"/>
  </r>
  <r>
    <x v="0"/>
    <x v="13"/>
    <x v="13"/>
    <x v="11"/>
    <x v="11"/>
    <x v="11"/>
    <x v="11"/>
    <x v="148"/>
    <x v="109"/>
    <x v="119"/>
    <x v="94"/>
    <x v="103"/>
    <x v="181"/>
    <x v="2"/>
  </r>
  <r>
    <x v="0"/>
    <x v="13"/>
    <x v="13"/>
    <x v="12"/>
    <x v="12"/>
    <x v="12"/>
    <x v="11"/>
    <x v="148"/>
    <x v="109"/>
    <x v="134"/>
    <x v="188"/>
    <x v="87"/>
    <x v="190"/>
    <x v="2"/>
  </r>
  <r>
    <x v="0"/>
    <x v="13"/>
    <x v="13"/>
    <x v="14"/>
    <x v="14"/>
    <x v="14"/>
    <x v="11"/>
    <x v="148"/>
    <x v="109"/>
    <x v="95"/>
    <x v="79"/>
    <x v="53"/>
    <x v="187"/>
    <x v="2"/>
  </r>
  <r>
    <x v="0"/>
    <x v="13"/>
    <x v="13"/>
    <x v="9"/>
    <x v="9"/>
    <x v="9"/>
    <x v="16"/>
    <x v="152"/>
    <x v="159"/>
    <x v="95"/>
    <x v="79"/>
    <x v="103"/>
    <x v="181"/>
    <x v="2"/>
  </r>
  <r>
    <x v="0"/>
    <x v="13"/>
    <x v="13"/>
    <x v="23"/>
    <x v="23"/>
    <x v="23"/>
    <x v="16"/>
    <x v="152"/>
    <x v="159"/>
    <x v="95"/>
    <x v="79"/>
    <x v="103"/>
    <x v="181"/>
    <x v="2"/>
  </r>
  <r>
    <x v="0"/>
    <x v="13"/>
    <x v="13"/>
    <x v="35"/>
    <x v="35"/>
    <x v="35"/>
    <x v="16"/>
    <x v="152"/>
    <x v="159"/>
    <x v="95"/>
    <x v="79"/>
    <x v="103"/>
    <x v="181"/>
    <x v="2"/>
  </r>
  <r>
    <x v="0"/>
    <x v="13"/>
    <x v="13"/>
    <x v="36"/>
    <x v="36"/>
    <x v="36"/>
    <x v="16"/>
    <x v="152"/>
    <x v="159"/>
    <x v="95"/>
    <x v="79"/>
    <x v="103"/>
    <x v="181"/>
    <x v="2"/>
  </r>
  <r>
    <x v="0"/>
    <x v="13"/>
    <x v="13"/>
    <x v="37"/>
    <x v="37"/>
    <x v="37"/>
    <x v="16"/>
    <x v="152"/>
    <x v="159"/>
    <x v="134"/>
    <x v="188"/>
    <x v="53"/>
    <x v="187"/>
    <x v="2"/>
  </r>
  <r>
    <x v="0"/>
    <x v="13"/>
    <x v="13"/>
    <x v="30"/>
    <x v="30"/>
    <x v="30"/>
    <x v="16"/>
    <x v="152"/>
    <x v="159"/>
    <x v="95"/>
    <x v="79"/>
    <x v="103"/>
    <x v="181"/>
    <x v="2"/>
  </r>
  <r>
    <x v="0"/>
    <x v="13"/>
    <x v="13"/>
    <x v="8"/>
    <x v="8"/>
    <x v="8"/>
    <x v="16"/>
    <x v="152"/>
    <x v="159"/>
    <x v="95"/>
    <x v="79"/>
    <x v="103"/>
    <x v="181"/>
    <x v="2"/>
  </r>
  <r>
    <x v="0"/>
    <x v="13"/>
    <x v="13"/>
    <x v="26"/>
    <x v="26"/>
    <x v="26"/>
    <x v="16"/>
    <x v="152"/>
    <x v="159"/>
    <x v="134"/>
    <x v="188"/>
    <x v="53"/>
    <x v="187"/>
    <x v="2"/>
  </r>
  <r>
    <x v="0"/>
    <x v="13"/>
    <x v="13"/>
    <x v="19"/>
    <x v="19"/>
    <x v="19"/>
    <x v="16"/>
    <x v="152"/>
    <x v="159"/>
    <x v="134"/>
    <x v="188"/>
    <x v="53"/>
    <x v="187"/>
    <x v="2"/>
  </r>
  <r>
    <x v="0"/>
    <x v="13"/>
    <x v="13"/>
    <x v="18"/>
    <x v="18"/>
    <x v="18"/>
    <x v="16"/>
    <x v="152"/>
    <x v="159"/>
    <x v="95"/>
    <x v="79"/>
    <x v="103"/>
    <x v="181"/>
    <x v="2"/>
  </r>
  <r>
    <x v="0"/>
    <x v="14"/>
    <x v="14"/>
    <x v="3"/>
    <x v="3"/>
    <x v="3"/>
    <x v="0"/>
    <x v="153"/>
    <x v="193"/>
    <x v="77"/>
    <x v="208"/>
    <x v="53"/>
    <x v="186"/>
    <x v="6"/>
  </r>
  <r>
    <x v="0"/>
    <x v="14"/>
    <x v="14"/>
    <x v="4"/>
    <x v="4"/>
    <x v="4"/>
    <x v="1"/>
    <x v="151"/>
    <x v="194"/>
    <x v="88"/>
    <x v="209"/>
    <x v="103"/>
    <x v="181"/>
    <x v="6"/>
  </r>
  <r>
    <x v="0"/>
    <x v="14"/>
    <x v="14"/>
    <x v="0"/>
    <x v="0"/>
    <x v="0"/>
    <x v="2"/>
    <x v="145"/>
    <x v="195"/>
    <x v="88"/>
    <x v="209"/>
    <x v="103"/>
    <x v="181"/>
    <x v="2"/>
  </r>
  <r>
    <x v="0"/>
    <x v="14"/>
    <x v="14"/>
    <x v="14"/>
    <x v="14"/>
    <x v="14"/>
    <x v="3"/>
    <x v="146"/>
    <x v="189"/>
    <x v="95"/>
    <x v="210"/>
    <x v="68"/>
    <x v="191"/>
    <x v="2"/>
  </r>
  <r>
    <x v="0"/>
    <x v="14"/>
    <x v="14"/>
    <x v="6"/>
    <x v="6"/>
    <x v="6"/>
    <x v="4"/>
    <x v="147"/>
    <x v="191"/>
    <x v="95"/>
    <x v="210"/>
    <x v="87"/>
    <x v="185"/>
    <x v="2"/>
  </r>
  <r>
    <x v="0"/>
    <x v="14"/>
    <x v="14"/>
    <x v="23"/>
    <x v="23"/>
    <x v="23"/>
    <x v="5"/>
    <x v="148"/>
    <x v="192"/>
    <x v="119"/>
    <x v="211"/>
    <x v="103"/>
    <x v="181"/>
    <x v="2"/>
  </r>
  <r>
    <x v="0"/>
    <x v="14"/>
    <x v="14"/>
    <x v="36"/>
    <x v="36"/>
    <x v="36"/>
    <x v="5"/>
    <x v="148"/>
    <x v="192"/>
    <x v="119"/>
    <x v="211"/>
    <x v="103"/>
    <x v="181"/>
    <x v="2"/>
  </r>
  <r>
    <x v="0"/>
    <x v="14"/>
    <x v="14"/>
    <x v="18"/>
    <x v="18"/>
    <x v="18"/>
    <x v="5"/>
    <x v="148"/>
    <x v="192"/>
    <x v="134"/>
    <x v="188"/>
    <x v="87"/>
    <x v="185"/>
    <x v="2"/>
  </r>
  <r>
    <x v="0"/>
    <x v="14"/>
    <x v="14"/>
    <x v="10"/>
    <x v="10"/>
    <x v="10"/>
    <x v="8"/>
    <x v="152"/>
    <x v="109"/>
    <x v="134"/>
    <x v="188"/>
    <x v="53"/>
    <x v="186"/>
    <x v="2"/>
  </r>
  <r>
    <x v="0"/>
    <x v="14"/>
    <x v="14"/>
    <x v="35"/>
    <x v="35"/>
    <x v="35"/>
    <x v="8"/>
    <x v="152"/>
    <x v="109"/>
    <x v="95"/>
    <x v="210"/>
    <x v="103"/>
    <x v="181"/>
    <x v="2"/>
  </r>
  <r>
    <x v="0"/>
    <x v="14"/>
    <x v="14"/>
    <x v="37"/>
    <x v="37"/>
    <x v="37"/>
    <x v="8"/>
    <x v="152"/>
    <x v="109"/>
    <x v="134"/>
    <x v="188"/>
    <x v="53"/>
    <x v="186"/>
    <x v="2"/>
  </r>
  <r>
    <x v="0"/>
    <x v="14"/>
    <x v="14"/>
    <x v="28"/>
    <x v="28"/>
    <x v="28"/>
    <x v="8"/>
    <x v="152"/>
    <x v="109"/>
    <x v="95"/>
    <x v="210"/>
    <x v="103"/>
    <x v="181"/>
    <x v="2"/>
  </r>
  <r>
    <x v="0"/>
    <x v="14"/>
    <x v="14"/>
    <x v="22"/>
    <x v="22"/>
    <x v="22"/>
    <x v="8"/>
    <x v="152"/>
    <x v="109"/>
    <x v="134"/>
    <x v="188"/>
    <x v="53"/>
    <x v="186"/>
    <x v="2"/>
  </r>
  <r>
    <x v="0"/>
    <x v="14"/>
    <x v="14"/>
    <x v="8"/>
    <x v="8"/>
    <x v="8"/>
    <x v="8"/>
    <x v="152"/>
    <x v="109"/>
    <x v="95"/>
    <x v="210"/>
    <x v="103"/>
    <x v="181"/>
    <x v="2"/>
  </r>
  <r>
    <x v="0"/>
    <x v="14"/>
    <x v="14"/>
    <x v="11"/>
    <x v="11"/>
    <x v="11"/>
    <x v="8"/>
    <x v="152"/>
    <x v="109"/>
    <x v="134"/>
    <x v="188"/>
    <x v="53"/>
    <x v="186"/>
    <x v="2"/>
  </r>
  <r>
    <x v="0"/>
    <x v="14"/>
    <x v="14"/>
    <x v="19"/>
    <x v="19"/>
    <x v="19"/>
    <x v="8"/>
    <x v="152"/>
    <x v="109"/>
    <x v="134"/>
    <x v="188"/>
    <x v="53"/>
    <x v="186"/>
    <x v="2"/>
  </r>
  <r>
    <x v="0"/>
    <x v="14"/>
    <x v="14"/>
    <x v="5"/>
    <x v="5"/>
    <x v="5"/>
    <x v="8"/>
    <x v="152"/>
    <x v="109"/>
    <x v="134"/>
    <x v="188"/>
    <x v="103"/>
    <x v="181"/>
    <x v="6"/>
  </r>
  <r>
    <x v="0"/>
    <x v="14"/>
    <x v="14"/>
    <x v="13"/>
    <x v="13"/>
    <x v="13"/>
    <x v="8"/>
    <x v="152"/>
    <x v="109"/>
    <x v="134"/>
    <x v="188"/>
    <x v="103"/>
    <x v="181"/>
    <x v="2"/>
  </r>
  <r>
    <x v="0"/>
    <x v="14"/>
    <x v="14"/>
    <x v="15"/>
    <x v="15"/>
    <x v="15"/>
    <x v="8"/>
    <x v="152"/>
    <x v="109"/>
    <x v="95"/>
    <x v="210"/>
    <x v="103"/>
    <x v="181"/>
    <x v="2"/>
  </r>
  <r>
    <x v="0"/>
    <x v="15"/>
    <x v="15"/>
    <x v="0"/>
    <x v="0"/>
    <x v="0"/>
    <x v="0"/>
    <x v="154"/>
    <x v="196"/>
    <x v="46"/>
    <x v="212"/>
    <x v="82"/>
    <x v="192"/>
    <x v="2"/>
  </r>
  <r>
    <x v="0"/>
    <x v="15"/>
    <x v="15"/>
    <x v="14"/>
    <x v="14"/>
    <x v="14"/>
    <x v="1"/>
    <x v="137"/>
    <x v="197"/>
    <x v="97"/>
    <x v="213"/>
    <x v="84"/>
    <x v="193"/>
    <x v="2"/>
  </r>
  <r>
    <x v="0"/>
    <x v="15"/>
    <x v="15"/>
    <x v="3"/>
    <x v="3"/>
    <x v="3"/>
    <x v="2"/>
    <x v="155"/>
    <x v="198"/>
    <x v="109"/>
    <x v="205"/>
    <x v="87"/>
    <x v="133"/>
    <x v="2"/>
  </r>
  <r>
    <x v="0"/>
    <x v="15"/>
    <x v="15"/>
    <x v="4"/>
    <x v="4"/>
    <x v="4"/>
    <x v="3"/>
    <x v="139"/>
    <x v="199"/>
    <x v="50"/>
    <x v="214"/>
    <x v="53"/>
    <x v="194"/>
    <x v="2"/>
  </r>
  <r>
    <x v="0"/>
    <x v="15"/>
    <x v="15"/>
    <x v="2"/>
    <x v="2"/>
    <x v="2"/>
    <x v="3"/>
    <x v="139"/>
    <x v="199"/>
    <x v="50"/>
    <x v="214"/>
    <x v="53"/>
    <x v="194"/>
    <x v="2"/>
  </r>
  <r>
    <x v="0"/>
    <x v="15"/>
    <x v="15"/>
    <x v="1"/>
    <x v="1"/>
    <x v="1"/>
    <x v="5"/>
    <x v="156"/>
    <x v="200"/>
    <x v="75"/>
    <x v="215"/>
    <x v="68"/>
    <x v="195"/>
    <x v="2"/>
  </r>
  <r>
    <x v="0"/>
    <x v="15"/>
    <x v="15"/>
    <x v="6"/>
    <x v="6"/>
    <x v="6"/>
    <x v="6"/>
    <x v="143"/>
    <x v="201"/>
    <x v="95"/>
    <x v="216"/>
    <x v="66"/>
    <x v="196"/>
    <x v="2"/>
  </r>
  <r>
    <x v="0"/>
    <x v="15"/>
    <x v="15"/>
    <x v="10"/>
    <x v="10"/>
    <x v="10"/>
    <x v="7"/>
    <x v="144"/>
    <x v="202"/>
    <x v="77"/>
    <x v="217"/>
    <x v="103"/>
    <x v="181"/>
    <x v="2"/>
  </r>
  <r>
    <x v="0"/>
    <x v="15"/>
    <x v="15"/>
    <x v="5"/>
    <x v="5"/>
    <x v="5"/>
    <x v="7"/>
    <x v="144"/>
    <x v="202"/>
    <x v="36"/>
    <x v="218"/>
    <x v="103"/>
    <x v="181"/>
    <x v="6"/>
  </r>
  <r>
    <x v="0"/>
    <x v="15"/>
    <x v="15"/>
    <x v="23"/>
    <x v="23"/>
    <x v="23"/>
    <x v="9"/>
    <x v="150"/>
    <x v="203"/>
    <x v="66"/>
    <x v="219"/>
    <x v="82"/>
    <x v="192"/>
    <x v="2"/>
  </r>
  <r>
    <x v="0"/>
    <x v="15"/>
    <x v="15"/>
    <x v="15"/>
    <x v="15"/>
    <x v="15"/>
    <x v="9"/>
    <x v="150"/>
    <x v="203"/>
    <x v="44"/>
    <x v="220"/>
    <x v="103"/>
    <x v="181"/>
    <x v="2"/>
  </r>
  <r>
    <x v="0"/>
    <x v="15"/>
    <x v="15"/>
    <x v="18"/>
    <x v="18"/>
    <x v="18"/>
    <x v="11"/>
    <x v="151"/>
    <x v="110"/>
    <x v="88"/>
    <x v="221"/>
    <x v="53"/>
    <x v="194"/>
    <x v="2"/>
  </r>
  <r>
    <x v="0"/>
    <x v="15"/>
    <x v="15"/>
    <x v="9"/>
    <x v="9"/>
    <x v="9"/>
    <x v="12"/>
    <x v="145"/>
    <x v="204"/>
    <x v="119"/>
    <x v="222"/>
    <x v="68"/>
    <x v="195"/>
    <x v="2"/>
  </r>
  <r>
    <x v="0"/>
    <x v="15"/>
    <x v="15"/>
    <x v="8"/>
    <x v="8"/>
    <x v="8"/>
    <x v="12"/>
    <x v="145"/>
    <x v="204"/>
    <x v="111"/>
    <x v="223"/>
    <x v="53"/>
    <x v="194"/>
    <x v="2"/>
  </r>
  <r>
    <x v="0"/>
    <x v="15"/>
    <x v="15"/>
    <x v="16"/>
    <x v="16"/>
    <x v="16"/>
    <x v="12"/>
    <x v="145"/>
    <x v="204"/>
    <x v="95"/>
    <x v="216"/>
    <x v="68"/>
    <x v="195"/>
    <x v="2"/>
  </r>
  <r>
    <x v="0"/>
    <x v="15"/>
    <x v="15"/>
    <x v="33"/>
    <x v="33"/>
    <x v="33"/>
    <x v="12"/>
    <x v="145"/>
    <x v="204"/>
    <x v="134"/>
    <x v="188"/>
    <x v="103"/>
    <x v="181"/>
    <x v="1"/>
  </r>
  <r>
    <x v="0"/>
    <x v="15"/>
    <x v="15"/>
    <x v="26"/>
    <x v="26"/>
    <x v="26"/>
    <x v="16"/>
    <x v="146"/>
    <x v="36"/>
    <x v="66"/>
    <x v="219"/>
    <x v="53"/>
    <x v="194"/>
    <x v="2"/>
  </r>
  <r>
    <x v="0"/>
    <x v="15"/>
    <x v="15"/>
    <x v="29"/>
    <x v="29"/>
    <x v="29"/>
    <x v="17"/>
    <x v="147"/>
    <x v="205"/>
    <x v="95"/>
    <x v="216"/>
    <x v="87"/>
    <x v="133"/>
    <x v="2"/>
  </r>
  <r>
    <x v="0"/>
    <x v="15"/>
    <x v="15"/>
    <x v="32"/>
    <x v="32"/>
    <x v="32"/>
    <x v="18"/>
    <x v="148"/>
    <x v="206"/>
    <x v="95"/>
    <x v="216"/>
    <x v="53"/>
    <x v="194"/>
    <x v="2"/>
  </r>
  <r>
    <x v="0"/>
    <x v="15"/>
    <x v="15"/>
    <x v="35"/>
    <x v="35"/>
    <x v="35"/>
    <x v="18"/>
    <x v="148"/>
    <x v="206"/>
    <x v="119"/>
    <x v="222"/>
    <x v="103"/>
    <x v="181"/>
    <x v="2"/>
  </r>
  <r>
    <x v="0"/>
    <x v="15"/>
    <x v="15"/>
    <x v="31"/>
    <x v="31"/>
    <x v="31"/>
    <x v="18"/>
    <x v="148"/>
    <x v="206"/>
    <x v="95"/>
    <x v="216"/>
    <x v="53"/>
    <x v="194"/>
    <x v="2"/>
  </r>
  <r>
    <x v="0"/>
    <x v="15"/>
    <x v="15"/>
    <x v="27"/>
    <x v="27"/>
    <x v="27"/>
    <x v="18"/>
    <x v="148"/>
    <x v="206"/>
    <x v="119"/>
    <x v="222"/>
    <x v="103"/>
    <x v="181"/>
    <x v="2"/>
  </r>
  <r>
    <x v="0"/>
    <x v="15"/>
    <x v="15"/>
    <x v="38"/>
    <x v="38"/>
    <x v="38"/>
    <x v="18"/>
    <x v="148"/>
    <x v="206"/>
    <x v="134"/>
    <x v="188"/>
    <x v="103"/>
    <x v="181"/>
    <x v="2"/>
  </r>
  <r>
    <x v="0"/>
    <x v="15"/>
    <x v="15"/>
    <x v="25"/>
    <x v="25"/>
    <x v="25"/>
    <x v="18"/>
    <x v="148"/>
    <x v="206"/>
    <x v="134"/>
    <x v="188"/>
    <x v="87"/>
    <x v="133"/>
    <x v="2"/>
  </r>
  <r>
    <x v="0"/>
    <x v="15"/>
    <x v="15"/>
    <x v="11"/>
    <x v="11"/>
    <x v="11"/>
    <x v="18"/>
    <x v="148"/>
    <x v="206"/>
    <x v="119"/>
    <x v="222"/>
    <x v="103"/>
    <x v="181"/>
    <x v="2"/>
  </r>
  <r>
    <x v="0"/>
    <x v="15"/>
    <x v="15"/>
    <x v="12"/>
    <x v="12"/>
    <x v="12"/>
    <x v="18"/>
    <x v="148"/>
    <x v="206"/>
    <x v="119"/>
    <x v="222"/>
    <x v="103"/>
    <x v="181"/>
    <x v="2"/>
  </r>
  <r>
    <x v="0"/>
    <x v="15"/>
    <x v="15"/>
    <x v="39"/>
    <x v="39"/>
    <x v="39"/>
    <x v="18"/>
    <x v="148"/>
    <x v="206"/>
    <x v="119"/>
    <x v="222"/>
    <x v="103"/>
    <x v="181"/>
    <x v="2"/>
  </r>
  <r>
    <x v="0"/>
    <x v="16"/>
    <x v="16"/>
    <x v="0"/>
    <x v="0"/>
    <x v="0"/>
    <x v="0"/>
    <x v="157"/>
    <x v="207"/>
    <x v="137"/>
    <x v="224"/>
    <x v="84"/>
    <x v="197"/>
    <x v="6"/>
  </r>
  <r>
    <x v="0"/>
    <x v="16"/>
    <x v="16"/>
    <x v="4"/>
    <x v="4"/>
    <x v="4"/>
    <x v="1"/>
    <x v="116"/>
    <x v="208"/>
    <x v="138"/>
    <x v="225"/>
    <x v="103"/>
    <x v="181"/>
    <x v="2"/>
  </r>
  <r>
    <x v="0"/>
    <x v="16"/>
    <x v="16"/>
    <x v="3"/>
    <x v="3"/>
    <x v="3"/>
    <x v="2"/>
    <x v="86"/>
    <x v="2"/>
    <x v="79"/>
    <x v="226"/>
    <x v="67"/>
    <x v="88"/>
    <x v="2"/>
  </r>
  <r>
    <x v="0"/>
    <x v="16"/>
    <x v="16"/>
    <x v="2"/>
    <x v="2"/>
    <x v="2"/>
    <x v="3"/>
    <x v="92"/>
    <x v="209"/>
    <x v="84"/>
    <x v="227"/>
    <x v="87"/>
    <x v="92"/>
    <x v="2"/>
  </r>
  <r>
    <x v="0"/>
    <x v="16"/>
    <x v="16"/>
    <x v="14"/>
    <x v="14"/>
    <x v="14"/>
    <x v="4"/>
    <x v="70"/>
    <x v="210"/>
    <x v="28"/>
    <x v="228"/>
    <x v="54"/>
    <x v="198"/>
    <x v="2"/>
  </r>
  <r>
    <x v="0"/>
    <x v="16"/>
    <x v="16"/>
    <x v="23"/>
    <x v="23"/>
    <x v="23"/>
    <x v="5"/>
    <x v="97"/>
    <x v="211"/>
    <x v="75"/>
    <x v="229"/>
    <x v="98"/>
    <x v="199"/>
    <x v="2"/>
  </r>
  <r>
    <x v="0"/>
    <x v="16"/>
    <x v="16"/>
    <x v="1"/>
    <x v="1"/>
    <x v="1"/>
    <x v="6"/>
    <x v="125"/>
    <x v="166"/>
    <x v="77"/>
    <x v="230"/>
    <x v="54"/>
    <x v="198"/>
    <x v="2"/>
  </r>
  <r>
    <x v="0"/>
    <x v="16"/>
    <x v="16"/>
    <x v="5"/>
    <x v="5"/>
    <x v="5"/>
    <x v="6"/>
    <x v="125"/>
    <x v="166"/>
    <x v="94"/>
    <x v="191"/>
    <x v="103"/>
    <x v="181"/>
    <x v="3"/>
  </r>
  <r>
    <x v="0"/>
    <x v="16"/>
    <x v="16"/>
    <x v="6"/>
    <x v="6"/>
    <x v="6"/>
    <x v="8"/>
    <x v="142"/>
    <x v="212"/>
    <x v="66"/>
    <x v="231"/>
    <x v="66"/>
    <x v="200"/>
    <x v="2"/>
  </r>
  <r>
    <x v="0"/>
    <x v="16"/>
    <x v="16"/>
    <x v="18"/>
    <x v="18"/>
    <x v="18"/>
    <x v="9"/>
    <x v="158"/>
    <x v="213"/>
    <x v="88"/>
    <x v="232"/>
    <x v="82"/>
    <x v="201"/>
    <x v="6"/>
  </r>
  <r>
    <x v="0"/>
    <x v="16"/>
    <x v="16"/>
    <x v="9"/>
    <x v="9"/>
    <x v="9"/>
    <x v="10"/>
    <x v="144"/>
    <x v="214"/>
    <x v="111"/>
    <x v="233"/>
    <x v="98"/>
    <x v="199"/>
    <x v="2"/>
  </r>
  <r>
    <x v="0"/>
    <x v="16"/>
    <x v="16"/>
    <x v="7"/>
    <x v="7"/>
    <x v="7"/>
    <x v="10"/>
    <x v="144"/>
    <x v="214"/>
    <x v="77"/>
    <x v="230"/>
    <x v="103"/>
    <x v="181"/>
    <x v="2"/>
  </r>
  <r>
    <x v="0"/>
    <x v="16"/>
    <x v="16"/>
    <x v="24"/>
    <x v="24"/>
    <x v="24"/>
    <x v="12"/>
    <x v="149"/>
    <x v="215"/>
    <x v="36"/>
    <x v="234"/>
    <x v="103"/>
    <x v="181"/>
    <x v="2"/>
  </r>
  <r>
    <x v="0"/>
    <x v="16"/>
    <x v="16"/>
    <x v="12"/>
    <x v="12"/>
    <x v="12"/>
    <x v="12"/>
    <x v="149"/>
    <x v="215"/>
    <x v="88"/>
    <x v="232"/>
    <x v="87"/>
    <x v="92"/>
    <x v="2"/>
  </r>
  <r>
    <x v="0"/>
    <x v="16"/>
    <x v="16"/>
    <x v="10"/>
    <x v="10"/>
    <x v="10"/>
    <x v="14"/>
    <x v="151"/>
    <x v="216"/>
    <x v="111"/>
    <x v="233"/>
    <x v="87"/>
    <x v="92"/>
    <x v="2"/>
  </r>
  <r>
    <x v="0"/>
    <x v="16"/>
    <x v="16"/>
    <x v="11"/>
    <x v="11"/>
    <x v="11"/>
    <x v="14"/>
    <x v="151"/>
    <x v="216"/>
    <x v="111"/>
    <x v="233"/>
    <x v="87"/>
    <x v="92"/>
    <x v="2"/>
  </r>
  <r>
    <x v="0"/>
    <x v="16"/>
    <x v="16"/>
    <x v="13"/>
    <x v="13"/>
    <x v="13"/>
    <x v="14"/>
    <x v="151"/>
    <x v="216"/>
    <x v="111"/>
    <x v="233"/>
    <x v="87"/>
    <x v="92"/>
    <x v="2"/>
  </r>
  <r>
    <x v="0"/>
    <x v="16"/>
    <x v="16"/>
    <x v="31"/>
    <x v="31"/>
    <x v="31"/>
    <x v="17"/>
    <x v="146"/>
    <x v="217"/>
    <x v="66"/>
    <x v="231"/>
    <x v="53"/>
    <x v="202"/>
    <x v="2"/>
  </r>
  <r>
    <x v="0"/>
    <x v="16"/>
    <x v="16"/>
    <x v="27"/>
    <x v="27"/>
    <x v="27"/>
    <x v="17"/>
    <x v="146"/>
    <x v="217"/>
    <x v="111"/>
    <x v="233"/>
    <x v="103"/>
    <x v="181"/>
    <x v="2"/>
  </r>
  <r>
    <x v="0"/>
    <x v="16"/>
    <x v="16"/>
    <x v="22"/>
    <x v="22"/>
    <x v="22"/>
    <x v="17"/>
    <x v="146"/>
    <x v="217"/>
    <x v="119"/>
    <x v="235"/>
    <x v="87"/>
    <x v="92"/>
    <x v="2"/>
  </r>
  <r>
    <x v="0"/>
    <x v="16"/>
    <x v="16"/>
    <x v="8"/>
    <x v="8"/>
    <x v="8"/>
    <x v="17"/>
    <x v="146"/>
    <x v="217"/>
    <x v="111"/>
    <x v="233"/>
    <x v="103"/>
    <x v="181"/>
    <x v="2"/>
  </r>
  <r>
    <x v="0"/>
    <x v="16"/>
    <x v="16"/>
    <x v="26"/>
    <x v="26"/>
    <x v="26"/>
    <x v="17"/>
    <x v="146"/>
    <x v="217"/>
    <x v="111"/>
    <x v="233"/>
    <x v="103"/>
    <x v="181"/>
    <x v="2"/>
  </r>
  <r>
    <x v="0"/>
    <x v="17"/>
    <x v="17"/>
    <x v="3"/>
    <x v="3"/>
    <x v="3"/>
    <x v="0"/>
    <x v="94"/>
    <x v="218"/>
    <x v="35"/>
    <x v="236"/>
    <x v="67"/>
    <x v="203"/>
    <x v="2"/>
  </r>
  <r>
    <x v="0"/>
    <x v="17"/>
    <x v="17"/>
    <x v="4"/>
    <x v="4"/>
    <x v="4"/>
    <x v="1"/>
    <x v="159"/>
    <x v="219"/>
    <x v="65"/>
    <x v="237"/>
    <x v="82"/>
    <x v="106"/>
    <x v="2"/>
  </r>
  <r>
    <x v="0"/>
    <x v="17"/>
    <x v="17"/>
    <x v="18"/>
    <x v="18"/>
    <x v="18"/>
    <x v="2"/>
    <x v="96"/>
    <x v="220"/>
    <x v="87"/>
    <x v="238"/>
    <x v="83"/>
    <x v="204"/>
    <x v="2"/>
  </r>
  <r>
    <x v="0"/>
    <x v="17"/>
    <x v="17"/>
    <x v="1"/>
    <x v="1"/>
    <x v="1"/>
    <x v="3"/>
    <x v="156"/>
    <x v="221"/>
    <x v="36"/>
    <x v="239"/>
    <x v="54"/>
    <x v="205"/>
    <x v="2"/>
  </r>
  <r>
    <x v="0"/>
    <x v="17"/>
    <x v="17"/>
    <x v="0"/>
    <x v="0"/>
    <x v="0"/>
    <x v="3"/>
    <x v="156"/>
    <x v="221"/>
    <x v="75"/>
    <x v="240"/>
    <x v="68"/>
    <x v="206"/>
    <x v="2"/>
  </r>
  <r>
    <x v="0"/>
    <x v="17"/>
    <x v="17"/>
    <x v="6"/>
    <x v="6"/>
    <x v="6"/>
    <x v="5"/>
    <x v="142"/>
    <x v="222"/>
    <x v="134"/>
    <x v="188"/>
    <x v="58"/>
    <x v="207"/>
    <x v="2"/>
  </r>
  <r>
    <x v="0"/>
    <x v="17"/>
    <x v="17"/>
    <x v="14"/>
    <x v="14"/>
    <x v="14"/>
    <x v="6"/>
    <x v="158"/>
    <x v="24"/>
    <x v="88"/>
    <x v="241"/>
    <x v="98"/>
    <x v="150"/>
    <x v="2"/>
  </r>
  <r>
    <x v="0"/>
    <x v="17"/>
    <x v="17"/>
    <x v="2"/>
    <x v="2"/>
    <x v="2"/>
    <x v="7"/>
    <x v="144"/>
    <x v="223"/>
    <x v="77"/>
    <x v="242"/>
    <x v="103"/>
    <x v="181"/>
    <x v="2"/>
  </r>
  <r>
    <x v="0"/>
    <x v="17"/>
    <x v="17"/>
    <x v="5"/>
    <x v="5"/>
    <x v="5"/>
    <x v="7"/>
    <x v="144"/>
    <x v="223"/>
    <x v="87"/>
    <x v="238"/>
    <x v="87"/>
    <x v="208"/>
    <x v="6"/>
  </r>
  <r>
    <x v="0"/>
    <x v="17"/>
    <x v="17"/>
    <x v="9"/>
    <x v="9"/>
    <x v="9"/>
    <x v="9"/>
    <x v="151"/>
    <x v="224"/>
    <x v="134"/>
    <x v="188"/>
    <x v="77"/>
    <x v="209"/>
    <x v="2"/>
  </r>
  <r>
    <x v="0"/>
    <x v="17"/>
    <x v="17"/>
    <x v="19"/>
    <x v="19"/>
    <x v="19"/>
    <x v="9"/>
    <x v="151"/>
    <x v="224"/>
    <x v="66"/>
    <x v="243"/>
    <x v="68"/>
    <x v="206"/>
    <x v="2"/>
  </r>
  <r>
    <x v="0"/>
    <x v="17"/>
    <x v="17"/>
    <x v="23"/>
    <x v="23"/>
    <x v="23"/>
    <x v="11"/>
    <x v="145"/>
    <x v="144"/>
    <x v="66"/>
    <x v="243"/>
    <x v="87"/>
    <x v="208"/>
    <x v="2"/>
  </r>
  <r>
    <x v="0"/>
    <x v="17"/>
    <x v="17"/>
    <x v="31"/>
    <x v="31"/>
    <x v="31"/>
    <x v="12"/>
    <x v="146"/>
    <x v="225"/>
    <x v="111"/>
    <x v="244"/>
    <x v="103"/>
    <x v="181"/>
    <x v="2"/>
  </r>
  <r>
    <x v="0"/>
    <x v="17"/>
    <x v="17"/>
    <x v="17"/>
    <x v="17"/>
    <x v="17"/>
    <x v="12"/>
    <x v="146"/>
    <x v="225"/>
    <x v="134"/>
    <x v="188"/>
    <x v="82"/>
    <x v="106"/>
    <x v="2"/>
  </r>
  <r>
    <x v="0"/>
    <x v="17"/>
    <x v="17"/>
    <x v="15"/>
    <x v="15"/>
    <x v="15"/>
    <x v="12"/>
    <x v="146"/>
    <x v="225"/>
    <x v="111"/>
    <x v="244"/>
    <x v="103"/>
    <x v="181"/>
    <x v="2"/>
  </r>
  <r>
    <x v="0"/>
    <x v="17"/>
    <x v="17"/>
    <x v="39"/>
    <x v="39"/>
    <x v="39"/>
    <x v="15"/>
    <x v="147"/>
    <x v="226"/>
    <x v="134"/>
    <x v="188"/>
    <x v="87"/>
    <x v="208"/>
    <x v="2"/>
  </r>
  <r>
    <x v="0"/>
    <x v="17"/>
    <x v="17"/>
    <x v="10"/>
    <x v="10"/>
    <x v="10"/>
    <x v="16"/>
    <x v="148"/>
    <x v="227"/>
    <x v="95"/>
    <x v="33"/>
    <x v="53"/>
    <x v="160"/>
    <x v="2"/>
  </r>
  <r>
    <x v="0"/>
    <x v="17"/>
    <x v="17"/>
    <x v="27"/>
    <x v="27"/>
    <x v="27"/>
    <x v="16"/>
    <x v="148"/>
    <x v="227"/>
    <x v="95"/>
    <x v="33"/>
    <x v="53"/>
    <x v="160"/>
    <x v="2"/>
  </r>
  <r>
    <x v="0"/>
    <x v="17"/>
    <x v="17"/>
    <x v="40"/>
    <x v="40"/>
    <x v="40"/>
    <x v="16"/>
    <x v="148"/>
    <x v="227"/>
    <x v="95"/>
    <x v="33"/>
    <x v="53"/>
    <x v="160"/>
    <x v="2"/>
  </r>
  <r>
    <x v="0"/>
    <x v="17"/>
    <x v="17"/>
    <x v="24"/>
    <x v="24"/>
    <x v="24"/>
    <x v="16"/>
    <x v="148"/>
    <x v="227"/>
    <x v="119"/>
    <x v="51"/>
    <x v="103"/>
    <x v="181"/>
    <x v="2"/>
  </r>
  <r>
    <x v="0"/>
    <x v="17"/>
    <x v="17"/>
    <x v="7"/>
    <x v="7"/>
    <x v="7"/>
    <x v="16"/>
    <x v="148"/>
    <x v="227"/>
    <x v="95"/>
    <x v="33"/>
    <x v="53"/>
    <x v="160"/>
    <x v="2"/>
  </r>
  <r>
    <x v="0"/>
    <x v="17"/>
    <x v="17"/>
    <x v="12"/>
    <x v="12"/>
    <x v="12"/>
    <x v="16"/>
    <x v="148"/>
    <x v="227"/>
    <x v="95"/>
    <x v="33"/>
    <x v="53"/>
    <x v="160"/>
    <x v="2"/>
  </r>
  <r>
    <x v="0"/>
    <x v="17"/>
    <x v="17"/>
    <x v="13"/>
    <x v="13"/>
    <x v="13"/>
    <x v="16"/>
    <x v="148"/>
    <x v="227"/>
    <x v="119"/>
    <x v="51"/>
    <x v="103"/>
    <x v="181"/>
    <x v="2"/>
  </r>
  <r>
    <x v="0"/>
    <x v="17"/>
    <x v="17"/>
    <x v="16"/>
    <x v="16"/>
    <x v="16"/>
    <x v="16"/>
    <x v="148"/>
    <x v="227"/>
    <x v="134"/>
    <x v="188"/>
    <x v="87"/>
    <x v="208"/>
    <x v="2"/>
  </r>
  <r>
    <x v="0"/>
    <x v="17"/>
    <x v="17"/>
    <x v="21"/>
    <x v="21"/>
    <x v="21"/>
    <x v="16"/>
    <x v="148"/>
    <x v="227"/>
    <x v="95"/>
    <x v="33"/>
    <x v="53"/>
    <x v="160"/>
    <x v="2"/>
  </r>
  <r>
    <x v="0"/>
    <x v="18"/>
    <x v="18"/>
    <x v="0"/>
    <x v="0"/>
    <x v="0"/>
    <x v="0"/>
    <x v="140"/>
    <x v="228"/>
    <x v="75"/>
    <x v="245"/>
    <x v="53"/>
    <x v="166"/>
    <x v="2"/>
  </r>
  <r>
    <x v="0"/>
    <x v="18"/>
    <x v="18"/>
    <x v="6"/>
    <x v="6"/>
    <x v="6"/>
    <x v="1"/>
    <x v="153"/>
    <x v="229"/>
    <x v="119"/>
    <x v="246"/>
    <x v="57"/>
    <x v="191"/>
    <x v="2"/>
  </r>
  <r>
    <x v="0"/>
    <x v="18"/>
    <x v="18"/>
    <x v="1"/>
    <x v="1"/>
    <x v="1"/>
    <x v="1"/>
    <x v="153"/>
    <x v="229"/>
    <x v="77"/>
    <x v="247"/>
    <x v="87"/>
    <x v="210"/>
    <x v="2"/>
  </r>
  <r>
    <x v="0"/>
    <x v="18"/>
    <x v="18"/>
    <x v="9"/>
    <x v="9"/>
    <x v="9"/>
    <x v="3"/>
    <x v="158"/>
    <x v="230"/>
    <x v="87"/>
    <x v="248"/>
    <x v="82"/>
    <x v="211"/>
    <x v="2"/>
  </r>
  <r>
    <x v="0"/>
    <x v="18"/>
    <x v="18"/>
    <x v="4"/>
    <x v="4"/>
    <x v="4"/>
    <x v="3"/>
    <x v="158"/>
    <x v="230"/>
    <x v="86"/>
    <x v="249"/>
    <x v="103"/>
    <x v="181"/>
    <x v="2"/>
  </r>
  <r>
    <x v="0"/>
    <x v="18"/>
    <x v="18"/>
    <x v="2"/>
    <x v="2"/>
    <x v="2"/>
    <x v="3"/>
    <x v="158"/>
    <x v="230"/>
    <x v="86"/>
    <x v="249"/>
    <x v="103"/>
    <x v="181"/>
    <x v="2"/>
  </r>
  <r>
    <x v="0"/>
    <x v="18"/>
    <x v="18"/>
    <x v="18"/>
    <x v="18"/>
    <x v="18"/>
    <x v="3"/>
    <x v="158"/>
    <x v="230"/>
    <x v="111"/>
    <x v="26"/>
    <x v="103"/>
    <x v="181"/>
    <x v="6"/>
  </r>
  <r>
    <x v="0"/>
    <x v="18"/>
    <x v="18"/>
    <x v="3"/>
    <x v="3"/>
    <x v="3"/>
    <x v="7"/>
    <x v="144"/>
    <x v="231"/>
    <x v="36"/>
    <x v="250"/>
    <x v="53"/>
    <x v="166"/>
    <x v="2"/>
  </r>
  <r>
    <x v="0"/>
    <x v="18"/>
    <x v="18"/>
    <x v="5"/>
    <x v="5"/>
    <x v="5"/>
    <x v="8"/>
    <x v="149"/>
    <x v="232"/>
    <x v="87"/>
    <x v="248"/>
    <x v="53"/>
    <x v="166"/>
    <x v="2"/>
  </r>
  <r>
    <x v="0"/>
    <x v="18"/>
    <x v="18"/>
    <x v="16"/>
    <x v="16"/>
    <x v="16"/>
    <x v="9"/>
    <x v="151"/>
    <x v="233"/>
    <x v="95"/>
    <x v="251"/>
    <x v="82"/>
    <x v="211"/>
    <x v="2"/>
  </r>
  <r>
    <x v="0"/>
    <x v="18"/>
    <x v="18"/>
    <x v="26"/>
    <x v="26"/>
    <x v="26"/>
    <x v="10"/>
    <x v="145"/>
    <x v="234"/>
    <x v="111"/>
    <x v="26"/>
    <x v="53"/>
    <x v="166"/>
    <x v="2"/>
  </r>
  <r>
    <x v="0"/>
    <x v="18"/>
    <x v="18"/>
    <x v="24"/>
    <x v="24"/>
    <x v="24"/>
    <x v="11"/>
    <x v="146"/>
    <x v="124"/>
    <x v="111"/>
    <x v="26"/>
    <x v="103"/>
    <x v="181"/>
    <x v="2"/>
  </r>
  <r>
    <x v="0"/>
    <x v="18"/>
    <x v="18"/>
    <x v="14"/>
    <x v="14"/>
    <x v="14"/>
    <x v="11"/>
    <x v="146"/>
    <x v="124"/>
    <x v="66"/>
    <x v="252"/>
    <x v="53"/>
    <x v="166"/>
    <x v="2"/>
  </r>
  <r>
    <x v="0"/>
    <x v="18"/>
    <x v="18"/>
    <x v="19"/>
    <x v="19"/>
    <x v="19"/>
    <x v="11"/>
    <x v="146"/>
    <x v="124"/>
    <x v="119"/>
    <x v="246"/>
    <x v="53"/>
    <x v="166"/>
    <x v="6"/>
  </r>
  <r>
    <x v="0"/>
    <x v="18"/>
    <x v="18"/>
    <x v="10"/>
    <x v="10"/>
    <x v="10"/>
    <x v="14"/>
    <x v="147"/>
    <x v="235"/>
    <x v="95"/>
    <x v="251"/>
    <x v="87"/>
    <x v="210"/>
    <x v="2"/>
  </r>
  <r>
    <x v="0"/>
    <x v="18"/>
    <x v="18"/>
    <x v="13"/>
    <x v="13"/>
    <x v="13"/>
    <x v="14"/>
    <x v="147"/>
    <x v="235"/>
    <x v="95"/>
    <x v="251"/>
    <x v="87"/>
    <x v="210"/>
    <x v="2"/>
  </r>
  <r>
    <x v="0"/>
    <x v="18"/>
    <x v="18"/>
    <x v="15"/>
    <x v="15"/>
    <x v="15"/>
    <x v="14"/>
    <x v="147"/>
    <x v="235"/>
    <x v="119"/>
    <x v="246"/>
    <x v="53"/>
    <x v="166"/>
    <x v="2"/>
  </r>
  <r>
    <x v="0"/>
    <x v="18"/>
    <x v="18"/>
    <x v="23"/>
    <x v="23"/>
    <x v="23"/>
    <x v="17"/>
    <x v="148"/>
    <x v="236"/>
    <x v="119"/>
    <x v="246"/>
    <x v="103"/>
    <x v="181"/>
    <x v="2"/>
  </r>
  <r>
    <x v="0"/>
    <x v="18"/>
    <x v="18"/>
    <x v="28"/>
    <x v="28"/>
    <x v="28"/>
    <x v="17"/>
    <x v="148"/>
    <x v="236"/>
    <x v="95"/>
    <x v="251"/>
    <x v="53"/>
    <x v="166"/>
    <x v="2"/>
  </r>
  <r>
    <x v="0"/>
    <x v="18"/>
    <x v="18"/>
    <x v="8"/>
    <x v="8"/>
    <x v="8"/>
    <x v="17"/>
    <x v="148"/>
    <x v="236"/>
    <x v="119"/>
    <x v="246"/>
    <x v="103"/>
    <x v="181"/>
    <x v="2"/>
  </r>
  <r>
    <x v="0"/>
    <x v="18"/>
    <x v="18"/>
    <x v="41"/>
    <x v="41"/>
    <x v="41"/>
    <x v="17"/>
    <x v="148"/>
    <x v="236"/>
    <x v="95"/>
    <x v="251"/>
    <x v="53"/>
    <x v="166"/>
    <x v="2"/>
  </r>
  <r>
    <x v="0"/>
    <x v="18"/>
    <x v="18"/>
    <x v="39"/>
    <x v="39"/>
    <x v="39"/>
    <x v="17"/>
    <x v="148"/>
    <x v="236"/>
    <x v="134"/>
    <x v="188"/>
    <x v="53"/>
    <x v="166"/>
    <x v="2"/>
  </r>
  <r>
    <x v="0"/>
    <x v="19"/>
    <x v="19"/>
    <x v="0"/>
    <x v="0"/>
    <x v="0"/>
    <x v="0"/>
    <x v="91"/>
    <x v="237"/>
    <x v="139"/>
    <x v="253"/>
    <x v="53"/>
    <x v="212"/>
    <x v="2"/>
  </r>
  <r>
    <x v="0"/>
    <x v="19"/>
    <x v="19"/>
    <x v="1"/>
    <x v="1"/>
    <x v="1"/>
    <x v="1"/>
    <x v="155"/>
    <x v="238"/>
    <x v="28"/>
    <x v="254"/>
    <x v="54"/>
    <x v="213"/>
    <x v="6"/>
  </r>
  <r>
    <x v="0"/>
    <x v="19"/>
    <x v="19"/>
    <x v="3"/>
    <x v="3"/>
    <x v="3"/>
    <x v="2"/>
    <x v="73"/>
    <x v="189"/>
    <x v="71"/>
    <x v="255"/>
    <x v="77"/>
    <x v="214"/>
    <x v="2"/>
  </r>
  <r>
    <x v="0"/>
    <x v="19"/>
    <x v="19"/>
    <x v="2"/>
    <x v="2"/>
    <x v="2"/>
    <x v="3"/>
    <x v="95"/>
    <x v="239"/>
    <x v="71"/>
    <x v="255"/>
    <x v="53"/>
    <x v="212"/>
    <x v="2"/>
  </r>
  <r>
    <x v="0"/>
    <x v="19"/>
    <x v="19"/>
    <x v="4"/>
    <x v="4"/>
    <x v="4"/>
    <x v="4"/>
    <x v="107"/>
    <x v="240"/>
    <x v="35"/>
    <x v="256"/>
    <x v="68"/>
    <x v="215"/>
    <x v="2"/>
  </r>
  <r>
    <x v="0"/>
    <x v="19"/>
    <x v="19"/>
    <x v="6"/>
    <x v="6"/>
    <x v="6"/>
    <x v="5"/>
    <x v="142"/>
    <x v="241"/>
    <x v="119"/>
    <x v="101"/>
    <x v="83"/>
    <x v="216"/>
    <x v="2"/>
  </r>
  <r>
    <x v="0"/>
    <x v="19"/>
    <x v="19"/>
    <x v="9"/>
    <x v="9"/>
    <x v="9"/>
    <x v="6"/>
    <x v="143"/>
    <x v="242"/>
    <x v="66"/>
    <x v="112"/>
    <x v="57"/>
    <x v="217"/>
    <x v="2"/>
  </r>
  <r>
    <x v="0"/>
    <x v="19"/>
    <x v="19"/>
    <x v="5"/>
    <x v="5"/>
    <x v="5"/>
    <x v="7"/>
    <x v="153"/>
    <x v="243"/>
    <x v="51"/>
    <x v="257"/>
    <x v="103"/>
    <x v="181"/>
    <x v="2"/>
  </r>
  <r>
    <x v="0"/>
    <x v="19"/>
    <x v="19"/>
    <x v="11"/>
    <x v="11"/>
    <x v="11"/>
    <x v="8"/>
    <x v="149"/>
    <x v="124"/>
    <x v="88"/>
    <x v="258"/>
    <x v="68"/>
    <x v="215"/>
    <x v="2"/>
  </r>
  <r>
    <x v="0"/>
    <x v="19"/>
    <x v="19"/>
    <x v="8"/>
    <x v="8"/>
    <x v="8"/>
    <x v="9"/>
    <x v="150"/>
    <x v="244"/>
    <x v="111"/>
    <x v="103"/>
    <x v="68"/>
    <x v="215"/>
    <x v="2"/>
  </r>
  <r>
    <x v="0"/>
    <x v="19"/>
    <x v="19"/>
    <x v="15"/>
    <x v="15"/>
    <x v="15"/>
    <x v="9"/>
    <x v="150"/>
    <x v="244"/>
    <x v="44"/>
    <x v="259"/>
    <x v="103"/>
    <x v="181"/>
    <x v="2"/>
  </r>
  <r>
    <x v="0"/>
    <x v="19"/>
    <x v="19"/>
    <x v="32"/>
    <x v="32"/>
    <x v="32"/>
    <x v="11"/>
    <x v="151"/>
    <x v="235"/>
    <x v="134"/>
    <x v="188"/>
    <x v="77"/>
    <x v="214"/>
    <x v="2"/>
  </r>
  <r>
    <x v="0"/>
    <x v="19"/>
    <x v="19"/>
    <x v="19"/>
    <x v="19"/>
    <x v="19"/>
    <x v="11"/>
    <x v="151"/>
    <x v="235"/>
    <x v="111"/>
    <x v="103"/>
    <x v="53"/>
    <x v="212"/>
    <x v="2"/>
  </r>
  <r>
    <x v="0"/>
    <x v="19"/>
    <x v="19"/>
    <x v="18"/>
    <x v="18"/>
    <x v="18"/>
    <x v="11"/>
    <x v="151"/>
    <x v="235"/>
    <x v="95"/>
    <x v="38"/>
    <x v="53"/>
    <x v="212"/>
    <x v="2"/>
  </r>
  <r>
    <x v="0"/>
    <x v="19"/>
    <x v="19"/>
    <x v="23"/>
    <x v="23"/>
    <x v="23"/>
    <x v="14"/>
    <x v="145"/>
    <x v="16"/>
    <x v="95"/>
    <x v="38"/>
    <x v="82"/>
    <x v="91"/>
    <x v="2"/>
  </r>
  <r>
    <x v="0"/>
    <x v="19"/>
    <x v="19"/>
    <x v="12"/>
    <x v="12"/>
    <x v="12"/>
    <x v="14"/>
    <x v="145"/>
    <x v="16"/>
    <x v="66"/>
    <x v="112"/>
    <x v="87"/>
    <x v="218"/>
    <x v="2"/>
  </r>
  <r>
    <x v="0"/>
    <x v="19"/>
    <x v="19"/>
    <x v="10"/>
    <x v="10"/>
    <x v="10"/>
    <x v="16"/>
    <x v="146"/>
    <x v="236"/>
    <x v="95"/>
    <x v="38"/>
    <x v="68"/>
    <x v="215"/>
    <x v="2"/>
  </r>
  <r>
    <x v="0"/>
    <x v="19"/>
    <x v="19"/>
    <x v="7"/>
    <x v="7"/>
    <x v="7"/>
    <x v="16"/>
    <x v="146"/>
    <x v="236"/>
    <x v="111"/>
    <x v="103"/>
    <x v="103"/>
    <x v="181"/>
    <x v="2"/>
  </r>
  <r>
    <x v="0"/>
    <x v="19"/>
    <x v="19"/>
    <x v="41"/>
    <x v="41"/>
    <x v="41"/>
    <x v="18"/>
    <x v="147"/>
    <x v="245"/>
    <x v="134"/>
    <x v="188"/>
    <x v="68"/>
    <x v="215"/>
    <x v="2"/>
  </r>
  <r>
    <x v="0"/>
    <x v="19"/>
    <x v="19"/>
    <x v="13"/>
    <x v="13"/>
    <x v="13"/>
    <x v="18"/>
    <x v="147"/>
    <x v="245"/>
    <x v="95"/>
    <x v="38"/>
    <x v="87"/>
    <x v="218"/>
    <x v="2"/>
  </r>
  <r>
    <x v="0"/>
    <x v="19"/>
    <x v="19"/>
    <x v="16"/>
    <x v="16"/>
    <x v="16"/>
    <x v="18"/>
    <x v="147"/>
    <x v="245"/>
    <x v="134"/>
    <x v="188"/>
    <x v="87"/>
    <x v="218"/>
    <x v="2"/>
  </r>
  <r>
    <x v="0"/>
    <x v="20"/>
    <x v="20"/>
    <x v="0"/>
    <x v="0"/>
    <x v="0"/>
    <x v="0"/>
    <x v="52"/>
    <x v="246"/>
    <x v="106"/>
    <x v="260"/>
    <x v="87"/>
    <x v="219"/>
    <x v="2"/>
  </r>
  <r>
    <x v="0"/>
    <x v="20"/>
    <x v="20"/>
    <x v="4"/>
    <x v="4"/>
    <x v="4"/>
    <x v="1"/>
    <x v="72"/>
    <x v="247"/>
    <x v="97"/>
    <x v="261"/>
    <x v="82"/>
    <x v="220"/>
    <x v="2"/>
  </r>
  <r>
    <x v="0"/>
    <x v="20"/>
    <x v="20"/>
    <x v="2"/>
    <x v="2"/>
    <x v="2"/>
    <x v="2"/>
    <x v="125"/>
    <x v="248"/>
    <x v="35"/>
    <x v="262"/>
    <x v="103"/>
    <x v="181"/>
    <x v="2"/>
  </r>
  <r>
    <x v="0"/>
    <x v="20"/>
    <x v="20"/>
    <x v="14"/>
    <x v="14"/>
    <x v="14"/>
    <x v="3"/>
    <x v="156"/>
    <x v="249"/>
    <x v="94"/>
    <x v="263"/>
    <x v="103"/>
    <x v="181"/>
    <x v="2"/>
  </r>
  <r>
    <x v="0"/>
    <x v="20"/>
    <x v="20"/>
    <x v="1"/>
    <x v="1"/>
    <x v="1"/>
    <x v="4"/>
    <x v="140"/>
    <x v="250"/>
    <x v="64"/>
    <x v="264"/>
    <x v="103"/>
    <x v="181"/>
    <x v="2"/>
  </r>
  <r>
    <x v="0"/>
    <x v="20"/>
    <x v="20"/>
    <x v="3"/>
    <x v="3"/>
    <x v="3"/>
    <x v="5"/>
    <x v="143"/>
    <x v="251"/>
    <x v="36"/>
    <x v="265"/>
    <x v="82"/>
    <x v="220"/>
    <x v="2"/>
  </r>
  <r>
    <x v="0"/>
    <x v="20"/>
    <x v="20"/>
    <x v="6"/>
    <x v="6"/>
    <x v="6"/>
    <x v="6"/>
    <x v="158"/>
    <x v="252"/>
    <x v="95"/>
    <x v="266"/>
    <x v="57"/>
    <x v="221"/>
    <x v="2"/>
  </r>
  <r>
    <x v="0"/>
    <x v="20"/>
    <x v="20"/>
    <x v="9"/>
    <x v="9"/>
    <x v="9"/>
    <x v="7"/>
    <x v="151"/>
    <x v="253"/>
    <x v="88"/>
    <x v="267"/>
    <x v="53"/>
    <x v="7"/>
    <x v="2"/>
  </r>
  <r>
    <x v="0"/>
    <x v="20"/>
    <x v="20"/>
    <x v="5"/>
    <x v="5"/>
    <x v="5"/>
    <x v="7"/>
    <x v="151"/>
    <x v="253"/>
    <x v="111"/>
    <x v="178"/>
    <x v="53"/>
    <x v="7"/>
    <x v="2"/>
  </r>
  <r>
    <x v="0"/>
    <x v="20"/>
    <x v="20"/>
    <x v="23"/>
    <x v="23"/>
    <x v="23"/>
    <x v="9"/>
    <x v="145"/>
    <x v="254"/>
    <x v="119"/>
    <x v="268"/>
    <x v="68"/>
    <x v="222"/>
    <x v="2"/>
  </r>
  <r>
    <x v="0"/>
    <x v="20"/>
    <x v="20"/>
    <x v="8"/>
    <x v="8"/>
    <x v="8"/>
    <x v="9"/>
    <x v="145"/>
    <x v="254"/>
    <x v="88"/>
    <x v="267"/>
    <x v="103"/>
    <x v="181"/>
    <x v="2"/>
  </r>
  <r>
    <x v="0"/>
    <x v="20"/>
    <x v="20"/>
    <x v="18"/>
    <x v="18"/>
    <x v="18"/>
    <x v="9"/>
    <x v="145"/>
    <x v="254"/>
    <x v="66"/>
    <x v="223"/>
    <x v="103"/>
    <x v="181"/>
    <x v="6"/>
  </r>
  <r>
    <x v="0"/>
    <x v="20"/>
    <x v="20"/>
    <x v="10"/>
    <x v="10"/>
    <x v="10"/>
    <x v="12"/>
    <x v="146"/>
    <x v="255"/>
    <x v="111"/>
    <x v="178"/>
    <x v="103"/>
    <x v="181"/>
    <x v="2"/>
  </r>
  <r>
    <x v="0"/>
    <x v="20"/>
    <x v="20"/>
    <x v="24"/>
    <x v="24"/>
    <x v="24"/>
    <x v="12"/>
    <x v="146"/>
    <x v="255"/>
    <x v="66"/>
    <x v="223"/>
    <x v="53"/>
    <x v="7"/>
    <x v="2"/>
  </r>
  <r>
    <x v="0"/>
    <x v="20"/>
    <x v="20"/>
    <x v="19"/>
    <x v="19"/>
    <x v="19"/>
    <x v="12"/>
    <x v="146"/>
    <x v="255"/>
    <x v="119"/>
    <x v="268"/>
    <x v="53"/>
    <x v="7"/>
    <x v="2"/>
  </r>
  <r>
    <x v="0"/>
    <x v="20"/>
    <x v="20"/>
    <x v="39"/>
    <x v="39"/>
    <x v="39"/>
    <x v="12"/>
    <x v="146"/>
    <x v="255"/>
    <x v="95"/>
    <x v="266"/>
    <x v="103"/>
    <x v="181"/>
    <x v="2"/>
  </r>
  <r>
    <x v="0"/>
    <x v="20"/>
    <x v="20"/>
    <x v="32"/>
    <x v="32"/>
    <x v="32"/>
    <x v="16"/>
    <x v="147"/>
    <x v="54"/>
    <x v="134"/>
    <x v="188"/>
    <x v="87"/>
    <x v="219"/>
    <x v="2"/>
  </r>
  <r>
    <x v="0"/>
    <x v="20"/>
    <x v="20"/>
    <x v="7"/>
    <x v="7"/>
    <x v="7"/>
    <x v="16"/>
    <x v="147"/>
    <x v="54"/>
    <x v="66"/>
    <x v="223"/>
    <x v="103"/>
    <x v="181"/>
    <x v="2"/>
  </r>
  <r>
    <x v="0"/>
    <x v="20"/>
    <x v="20"/>
    <x v="16"/>
    <x v="16"/>
    <x v="16"/>
    <x v="16"/>
    <x v="147"/>
    <x v="54"/>
    <x v="134"/>
    <x v="188"/>
    <x v="68"/>
    <x v="222"/>
    <x v="2"/>
  </r>
  <r>
    <x v="0"/>
    <x v="20"/>
    <x v="20"/>
    <x v="27"/>
    <x v="27"/>
    <x v="27"/>
    <x v="19"/>
    <x v="148"/>
    <x v="256"/>
    <x v="95"/>
    <x v="266"/>
    <x v="53"/>
    <x v="7"/>
    <x v="2"/>
  </r>
  <r>
    <x v="0"/>
    <x v="20"/>
    <x v="20"/>
    <x v="42"/>
    <x v="42"/>
    <x v="42"/>
    <x v="19"/>
    <x v="148"/>
    <x v="256"/>
    <x v="134"/>
    <x v="188"/>
    <x v="87"/>
    <x v="219"/>
    <x v="2"/>
  </r>
  <r>
    <x v="0"/>
    <x v="20"/>
    <x v="20"/>
    <x v="29"/>
    <x v="29"/>
    <x v="29"/>
    <x v="19"/>
    <x v="148"/>
    <x v="256"/>
    <x v="95"/>
    <x v="266"/>
    <x v="53"/>
    <x v="7"/>
    <x v="2"/>
  </r>
  <r>
    <x v="0"/>
    <x v="20"/>
    <x v="20"/>
    <x v="12"/>
    <x v="12"/>
    <x v="12"/>
    <x v="19"/>
    <x v="148"/>
    <x v="256"/>
    <x v="95"/>
    <x v="266"/>
    <x v="53"/>
    <x v="7"/>
    <x v="2"/>
  </r>
  <r>
    <x v="0"/>
    <x v="21"/>
    <x v="21"/>
    <x v="0"/>
    <x v="0"/>
    <x v="0"/>
    <x v="0"/>
    <x v="160"/>
    <x v="257"/>
    <x v="140"/>
    <x v="269"/>
    <x v="53"/>
    <x v="105"/>
    <x v="2"/>
  </r>
  <r>
    <x v="0"/>
    <x v="21"/>
    <x v="21"/>
    <x v="2"/>
    <x v="2"/>
    <x v="2"/>
    <x v="1"/>
    <x v="114"/>
    <x v="258"/>
    <x v="117"/>
    <x v="270"/>
    <x v="77"/>
    <x v="223"/>
    <x v="2"/>
  </r>
  <r>
    <x v="0"/>
    <x v="21"/>
    <x v="21"/>
    <x v="35"/>
    <x v="35"/>
    <x v="35"/>
    <x v="2"/>
    <x v="104"/>
    <x v="259"/>
    <x v="70"/>
    <x v="271"/>
    <x v="103"/>
    <x v="181"/>
    <x v="2"/>
  </r>
  <r>
    <x v="0"/>
    <x v="21"/>
    <x v="21"/>
    <x v="1"/>
    <x v="1"/>
    <x v="1"/>
    <x v="3"/>
    <x v="67"/>
    <x v="260"/>
    <x v="97"/>
    <x v="272"/>
    <x v="71"/>
    <x v="224"/>
    <x v="2"/>
  </r>
  <r>
    <x v="0"/>
    <x v="21"/>
    <x v="21"/>
    <x v="3"/>
    <x v="3"/>
    <x v="3"/>
    <x v="4"/>
    <x v="161"/>
    <x v="261"/>
    <x v="118"/>
    <x v="273"/>
    <x v="44"/>
    <x v="225"/>
    <x v="2"/>
  </r>
  <r>
    <x v="0"/>
    <x v="21"/>
    <x v="21"/>
    <x v="5"/>
    <x v="5"/>
    <x v="5"/>
    <x v="4"/>
    <x v="161"/>
    <x v="261"/>
    <x v="84"/>
    <x v="274"/>
    <x v="82"/>
    <x v="226"/>
    <x v="7"/>
  </r>
  <r>
    <x v="0"/>
    <x v="21"/>
    <x v="21"/>
    <x v="31"/>
    <x v="31"/>
    <x v="31"/>
    <x v="6"/>
    <x v="121"/>
    <x v="262"/>
    <x v="141"/>
    <x v="275"/>
    <x v="98"/>
    <x v="227"/>
    <x v="2"/>
  </r>
  <r>
    <x v="0"/>
    <x v="21"/>
    <x v="21"/>
    <x v="4"/>
    <x v="4"/>
    <x v="4"/>
    <x v="7"/>
    <x v="71"/>
    <x v="263"/>
    <x v="63"/>
    <x v="276"/>
    <x v="82"/>
    <x v="226"/>
    <x v="2"/>
  </r>
  <r>
    <x v="0"/>
    <x v="21"/>
    <x v="21"/>
    <x v="9"/>
    <x v="9"/>
    <x v="9"/>
    <x v="8"/>
    <x v="72"/>
    <x v="264"/>
    <x v="51"/>
    <x v="277"/>
    <x v="51"/>
    <x v="228"/>
    <x v="2"/>
  </r>
  <r>
    <x v="0"/>
    <x v="21"/>
    <x v="21"/>
    <x v="6"/>
    <x v="6"/>
    <x v="6"/>
    <x v="9"/>
    <x v="73"/>
    <x v="265"/>
    <x v="77"/>
    <x v="278"/>
    <x v="40"/>
    <x v="229"/>
    <x v="2"/>
  </r>
  <r>
    <x v="0"/>
    <x v="21"/>
    <x v="21"/>
    <x v="15"/>
    <x v="15"/>
    <x v="15"/>
    <x v="10"/>
    <x v="159"/>
    <x v="46"/>
    <x v="78"/>
    <x v="279"/>
    <x v="68"/>
    <x v="230"/>
    <x v="2"/>
  </r>
  <r>
    <x v="0"/>
    <x v="21"/>
    <x v="21"/>
    <x v="16"/>
    <x v="16"/>
    <x v="16"/>
    <x v="11"/>
    <x v="95"/>
    <x v="122"/>
    <x v="88"/>
    <x v="6"/>
    <x v="58"/>
    <x v="231"/>
    <x v="2"/>
  </r>
  <r>
    <x v="0"/>
    <x v="21"/>
    <x v="21"/>
    <x v="13"/>
    <x v="13"/>
    <x v="13"/>
    <x v="12"/>
    <x v="156"/>
    <x v="83"/>
    <x v="75"/>
    <x v="280"/>
    <x v="68"/>
    <x v="230"/>
    <x v="2"/>
  </r>
  <r>
    <x v="0"/>
    <x v="21"/>
    <x v="21"/>
    <x v="8"/>
    <x v="8"/>
    <x v="8"/>
    <x v="13"/>
    <x v="142"/>
    <x v="31"/>
    <x v="75"/>
    <x v="280"/>
    <x v="87"/>
    <x v="232"/>
    <x v="2"/>
  </r>
  <r>
    <x v="0"/>
    <x v="21"/>
    <x v="21"/>
    <x v="10"/>
    <x v="10"/>
    <x v="10"/>
    <x v="14"/>
    <x v="140"/>
    <x v="129"/>
    <x v="86"/>
    <x v="281"/>
    <x v="68"/>
    <x v="230"/>
    <x v="2"/>
  </r>
  <r>
    <x v="0"/>
    <x v="21"/>
    <x v="21"/>
    <x v="18"/>
    <x v="18"/>
    <x v="18"/>
    <x v="15"/>
    <x v="153"/>
    <x v="266"/>
    <x v="44"/>
    <x v="282"/>
    <x v="87"/>
    <x v="232"/>
    <x v="2"/>
  </r>
  <r>
    <x v="0"/>
    <x v="21"/>
    <x v="21"/>
    <x v="12"/>
    <x v="12"/>
    <x v="12"/>
    <x v="16"/>
    <x v="144"/>
    <x v="267"/>
    <x v="44"/>
    <x v="282"/>
    <x v="87"/>
    <x v="232"/>
    <x v="2"/>
  </r>
  <r>
    <x v="0"/>
    <x v="21"/>
    <x v="21"/>
    <x v="11"/>
    <x v="11"/>
    <x v="11"/>
    <x v="17"/>
    <x v="150"/>
    <x v="268"/>
    <x v="111"/>
    <x v="31"/>
    <x v="68"/>
    <x v="230"/>
    <x v="2"/>
  </r>
  <r>
    <x v="0"/>
    <x v="21"/>
    <x v="21"/>
    <x v="19"/>
    <x v="19"/>
    <x v="19"/>
    <x v="17"/>
    <x v="150"/>
    <x v="268"/>
    <x v="111"/>
    <x v="31"/>
    <x v="68"/>
    <x v="230"/>
    <x v="2"/>
  </r>
  <r>
    <x v="0"/>
    <x v="21"/>
    <x v="21"/>
    <x v="23"/>
    <x v="23"/>
    <x v="23"/>
    <x v="19"/>
    <x v="151"/>
    <x v="217"/>
    <x v="87"/>
    <x v="283"/>
    <x v="103"/>
    <x v="181"/>
    <x v="2"/>
  </r>
  <r>
    <x v="0"/>
    <x v="21"/>
    <x v="21"/>
    <x v="27"/>
    <x v="27"/>
    <x v="27"/>
    <x v="19"/>
    <x v="151"/>
    <x v="217"/>
    <x v="66"/>
    <x v="102"/>
    <x v="68"/>
    <x v="230"/>
    <x v="2"/>
  </r>
  <r>
    <x v="0"/>
    <x v="21"/>
    <x v="21"/>
    <x v="7"/>
    <x v="7"/>
    <x v="7"/>
    <x v="19"/>
    <x v="151"/>
    <x v="217"/>
    <x v="88"/>
    <x v="6"/>
    <x v="53"/>
    <x v="105"/>
    <x v="2"/>
  </r>
  <r>
    <x v="0"/>
    <x v="21"/>
    <x v="21"/>
    <x v="29"/>
    <x v="29"/>
    <x v="29"/>
    <x v="19"/>
    <x v="151"/>
    <x v="217"/>
    <x v="119"/>
    <x v="284"/>
    <x v="82"/>
    <x v="226"/>
    <x v="2"/>
  </r>
  <r>
    <x v="0"/>
    <x v="21"/>
    <x v="21"/>
    <x v="14"/>
    <x v="14"/>
    <x v="14"/>
    <x v="19"/>
    <x v="151"/>
    <x v="217"/>
    <x v="88"/>
    <x v="6"/>
    <x v="53"/>
    <x v="105"/>
    <x v="2"/>
  </r>
  <r>
    <x v="0"/>
    <x v="21"/>
    <x v="21"/>
    <x v="26"/>
    <x v="26"/>
    <x v="26"/>
    <x v="19"/>
    <x v="151"/>
    <x v="217"/>
    <x v="111"/>
    <x v="31"/>
    <x v="87"/>
    <x v="232"/>
    <x v="2"/>
  </r>
  <r>
    <x v="0"/>
    <x v="22"/>
    <x v="22"/>
    <x v="0"/>
    <x v="0"/>
    <x v="0"/>
    <x v="0"/>
    <x v="49"/>
    <x v="269"/>
    <x v="59"/>
    <x v="285"/>
    <x v="82"/>
    <x v="233"/>
    <x v="2"/>
  </r>
  <r>
    <x v="0"/>
    <x v="22"/>
    <x v="22"/>
    <x v="2"/>
    <x v="2"/>
    <x v="2"/>
    <x v="1"/>
    <x v="67"/>
    <x v="270"/>
    <x v="31"/>
    <x v="286"/>
    <x v="87"/>
    <x v="234"/>
    <x v="2"/>
  </r>
  <r>
    <x v="0"/>
    <x v="22"/>
    <x v="22"/>
    <x v="5"/>
    <x v="5"/>
    <x v="5"/>
    <x v="2"/>
    <x v="93"/>
    <x v="271"/>
    <x v="135"/>
    <x v="287"/>
    <x v="77"/>
    <x v="235"/>
    <x v="6"/>
  </r>
  <r>
    <x v="0"/>
    <x v="22"/>
    <x v="22"/>
    <x v="4"/>
    <x v="4"/>
    <x v="4"/>
    <x v="3"/>
    <x v="94"/>
    <x v="272"/>
    <x v="50"/>
    <x v="288"/>
    <x v="87"/>
    <x v="234"/>
    <x v="2"/>
  </r>
  <r>
    <x v="0"/>
    <x v="22"/>
    <x v="22"/>
    <x v="3"/>
    <x v="3"/>
    <x v="3"/>
    <x v="4"/>
    <x v="96"/>
    <x v="273"/>
    <x v="64"/>
    <x v="289"/>
    <x v="98"/>
    <x v="236"/>
    <x v="2"/>
  </r>
  <r>
    <x v="0"/>
    <x v="22"/>
    <x v="22"/>
    <x v="1"/>
    <x v="1"/>
    <x v="1"/>
    <x v="5"/>
    <x v="125"/>
    <x v="223"/>
    <x v="111"/>
    <x v="104"/>
    <x v="66"/>
    <x v="237"/>
    <x v="2"/>
  </r>
  <r>
    <x v="0"/>
    <x v="22"/>
    <x v="22"/>
    <x v="9"/>
    <x v="9"/>
    <x v="9"/>
    <x v="6"/>
    <x v="156"/>
    <x v="274"/>
    <x v="119"/>
    <x v="231"/>
    <x v="84"/>
    <x v="238"/>
    <x v="2"/>
  </r>
  <r>
    <x v="0"/>
    <x v="22"/>
    <x v="22"/>
    <x v="15"/>
    <x v="15"/>
    <x v="15"/>
    <x v="7"/>
    <x v="143"/>
    <x v="275"/>
    <x v="75"/>
    <x v="290"/>
    <x v="103"/>
    <x v="181"/>
    <x v="2"/>
  </r>
  <r>
    <x v="0"/>
    <x v="22"/>
    <x v="22"/>
    <x v="10"/>
    <x v="10"/>
    <x v="10"/>
    <x v="8"/>
    <x v="153"/>
    <x v="46"/>
    <x v="111"/>
    <x v="104"/>
    <x v="54"/>
    <x v="239"/>
    <x v="2"/>
  </r>
  <r>
    <x v="0"/>
    <x v="22"/>
    <x v="22"/>
    <x v="7"/>
    <x v="7"/>
    <x v="7"/>
    <x v="9"/>
    <x v="158"/>
    <x v="276"/>
    <x v="36"/>
    <x v="229"/>
    <x v="87"/>
    <x v="234"/>
    <x v="2"/>
  </r>
  <r>
    <x v="0"/>
    <x v="22"/>
    <x v="22"/>
    <x v="8"/>
    <x v="8"/>
    <x v="8"/>
    <x v="10"/>
    <x v="144"/>
    <x v="277"/>
    <x v="36"/>
    <x v="229"/>
    <x v="53"/>
    <x v="240"/>
    <x v="2"/>
  </r>
  <r>
    <x v="0"/>
    <x v="22"/>
    <x v="22"/>
    <x v="6"/>
    <x v="6"/>
    <x v="6"/>
    <x v="11"/>
    <x v="150"/>
    <x v="31"/>
    <x v="119"/>
    <x v="231"/>
    <x v="98"/>
    <x v="236"/>
    <x v="2"/>
  </r>
  <r>
    <x v="0"/>
    <x v="22"/>
    <x v="22"/>
    <x v="11"/>
    <x v="11"/>
    <x v="11"/>
    <x v="11"/>
    <x v="150"/>
    <x v="31"/>
    <x v="88"/>
    <x v="291"/>
    <x v="87"/>
    <x v="234"/>
    <x v="2"/>
  </r>
  <r>
    <x v="0"/>
    <x v="22"/>
    <x v="22"/>
    <x v="12"/>
    <x v="12"/>
    <x v="12"/>
    <x v="11"/>
    <x v="150"/>
    <x v="31"/>
    <x v="95"/>
    <x v="292"/>
    <x v="77"/>
    <x v="235"/>
    <x v="2"/>
  </r>
  <r>
    <x v="0"/>
    <x v="22"/>
    <x v="22"/>
    <x v="26"/>
    <x v="26"/>
    <x v="26"/>
    <x v="11"/>
    <x v="150"/>
    <x v="31"/>
    <x v="88"/>
    <x v="291"/>
    <x v="53"/>
    <x v="240"/>
    <x v="2"/>
  </r>
  <r>
    <x v="0"/>
    <x v="22"/>
    <x v="22"/>
    <x v="19"/>
    <x v="19"/>
    <x v="19"/>
    <x v="15"/>
    <x v="151"/>
    <x v="215"/>
    <x v="88"/>
    <x v="291"/>
    <x v="53"/>
    <x v="240"/>
    <x v="2"/>
  </r>
  <r>
    <x v="0"/>
    <x v="22"/>
    <x v="22"/>
    <x v="43"/>
    <x v="43"/>
    <x v="43"/>
    <x v="16"/>
    <x v="145"/>
    <x v="34"/>
    <x v="66"/>
    <x v="293"/>
    <x v="87"/>
    <x v="234"/>
    <x v="2"/>
  </r>
  <r>
    <x v="0"/>
    <x v="22"/>
    <x v="22"/>
    <x v="40"/>
    <x v="40"/>
    <x v="40"/>
    <x v="16"/>
    <x v="145"/>
    <x v="34"/>
    <x v="66"/>
    <x v="293"/>
    <x v="87"/>
    <x v="234"/>
    <x v="2"/>
  </r>
  <r>
    <x v="0"/>
    <x v="22"/>
    <x v="22"/>
    <x v="24"/>
    <x v="24"/>
    <x v="24"/>
    <x v="16"/>
    <x v="145"/>
    <x v="34"/>
    <x v="119"/>
    <x v="231"/>
    <x v="87"/>
    <x v="234"/>
    <x v="6"/>
  </r>
  <r>
    <x v="0"/>
    <x v="22"/>
    <x v="22"/>
    <x v="30"/>
    <x v="30"/>
    <x v="30"/>
    <x v="19"/>
    <x v="146"/>
    <x v="99"/>
    <x v="111"/>
    <x v="104"/>
    <x v="103"/>
    <x v="181"/>
    <x v="2"/>
  </r>
  <r>
    <x v="0"/>
    <x v="23"/>
    <x v="23"/>
    <x v="1"/>
    <x v="1"/>
    <x v="1"/>
    <x v="0"/>
    <x v="119"/>
    <x v="278"/>
    <x v="118"/>
    <x v="294"/>
    <x v="79"/>
    <x v="241"/>
    <x v="2"/>
  </r>
  <r>
    <x v="0"/>
    <x v="23"/>
    <x v="23"/>
    <x v="2"/>
    <x v="2"/>
    <x v="2"/>
    <x v="1"/>
    <x v="162"/>
    <x v="279"/>
    <x v="123"/>
    <x v="295"/>
    <x v="64"/>
    <x v="242"/>
    <x v="2"/>
  </r>
  <r>
    <x v="0"/>
    <x v="23"/>
    <x v="23"/>
    <x v="0"/>
    <x v="0"/>
    <x v="0"/>
    <x v="2"/>
    <x v="113"/>
    <x v="280"/>
    <x v="142"/>
    <x v="296"/>
    <x v="102"/>
    <x v="243"/>
    <x v="2"/>
  </r>
  <r>
    <x v="0"/>
    <x v="23"/>
    <x v="23"/>
    <x v="3"/>
    <x v="3"/>
    <x v="3"/>
    <x v="3"/>
    <x v="116"/>
    <x v="281"/>
    <x v="60"/>
    <x v="297"/>
    <x v="30"/>
    <x v="244"/>
    <x v="2"/>
  </r>
  <r>
    <x v="0"/>
    <x v="23"/>
    <x v="23"/>
    <x v="5"/>
    <x v="5"/>
    <x v="5"/>
    <x v="4"/>
    <x v="86"/>
    <x v="282"/>
    <x v="61"/>
    <x v="298"/>
    <x v="77"/>
    <x v="245"/>
    <x v="2"/>
  </r>
  <r>
    <x v="0"/>
    <x v="23"/>
    <x v="23"/>
    <x v="7"/>
    <x v="7"/>
    <x v="7"/>
    <x v="5"/>
    <x v="105"/>
    <x v="283"/>
    <x v="78"/>
    <x v="299"/>
    <x v="64"/>
    <x v="242"/>
    <x v="2"/>
  </r>
  <r>
    <x v="0"/>
    <x v="23"/>
    <x v="23"/>
    <x v="4"/>
    <x v="4"/>
    <x v="4"/>
    <x v="6"/>
    <x v="106"/>
    <x v="284"/>
    <x v="65"/>
    <x v="300"/>
    <x v="83"/>
    <x v="178"/>
    <x v="2"/>
  </r>
  <r>
    <x v="0"/>
    <x v="23"/>
    <x v="23"/>
    <x v="6"/>
    <x v="6"/>
    <x v="6"/>
    <x v="7"/>
    <x v="139"/>
    <x v="285"/>
    <x v="66"/>
    <x v="141"/>
    <x v="49"/>
    <x v="246"/>
    <x v="2"/>
  </r>
  <r>
    <x v="0"/>
    <x v="23"/>
    <x v="23"/>
    <x v="8"/>
    <x v="8"/>
    <x v="8"/>
    <x v="8"/>
    <x v="107"/>
    <x v="286"/>
    <x v="51"/>
    <x v="301"/>
    <x v="54"/>
    <x v="247"/>
    <x v="6"/>
  </r>
  <r>
    <x v="0"/>
    <x v="23"/>
    <x v="23"/>
    <x v="12"/>
    <x v="12"/>
    <x v="12"/>
    <x v="9"/>
    <x v="96"/>
    <x v="287"/>
    <x v="87"/>
    <x v="115"/>
    <x v="66"/>
    <x v="248"/>
    <x v="2"/>
  </r>
  <r>
    <x v="0"/>
    <x v="23"/>
    <x v="23"/>
    <x v="17"/>
    <x v="17"/>
    <x v="17"/>
    <x v="10"/>
    <x v="97"/>
    <x v="288"/>
    <x v="111"/>
    <x v="302"/>
    <x v="84"/>
    <x v="249"/>
    <x v="2"/>
  </r>
  <r>
    <x v="0"/>
    <x v="23"/>
    <x v="23"/>
    <x v="9"/>
    <x v="9"/>
    <x v="9"/>
    <x v="11"/>
    <x v="125"/>
    <x v="145"/>
    <x v="87"/>
    <x v="115"/>
    <x v="44"/>
    <x v="250"/>
    <x v="2"/>
  </r>
  <r>
    <x v="0"/>
    <x v="23"/>
    <x v="23"/>
    <x v="14"/>
    <x v="14"/>
    <x v="14"/>
    <x v="11"/>
    <x v="125"/>
    <x v="145"/>
    <x v="87"/>
    <x v="115"/>
    <x v="44"/>
    <x v="250"/>
    <x v="2"/>
  </r>
  <r>
    <x v="0"/>
    <x v="23"/>
    <x v="23"/>
    <x v="10"/>
    <x v="10"/>
    <x v="10"/>
    <x v="13"/>
    <x v="156"/>
    <x v="289"/>
    <x v="87"/>
    <x v="115"/>
    <x v="57"/>
    <x v="2"/>
    <x v="2"/>
  </r>
  <r>
    <x v="0"/>
    <x v="23"/>
    <x v="23"/>
    <x v="16"/>
    <x v="16"/>
    <x v="16"/>
    <x v="13"/>
    <x v="156"/>
    <x v="289"/>
    <x v="66"/>
    <x v="141"/>
    <x v="54"/>
    <x v="247"/>
    <x v="2"/>
  </r>
  <r>
    <x v="0"/>
    <x v="23"/>
    <x v="23"/>
    <x v="18"/>
    <x v="18"/>
    <x v="18"/>
    <x v="15"/>
    <x v="140"/>
    <x v="129"/>
    <x v="88"/>
    <x v="162"/>
    <x v="77"/>
    <x v="245"/>
    <x v="6"/>
  </r>
  <r>
    <x v="0"/>
    <x v="23"/>
    <x v="23"/>
    <x v="13"/>
    <x v="13"/>
    <x v="13"/>
    <x v="15"/>
    <x v="140"/>
    <x v="129"/>
    <x v="51"/>
    <x v="301"/>
    <x v="87"/>
    <x v="156"/>
    <x v="2"/>
  </r>
  <r>
    <x v="0"/>
    <x v="23"/>
    <x v="23"/>
    <x v="11"/>
    <x v="11"/>
    <x v="11"/>
    <x v="17"/>
    <x v="143"/>
    <x v="290"/>
    <x v="86"/>
    <x v="303"/>
    <x v="87"/>
    <x v="156"/>
    <x v="2"/>
  </r>
  <r>
    <x v="0"/>
    <x v="23"/>
    <x v="23"/>
    <x v="19"/>
    <x v="19"/>
    <x v="19"/>
    <x v="18"/>
    <x v="153"/>
    <x v="291"/>
    <x v="111"/>
    <x v="302"/>
    <x v="77"/>
    <x v="245"/>
    <x v="6"/>
  </r>
  <r>
    <x v="0"/>
    <x v="23"/>
    <x v="23"/>
    <x v="22"/>
    <x v="22"/>
    <x v="22"/>
    <x v="19"/>
    <x v="144"/>
    <x v="267"/>
    <x v="95"/>
    <x v="35"/>
    <x v="67"/>
    <x v="251"/>
    <x v="2"/>
  </r>
  <r>
    <x v="0"/>
    <x v="23"/>
    <x v="23"/>
    <x v="15"/>
    <x v="15"/>
    <x v="15"/>
    <x v="19"/>
    <x v="144"/>
    <x v="267"/>
    <x v="36"/>
    <x v="304"/>
    <x v="53"/>
    <x v="140"/>
    <x v="2"/>
  </r>
  <r>
    <x v="0"/>
    <x v="24"/>
    <x v="24"/>
    <x v="2"/>
    <x v="2"/>
    <x v="2"/>
    <x v="0"/>
    <x v="67"/>
    <x v="292"/>
    <x v="136"/>
    <x v="305"/>
    <x v="98"/>
    <x v="252"/>
    <x v="2"/>
  </r>
  <r>
    <x v="0"/>
    <x v="24"/>
    <x v="24"/>
    <x v="0"/>
    <x v="0"/>
    <x v="0"/>
    <x v="1"/>
    <x v="122"/>
    <x v="293"/>
    <x v="109"/>
    <x v="306"/>
    <x v="67"/>
    <x v="253"/>
    <x v="2"/>
  </r>
  <r>
    <x v="0"/>
    <x v="24"/>
    <x v="24"/>
    <x v="3"/>
    <x v="3"/>
    <x v="3"/>
    <x v="2"/>
    <x v="123"/>
    <x v="2"/>
    <x v="71"/>
    <x v="307"/>
    <x v="40"/>
    <x v="254"/>
    <x v="2"/>
  </r>
  <r>
    <x v="0"/>
    <x v="24"/>
    <x v="24"/>
    <x v="1"/>
    <x v="1"/>
    <x v="1"/>
    <x v="3"/>
    <x v="70"/>
    <x v="294"/>
    <x v="86"/>
    <x v="308"/>
    <x v="62"/>
    <x v="255"/>
    <x v="2"/>
  </r>
  <r>
    <x v="0"/>
    <x v="24"/>
    <x v="24"/>
    <x v="7"/>
    <x v="7"/>
    <x v="7"/>
    <x v="4"/>
    <x v="73"/>
    <x v="295"/>
    <x v="88"/>
    <x v="10"/>
    <x v="46"/>
    <x v="256"/>
    <x v="2"/>
  </r>
  <r>
    <x v="0"/>
    <x v="24"/>
    <x v="24"/>
    <x v="4"/>
    <x v="4"/>
    <x v="4"/>
    <x v="5"/>
    <x v="139"/>
    <x v="296"/>
    <x v="135"/>
    <x v="309"/>
    <x v="87"/>
    <x v="18"/>
    <x v="2"/>
  </r>
  <r>
    <x v="0"/>
    <x v="24"/>
    <x v="24"/>
    <x v="8"/>
    <x v="8"/>
    <x v="8"/>
    <x v="6"/>
    <x v="159"/>
    <x v="297"/>
    <x v="71"/>
    <x v="307"/>
    <x v="87"/>
    <x v="18"/>
    <x v="2"/>
  </r>
  <r>
    <x v="0"/>
    <x v="24"/>
    <x v="24"/>
    <x v="5"/>
    <x v="5"/>
    <x v="5"/>
    <x v="7"/>
    <x v="96"/>
    <x v="223"/>
    <x v="45"/>
    <x v="310"/>
    <x v="53"/>
    <x v="257"/>
    <x v="2"/>
  </r>
  <r>
    <x v="0"/>
    <x v="24"/>
    <x v="24"/>
    <x v="15"/>
    <x v="15"/>
    <x v="15"/>
    <x v="8"/>
    <x v="142"/>
    <x v="298"/>
    <x v="75"/>
    <x v="311"/>
    <x v="87"/>
    <x v="18"/>
    <x v="2"/>
  </r>
  <r>
    <x v="0"/>
    <x v="24"/>
    <x v="24"/>
    <x v="9"/>
    <x v="9"/>
    <x v="9"/>
    <x v="9"/>
    <x v="140"/>
    <x v="285"/>
    <x v="36"/>
    <x v="312"/>
    <x v="98"/>
    <x v="252"/>
    <x v="2"/>
  </r>
  <r>
    <x v="0"/>
    <x v="24"/>
    <x v="24"/>
    <x v="13"/>
    <x v="13"/>
    <x v="13"/>
    <x v="9"/>
    <x v="140"/>
    <x v="285"/>
    <x v="51"/>
    <x v="313"/>
    <x v="87"/>
    <x v="18"/>
    <x v="2"/>
  </r>
  <r>
    <x v="0"/>
    <x v="24"/>
    <x v="24"/>
    <x v="6"/>
    <x v="6"/>
    <x v="6"/>
    <x v="11"/>
    <x v="153"/>
    <x v="65"/>
    <x v="111"/>
    <x v="314"/>
    <x v="54"/>
    <x v="258"/>
    <x v="2"/>
  </r>
  <r>
    <x v="0"/>
    <x v="24"/>
    <x v="24"/>
    <x v="17"/>
    <x v="17"/>
    <x v="17"/>
    <x v="12"/>
    <x v="158"/>
    <x v="144"/>
    <x v="95"/>
    <x v="292"/>
    <x v="57"/>
    <x v="259"/>
    <x v="2"/>
  </r>
  <r>
    <x v="0"/>
    <x v="24"/>
    <x v="24"/>
    <x v="12"/>
    <x v="12"/>
    <x v="12"/>
    <x v="12"/>
    <x v="158"/>
    <x v="144"/>
    <x v="44"/>
    <x v="315"/>
    <x v="68"/>
    <x v="135"/>
    <x v="2"/>
  </r>
  <r>
    <x v="0"/>
    <x v="24"/>
    <x v="24"/>
    <x v="11"/>
    <x v="11"/>
    <x v="11"/>
    <x v="14"/>
    <x v="144"/>
    <x v="299"/>
    <x v="44"/>
    <x v="315"/>
    <x v="87"/>
    <x v="18"/>
    <x v="2"/>
  </r>
  <r>
    <x v="0"/>
    <x v="24"/>
    <x v="24"/>
    <x v="30"/>
    <x v="30"/>
    <x v="30"/>
    <x v="15"/>
    <x v="150"/>
    <x v="113"/>
    <x v="87"/>
    <x v="316"/>
    <x v="53"/>
    <x v="257"/>
    <x v="2"/>
  </r>
  <r>
    <x v="0"/>
    <x v="24"/>
    <x v="24"/>
    <x v="16"/>
    <x v="16"/>
    <x v="16"/>
    <x v="15"/>
    <x v="150"/>
    <x v="113"/>
    <x v="119"/>
    <x v="55"/>
    <x v="87"/>
    <x v="18"/>
    <x v="2"/>
  </r>
  <r>
    <x v="0"/>
    <x v="24"/>
    <x v="24"/>
    <x v="10"/>
    <x v="10"/>
    <x v="10"/>
    <x v="17"/>
    <x v="151"/>
    <x v="226"/>
    <x v="66"/>
    <x v="317"/>
    <x v="68"/>
    <x v="135"/>
    <x v="2"/>
  </r>
  <r>
    <x v="0"/>
    <x v="24"/>
    <x v="24"/>
    <x v="31"/>
    <x v="31"/>
    <x v="31"/>
    <x v="18"/>
    <x v="145"/>
    <x v="130"/>
    <x v="88"/>
    <x v="10"/>
    <x v="103"/>
    <x v="181"/>
    <x v="2"/>
  </r>
  <r>
    <x v="0"/>
    <x v="24"/>
    <x v="24"/>
    <x v="44"/>
    <x v="44"/>
    <x v="44"/>
    <x v="18"/>
    <x v="145"/>
    <x v="130"/>
    <x v="66"/>
    <x v="317"/>
    <x v="87"/>
    <x v="18"/>
    <x v="2"/>
  </r>
  <r>
    <x v="0"/>
    <x v="24"/>
    <x v="24"/>
    <x v="19"/>
    <x v="19"/>
    <x v="19"/>
    <x v="18"/>
    <x v="145"/>
    <x v="130"/>
    <x v="119"/>
    <x v="55"/>
    <x v="68"/>
    <x v="135"/>
    <x v="2"/>
  </r>
  <r>
    <x v="0"/>
    <x v="25"/>
    <x v="25"/>
    <x v="10"/>
    <x v="10"/>
    <x v="10"/>
    <x v="0"/>
    <x v="122"/>
    <x v="300"/>
    <x v="65"/>
    <x v="318"/>
    <x v="46"/>
    <x v="260"/>
    <x v="2"/>
  </r>
  <r>
    <x v="0"/>
    <x v="25"/>
    <x v="25"/>
    <x v="15"/>
    <x v="15"/>
    <x v="15"/>
    <x v="1"/>
    <x v="105"/>
    <x v="301"/>
    <x v="128"/>
    <x v="319"/>
    <x v="103"/>
    <x v="181"/>
    <x v="2"/>
  </r>
  <r>
    <x v="0"/>
    <x v="25"/>
    <x v="25"/>
    <x v="2"/>
    <x v="2"/>
    <x v="2"/>
    <x v="2"/>
    <x v="93"/>
    <x v="302"/>
    <x v="63"/>
    <x v="196"/>
    <x v="98"/>
    <x v="17"/>
    <x v="2"/>
  </r>
  <r>
    <x v="0"/>
    <x v="25"/>
    <x v="25"/>
    <x v="1"/>
    <x v="1"/>
    <x v="1"/>
    <x v="3"/>
    <x v="73"/>
    <x v="303"/>
    <x v="65"/>
    <x v="318"/>
    <x v="67"/>
    <x v="261"/>
    <x v="2"/>
  </r>
  <r>
    <x v="0"/>
    <x v="25"/>
    <x v="25"/>
    <x v="3"/>
    <x v="3"/>
    <x v="3"/>
    <x v="4"/>
    <x v="94"/>
    <x v="304"/>
    <x v="78"/>
    <x v="320"/>
    <x v="98"/>
    <x v="17"/>
    <x v="2"/>
  </r>
  <r>
    <x v="0"/>
    <x v="25"/>
    <x v="25"/>
    <x v="6"/>
    <x v="6"/>
    <x v="6"/>
    <x v="5"/>
    <x v="95"/>
    <x v="305"/>
    <x v="87"/>
    <x v="321"/>
    <x v="64"/>
    <x v="262"/>
    <x v="2"/>
  </r>
  <r>
    <x v="0"/>
    <x v="25"/>
    <x v="25"/>
    <x v="9"/>
    <x v="9"/>
    <x v="9"/>
    <x v="5"/>
    <x v="95"/>
    <x v="305"/>
    <x v="87"/>
    <x v="321"/>
    <x v="64"/>
    <x v="262"/>
    <x v="2"/>
  </r>
  <r>
    <x v="0"/>
    <x v="25"/>
    <x v="25"/>
    <x v="4"/>
    <x v="4"/>
    <x v="4"/>
    <x v="7"/>
    <x v="125"/>
    <x v="306"/>
    <x v="51"/>
    <x v="265"/>
    <x v="98"/>
    <x v="17"/>
    <x v="2"/>
  </r>
  <r>
    <x v="0"/>
    <x v="25"/>
    <x v="25"/>
    <x v="5"/>
    <x v="5"/>
    <x v="5"/>
    <x v="8"/>
    <x v="156"/>
    <x v="307"/>
    <x v="94"/>
    <x v="322"/>
    <x v="53"/>
    <x v="263"/>
    <x v="2"/>
  </r>
  <r>
    <x v="0"/>
    <x v="25"/>
    <x v="25"/>
    <x v="8"/>
    <x v="8"/>
    <x v="8"/>
    <x v="9"/>
    <x v="142"/>
    <x v="308"/>
    <x v="75"/>
    <x v="207"/>
    <x v="87"/>
    <x v="264"/>
    <x v="2"/>
  </r>
  <r>
    <x v="0"/>
    <x v="25"/>
    <x v="25"/>
    <x v="0"/>
    <x v="0"/>
    <x v="0"/>
    <x v="10"/>
    <x v="143"/>
    <x v="166"/>
    <x v="75"/>
    <x v="207"/>
    <x v="103"/>
    <x v="181"/>
    <x v="2"/>
  </r>
  <r>
    <x v="0"/>
    <x v="25"/>
    <x v="25"/>
    <x v="16"/>
    <x v="16"/>
    <x v="16"/>
    <x v="11"/>
    <x v="158"/>
    <x v="156"/>
    <x v="66"/>
    <x v="162"/>
    <x v="98"/>
    <x v="17"/>
    <x v="2"/>
  </r>
  <r>
    <x v="0"/>
    <x v="25"/>
    <x v="25"/>
    <x v="12"/>
    <x v="12"/>
    <x v="12"/>
    <x v="12"/>
    <x v="149"/>
    <x v="299"/>
    <x v="88"/>
    <x v="280"/>
    <x v="68"/>
    <x v="265"/>
    <x v="2"/>
  </r>
  <r>
    <x v="0"/>
    <x v="25"/>
    <x v="25"/>
    <x v="20"/>
    <x v="20"/>
    <x v="20"/>
    <x v="13"/>
    <x v="150"/>
    <x v="309"/>
    <x v="66"/>
    <x v="162"/>
    <x v="82"/>
    <x v="266"/>
    <x v="2"/>
  </r>
  <r>
    <x v="0"/>
    <x v="25"/>
    <x v="25"/>
    <x v="11"/>
    <x v="11"/>
    <x v="11"/>
    <x v="13"/>
    <x v="150"/>
    <x v="309"/>
    <x v="87"/>
    <x v="321"/>
    <x v="53"/>
    <x v="263"/>
    <x v="2"/>
  </r>
  <r>
    <x v="0"/>
    <x v="25"/>
    <x v="25"/>
    <x v="27"/>
    <x v="27"/>
    <x v="27"/>
    <x v="15"/>
    <x v="151"/>
    <x v="215"/>
    <x v="119"/>
    <x v="323"/>
    <x v="82"/>
    <x v="266"/>
    <x v="2"/>
  </r>
  <r>
    <x v="0"/>
    <x v="25"/>
    <x v="25"/>
    <x v="30"/>
    <x v="30"/>
    <x v="30"/>
    <x v="16"/>
    <x v="145"/>
    <x v="34"/>
    <x v="88"/>
    <x v="280"/>
    <x v="103"/>
    <x v="181"/>
    <x v="2"/>
  </r>
  <r>
    <x v="0"/>
    <x v="25"/>
    <x v="25"/>
    <x v="24"/>
    <x v="24"/>
    <x v="24"/>
    <x v="16"/>
    <x v="145"/>
    <x v="34"/>
    <x v="95"/>
    <x v="324"/>
    <x v="82"/>
    <x v="266"/>
    <x v="2"/>
  </r>
  <r>
    <x v="0"/>
    <x v="25"/>
    <x v="25"/>
    <x v="25"/>
    <x v="25"/>
    <x v="25"/>
    <x v="16"/>
    <x v="145"/>
    <x v="34"/>
    <x v="134"/>
    <x v="188"/>
    <x v="98"/>
    <x v="17"/>
    <x v="2"/>
  </r>
  <r>
    <x v="0"/>
    <x v="25"/>
    <x v="25"/>
    <x v="13"/>
    <x v="13"/>
    <x v="13"/>
    <x v="16"/>
    <x v="145"/>
    <x v="34"/>
    <x v="111"/>
    <x v="79"/>
    <x v="53"/>
    <x v="263"/>
    <x v="2"/>
  </r>
  <r>
    <x v="0"/>
    <x v="26"/>
    <x v="26"/>
    <x v="0"/>
    <x v="0"/>
    <x v="0"/>
    <x v="0"/>
    <x v="47"/>
    <x v="310"/>
    <x v="116"/>
    <x v="325"/>
    <x v="77"/>
    <x v="267"/>
    <x v="2"/>
  </r>
  <r>
    <x v="0"/>
    <x v="26"/>
    <x v="26"/>
    <x v="2"/>
    <x v="2"/>
    <x v="2"/>
    <x v="1"/>
    <x v="48"/>
    <x v="311"/>
    <x v="143"/>
    <x v="326"/>
    <x v="77"/>
    <x v="267"/>
    <x v="2"/>
  </r>
  <r>
    <x v="0"/>
    <x v="26"/>
    <x v="26"/>
    <x v="5"/>
    <x v="5"/>
    <x v="5"/>
    <x v="2"/>
    <x v="163"/>
    <x v="312"/>
    <x v="133"/>
    <x v="327"/>
    <x v="53"/>
    <x v="268"/>
    <x v="2"/>
  </r>
  <r>
    <x v="0"/>
    <x v="26"/>
    <x v="26"/>
    <x v="10"/>
    <x v="10"/>
    <x v="10"/>
    <x v="3"/>
    <x v="52"/>
    <x v="313"/>
    <x v="61"/>
    <x v="328"/>
    <x v="71"/>
    <x v="269"/>
    <x v="2"/>
  </r>
  <r>
    <x v="0"/>
    <x v="26"/>
    <x v="26"/>
    <x v="8"/>
    <x v="8"/>
    <x v="8"/>
    <x v="4"/>
    <x v="53"/>
    <x v="314"/>
    <x v="79"/>
    <x v="329"/>
    <x v="83"/>
    <x v="84"/>
    <x v="2"/>
  </r>
  <r>
    <x v="0"/>
    <x v="26"/>
    <x v="26"/>
    <x v="3"/>
    <x v="3"/>
    <x v="3"/>
    <x v="4"/>
    <x v="53"/>
    <x v="314"/>
    <x v="118"/>
    <x v="330"/>
    <x v="84"/>
    <x v="270"/>
    <x v="2"/>
  </r>
  <r>
    <x v="0"/>
    <x v="26"/>
    <x v="26"/>
    <x v="1"/>
    <x v="1"/>
    <x v="1"/>
    <x v="6"/>
    <x v="122"/>
    <x v="315"/>
    <x v="64"/>
    <x v="331"/>
    <x v="86"/>
    <x v="213"/>
    <x v="2"/>
  </r>
  <r>
    <x v="0"/>
    <x v="26"/>
    <x v="26"/>
    <x v="9"/>
    <x v="9"/>
    <x v="9"/>
    <x v="7"/>
    <x v="137"/>
    <x v="316"/>
    <x v="35"/>
    <x v="132"/>
    <x v="49"/>
    <x v="271"/>
    <x v="2"/>
  </r>
  <r>
    <x v="0"/>
    <x v="26"/>
    <x v="26"/>
    <x v="6"/>
    <x v="6"/>
    <x v="6"/>
    <x v="8"/>
    <x v="69"/>
    <x v="317"/>
    <x v="86"/>
    <x v="332"/>
    <x v="30"/>
    <x v="272"/>
    <x v="2"/>
  </r>
  <r>
    <x v="0"/>
    <x v="26"/>
    <x v="26"/>
    <x v="15"/>
    <x v="15"/>
    <x v="15"/>
    <x v="9"/>
    <x v="72"/>
    <x v="318"/>
    <x v="85"/>
    <x v="333"/>
    <x v="53"/>
    <x v="268"/>
    <x v="2"/>
  </r>
  <r>
    <x v="0"/>
    <x v="26"/>
    <x v="26"/>
    <x v="4"/>
    <x v="4"/>
    <x v="4"/>
    <x v="10"/>
    <x v="94"/>
    <x v="140"/>
    <x v="65"/>
    <x v="334"/>
    <x v="77"/>
    <x v="267"/>
    <x v="2"/>
  </r>
  <r>
    <x v="0"/>
    <x v="26"/>
    <x v="26"/>
    <x v="27"/>
    <x v="27"/>
    <x v="27"/>
    <x v="11"/>
    <x v="139"/>
    <x v="319"/>
    <x v="64"/>
    <x v="331"/>
    <x v="44"/>
    <x v="0"/>
    <x v="2"/>
  </r>
  <r>
    <x v="0"/>
    <x v="26"/>
    <x v="26"/>
    <x v="16"/>
    <x v="16"/>
    <x v="16"/>
    <x v="12"/>
    <x v="125"/>
    <x v="213"/>
    <x v="66"/>
    <x v="335"/>
    <x v="57"/>
    <x v="116"/>
    <x v="2"/>
  </r>
  <r>
    <x v="0"/>
    <x v="26"/>
    <x v="26"/>
    <x v="11"/>
    <x v="11"/>
    <x v="11"/>
    <x v="13"/>
    <x v="156"/>
    <x v="31"/>
    <x v="51"/>
    <x v="66"/>
    <x v="82"/>
    <x v="273"/>
    <x v="2"/>
  </r>
  <r>
    <x v="0"/>
    <x v="26"/>
    <x v="26"/>
    <x v="17"/>
    <x v="17"/>
    <x v="17"/>
    <x v="14"/>
    <x v="140"/>
    <x v="320"/>
    <x v="119"/>
    <x v="136"/>
    <x v="66"/>
    <x v="107"/>
    <x v="2"/>
  </r>
  <r>
    <x v="0"/>
    <x v="26"/>
    <x v="26"/>
    <x v="13"/>
    <x v="13"/>
    <x v="13"/>
    <x v="15"/>
    <x v="143"/>
    <x v="321"/>
    <x v="86"/>
    <x v="332"/>
    <x v="87"/>
    <x v="274"/>
    <x v="2"/>
  </r>
  <r>
    <x v="0"/>
    <x v="26"/>
    <x v="26"/>
    <x v="45"/>
    <x v="45"/>
    <x v="45"/>
    <x v="15"/>
    <x v="143"/>
    <x v="321"/>
    <x v="36"/>
    <x v="336"/>
    <x v="82"/>
    <x v="273"/>
    <x v="2"/>
  </r>
  <r>
    <x v="0"/>
    <x v="26"/>
    <x v="26"/>
    <x v="12"/>
    <x v="12"/>
    <x v="12"/>
    <x v="17"/>
    <x v="153"/>
    <x v="322"/>
    <x v="111"/>
    <x v="337"/>
    <x v="54"/>
    <x v="151"/>
    <x v="2"/>
  </r>
  <r>
    <x v="0"/>
    <x v="26"/>
    <x v="26"/>
    <x v="25"/>
    <x v="25"/>
    <x v="25"/>
    <x v="18"/>
    <x v="158"/>
    <x v="323"/>
    <x v="66"/>
    <x v="335"/>
    <x v="54"/>
    <x v="151"/>
    <x v="2"/>
  </r>
  <r>
    <x v="0"/>
    <x v="26"/>
    <x v="26"/>
    <x v="7"/>
    <x v="7"/>
    <x v="7"/>
    <x v="18"/>
    <x v="158"/>
    <x v="323"/>
    <x v="66"/>
    <x v="335"/>
    <x v="54"/>
    <x v="151"/>
    <x v="2"/>
  </r>
  <r>
    <x v="0"/>
    <x v="27"/>
    <x v="27"/>
    <x v="0"/>
    <x v="0"/>
    <x v="0"/>
    <x v="0"/>
    <x v="49"/>
    <x v="324"/>
    <x v="116"/>
    <x v="338"/>
    <x v="53"/>
    <x v="257"/>
    <x v="2"/>
  </r>
  <r>
    <x v="0"/>
    <x v="27"/>
    <x v="27"/>
    <x v="2"/>
    <x v="2"/>
    <x v="2"/>
    <x v="1"/>
    <x v="68"/>
    <x v="325"/>
    <x v="84"/>
    <x v="339"/>
    <x v="98"/>
    <x v="252"/>
    <x v="2"/>
  </r>
  <r>
    <x v="0"/>
    <x v="27"/>
    <x v="27"/>
    <x v="1"/>
    <x v="1"/>
    <x v="1"/>
    <x v="2"/>
    <x v="122"/>
    <x v="326"/>
    <x v="50"/>
    <x v="340"/>
    <x v="40"/>
    <x v="254"/>
    <x v="2"/>
  </r>
  <r>
    <x v="0"/>
    <x v="27"/>
    <x v="27"/>
    <x v="3"/>
    <x v="3"/>
    <x v="3"/>
    <x v="3"/>
    <x v="137"/>
    <x v="327"/>
    <x v="97"/>
    <x v="341"/>
    <x v="84"/>
    <x v="275"/>
    <x v="2"/>
  </r>
  <r>
    <x v="0"/>
    <x v="27"/>
    <x v="27"/>
    <x v="5"/>
    <x v="5"/>
    <x v="5"/>
    <x v="4"/>
    <x v="55"/>
    <x v="229"/>
    <x v="85"/>
    <x v="342"/>
    <x v="87"/>
    <x v="18"/>
    <x v="2"/>
  </r>
  <r>
    <x v="0"/>
    <x v="27"/>
    <x v="27"/>
    <x v="6"/>
    <x v="6"/>
    <x v="6"/>
    <x v="5"/>
    <x v="97"/>
    <x v="328"/>
    <x v="119"/>
    <x v="343"/>
    <x v="64"/>
    <x v="276"/>
    <x v="2"/>
  </r>
  <r>
    <x v="0"/>
    <x v="27"/>
    <x v="27"/>
    <x v="10"/>
    <x v="10"/>
    <x v="10"/>
    <x v="6"/>
    <x v="156"/>
    <x v="329"/>
    <x v="51"/>
    <x v="344"/>
    <x v="82"/>
    <x v="277"/>
    <x v="2"/>
  </r>
  <r>
    <x v="0"/>
    <x v="27"/>
    <x v="27"/>
    <x v="8"/>
    <x v="8"/>
    <x v="8"/>
    <x v="7"/>
    <x v="142"/>
    <x v="330"/>
    <x v="77"/>
    <x v="345"/>
    <x v="98"/>
    <x v="252"/>
    <x v="2"/>
  </r>
  <r>
    <x v="0"/>
    <x v="27"/>
    <x v="27"/>
    <x v="15"/>
    <x v="15"/>
    <x v="15"/>
    <x v="7"/>
    <x v="142"/>
    <x v="330"/>
    <x v="94"/>
    <x v="346"/>
    <x v="103"/>
    <x v="181"/>
    <x v="2"/>
  </r>
  <r>
    <x v="0"/>
    <x v="27"/>
    <x v="27"/>
    <x v="4"/>
    <x v="4"/>
    <x v="4"/>
    <x v="9"/>
    <x v="140"/>
    <x v="141"/>
    <x v="51"/>
    <x v="344"/>
    <x v="87"/>
    <x v="18"/>
    <x v="2"/>
  </r>
  <r>
    <x v="0"/>
    <x v="27"/>
    <x v="27"/>
    <x v="16"/>
    <x v="16"/>
    <x v="16"/>
    <x v="9"/>
    <x v="140"/>
    <x v="141"/>
    <x v="95"/>
    <x v="16"/>
    <x v="44"/>
    <x v="278"/>
    <x v="2"/>
  </r>
  <r>
    <x v="0"/>
    <x v="27"/>
    <x v="27"/>
    <x v="11"/>
    <x v="11"/>
    <x v="11"/>
    <x v="11"/>
    <x v="153"/>
    <x v="8"/>
    <x v="77"/>
    <x v="345"/>
    <x v="87"/>
    <x v="18"/>
    <x v="2"/>
  </r>
  <r>
    <x v="0"/>
    <x v="27"/>
    <x v="27"/>
    <x v="13"/>
    <x v="13"/>
    <x v="13"/>
    <x v="11"/>
    <x v="153"/>
    <x v="8"/>
    <x v="86"/>
    <x v="347"/>
    <x v="53"/>
    <x v="257"/>
    <x v="2"/>
  </r>
  <r>
    <x v="0"/>
    <x v="27"/>
    <x v="27"/>
    <x v="20"/>
    <x v="20"/>
    <x v="20"/>
    <x v="13"/>
    <x v="158"/>
    <x v="254"/>
    <x v="95"/>
    <x v="16"/>
    <x v="57"/>
    <x v="259"/>
    <x v="2"/>
  </r>
  <r>
    <x v="0"/>
    <x v="27"/>
    <x v="27"/>
    <x v="9"/>
    <x v="9"/>
    <x v="9"/>
    <x v="14"/>
    <x v="150"/>
    <x v="16"/>
    <x v="66"/>
    <x v="77"/>
    <x v="82"/>
    <x v="277"/>
    <x v="2"/>
  </r>
  <r>
    <x v="0"/>
    <x v="27"/>
    <x v="27"/>
    <x v="7"/>
    <x v="7"/>
    <x v="7"/>
    <x v="14"/>
    <x v="150"/>
    <x v="16"/>
    <x v="87"/>
    <x v="348"/>
    <x v="53"/>
    <x v="257"/>
    <x v="2"/>
  </r>
  <r>
    <x v="0"/>
    <x v="27"/>
    <x v="27"/>
    <x v="41"/>
    <x v="41"/>
    <x v="41"/>
    <x v="16"/>
    <x v="151"/>
    <x v="54"/>
    <x v="134"/>
    <x v="188"/>
    <x v="77"/>
    <x v="279"/>
    <x v="2"/>
  </r>
  <r>
    <x v="0"/>
    <x v="27"/>
    <x v="27"/>
    <x v="12"/>
    <x v="12"/>
    <x v="12"/>
    <x v="16"/>
    <x v="151"/>
    <x v="54"/>
    <x v="111"/>
    <x v="147"/>
    <x v="53"/>
    <x v="257"/>
    <x v="2"/>
  </r>
  <r>
    <x v="0"/>
    <x v="27"/>
    <x v="27"/>
    <x v="22"/>
    <x v="22"/>
    <x v="22"/>
    <x v="18"/>
    <x v="145"/>
    <x v="331"/>
    <x v="134"/>
    <x v="188"/>
    <x v="98"/>
    <x v="252"/>
    <x v="2"/>
  </r>
  <r>
    <x v="0"/>
    <x v="27"/>
    <x v="27"/>
    <x v="26"/>
    <x v="26"/>
    <x v="26"/>
    <x v="18"/>
    <x v="145"/>
    <x v="331"/>
    <x v="66"/>
    <x v="77"/>
    <x v="87"/>
    <x v="18"/>
    <x v="2"/>
  </r>
  <r>
    <x v="0"/>
    <x v="28"/>
    <x v="28"/>
    <x v="1"/>
    <x v="1"/>
    <x v="1"/>
    <x v="0"/>
    <x v="164"/>
    <x v="332"/>
    <x v="144"/>
    <x v="349"/>
    <x v="48"/>
    <x v="280"/>
    <x v="2"/>
  </r>
  <r>
    <x v="0"/>
    <x v="28"/>
    <x v="28"/>
    <x v="2"/>
    <x v="2"/>
    <x v="2"/>
    <x v="1"/>
    <x v="119"/>
    <x v="325"/>
    <x v="70"/>
    <x v="350"/>
    <x v="58"/>
    <x v="281"/>
    <x v="2"/>
  </r>
  <r>
    <x v="0"/>
    <x v="28"/>
    <x v="28"/>
    <x v="0"/>
    <x v="0"/>
    <x v="0"/>
    <x v="2"/>
    <x v="65"/>
    <x v="333"/>
    <x v="116"/>
    <x v="213"/>
    <x v="54"/>
    <x v="282"/>
    <x v="2"/>
  </r>
  <r>
    <x v="0"/>
    <x v="28"/>
    <x v="28"/>
    <x v="5"/>
    <x v="5"/>
    <x v="5"/>
    <x v="3"/>
    <x v="165"/>
    <x v="295"/>
    <x v="133"/>
    <x v="351"/>
    <x v="98"/>
    <x v="283"/>
    <x v="2"/>
  </r>
  <r>
    <x v="0"/>
    <x v="28"/>
    <x v="28"/>
    <x v="6"/>
    <x v="6"/>
    <x v="6"/>
    <x v="4"/>
    <x v="68"/>
    <x v="334"/>
    <x v="36"/>
    <x v="352"/>
    <x v="70"/>
    <x v="284"/>
    <x v="2"/>
  </r>
  <r>
    <x v="0"/>
    <x v="28"/>
    <x v="28"/>
    <x v="3"/>
    <x v="3"/>
    <x v="3"/>
    <x v="5"/>
    <x v="69"/>
    <x v="335"/>
    <x v="63"/>
    <x v="353"/>
    <x v="66"/>
    <x v="285"/>
    <x v="2"/>
  </r>
  <r>
    <x v="0"/>
    <x v="28"/>
    <x v="28"/>
    <x v="9"/>
    <x v="9"/>
    <x v="9"/>
    <x v="6"/>
    <x v="105"/>
    <x v="336"/>
    <x v="51"/>
    <x v="103"/>
    <x v="71"/>
    <x v="286"/>
    <x v="2"/>
  </r>
  <r>
    <x v="0"/>
    <x v="28"/>
    <x v="28"/>
    <x v="10"/>
    <x v="10"/>
    <x v="10"/>
    <x v="7"/>
    <x v="71"/>
    <x v="337"/>
    <x v="35"/>
    <x v="354"/>
    <x v="83"/>
    <x v="124"/>
    <x v="2"/>
  </r>
  <r>
    <x v="0"/>
    <x v="28"/>
    <x v="28"/>
    <x v="8"/>
    <x v="8"/>
    <x v="8"/>
    <x v="8"/>
    <x v="72"/>
    <x v="338"/>
    <x v="71"/>
    <x v="355"/>
    <x v="54"/>
    <x v="282"/>
    <x v="2"/>
  </r>
  <r>
    <x v="0"/>
    <x v="28"/>
    <x v="28"/>
    <x v="4"/>
    <x v="4"/>
    <x v="4"/>
    <x v="9"/>
    <x v="159"/>
    <x v="203"/>
    <x v="35"/>
    <x v="354"/>
    <x v="77"/>
    <x v="97"/>
    <x v="2"/>
  </r>
  <r>
    <x v="0"/>
    <x v="28"/>
    <x v="28"/>
    <x v="35"/>
    <x v="35"/>
    <x v="35"/>
    <x v="10"/>
    <x v="124"/>
    <x v="339"/>
    <x v="78"/>
    <x v="356"/>
    <x v="53"/>
    <x v="140"/>
    <x v="2"/>
  </r>
  <r>
    <x v="0"/>
    <x v="28"/>
    <x v="28"/>
    <x v="11"/>
    <x v="11"/>
    <x v="11"/>
    <x v="10"/>
    <x v="124"/>
    <x v="339"/>
    <x v="35"/>
    <x v="354"/>
    <x v="82"/>
    <x v="287"/>
    <x v="2"/>
  </r>
  <r>
    <x v="0"/>
    <x v="28"/>
    <x v="28"/>
    <x v="43"/>
    <x v="43"/>
    <x v="43"/>
    <x v="12"/>
    <x v="96"/>
    <x v="340"/>
    <x v="86"/>
    <x v="357"/>
    <x v="67"/>
    <x v="65"/>
    <x v="2"/>
  </r>
  <r>
    <x v="0"/>
    <x v="28"/>
    <x v="28"/>
    <x v="12"/>
    <x v="12"/>
    <x v="12"/>
    <x v="12"/>
    <x v="96"/>
    <x v="340"/>
    <x v="44"/>
    <x v="293"/>
    <x v="66"/>
    <x v="285"/>
    <x v="2"/>
  </r>
  <r>
    <x v="0"/>
    <x v="28"/>
    <x v="28"/>
    <x v="13"/>
    <x v="13"/>
    <x v="13"/>
    <x v="12"/>
    <x v="96"/>
    <x v="340"/>
    <x v="96"/>
    <x v="358"/>
    <x v="68"/>
    <x v="90"/>
    <x v="2"/>
  </r>
  <r>
    <x v="0"/>
    <x v="28"/>
    <x v="28"/>
    <x v="16"/>
    <x v="16"/>
    <x v="16"/>
    <x v="15"/>
    <x v="97"/>
    <x v="14"/>
    <x v="134"/>
    <x v="188"/>
    <x v="84"/>
    <x v="288"/>
    <x v="2"/>
  </r>
  <r>
    <x v="0"/>
    <x v="28"/>
    <x v="28"/>
    <x v="27"/>
    <x v="27"/>
    <x v="27"/>
    <x v="16"/>
    <x v="156"/>
    <x v="16"/>
    <x v="75"/>
    <x v="277"/>
    <x v="68"/>
    <x v="90"/>
    <x v="2"/>
  </r>
  <r>
    <x v="0"/>
    <x v="28"/>
    <x v="28"/>
    <x v="7"/>
    <x v="7"/>
    <x v="7"/>
    <x v="16"/>
    <x v="156"/>
    <x v="16"/>
    <x v="77"/>
    <x v="359"/>
    <x v="77"/>
    <x v="97"/>
    <x v="2"/>
  </r>
  <r>
    <x v="0"/>
    <x v="28"/>
    <x v="28"/>
    <x v="22"/>
    <x v="22"/>
    <x v="22"/>
    <x v="18"/>
    <x v="140"/>
    <x v="341"/>
    <x v="134"/>
    <x v="188"/>
    <x v="84"/>
    <x v="288"/>
    <x v="2"/>
  </r>
  <r>
    <x v="0"/>
    <x v="28"/>
    <x v="28"/>
    <x v="19"/>
    <x v="19"/>
    <x v="19"/>
    <x v="18"/>
    <x v="140"/>
    <x v="341"/>
    <x v="111"/>
    <x v="360"/>
    <x v="57"/>
    <x v="289"/>
    <x v="2"/>
  </r>
  <r>
    <x v="0"/>
    <x v="28"/>
    <x v="28"/>
    <x v="15"/>
    <x v="15"/>
    <x v="15"/>
    <x v="18"/>
    <x v="140"/>
    <x v="341"/>
    <x v="75"/>
    <x v="277"/>
    <x v="53"/>
    <x v="140"/>
    <x v="2"/>
  </r>
  <r>
    <x v="0"/>
    <x v="29"/>
    <x v="29"/>
    <x v="18"/>
    <x v="18"/>
    <x v="18"/>
    <x v="0"/>
    <x v="125"/>
    <x v="342"/>
    <x v="64"/>
    <x v="361"/>
    <x v="87"/>
    <x v="290"/>
    <x v="2"/>
  </r>
  <r>
    <x v="0"/>
    <x v="29"/>
    <x v="29"/>
    <x v="14"/>
    <x v="14"/>
    <x v="14"/>
    <x v="1"/>
    <x v="143"/>
    <x v="343"/>
    <x v="51"/>
    <x v="362"/>
    <x v="53"/>
    <x v="291"/>
    <x v="2"/>
  </r>
  <r>
    <x v="0"/>
    <x v="29"/>
    <x v="29"/>
    <x v="0"/>
    <x v="0"/>
    <x v="0"/>
    <x v="2"/>
    <x v="144"/>
    <x v="344"/>
    <x v="44"/>
    <x v="363"/>
    <x v="87"/>
    <x v="290"/>
    <x v="2"/>
  </r>
  <r>
    <x v="0"/>
    <x v="29"/>
    <x v="29"/>
    <x v="4"/>
    <x v="4"/>
    <x v="4"/>
    <x v="3"/>
    <x v="146"/>
    <x v="345"/>
    <x v="66"/>
    <x v="364"/>
    <x v="53"/>
    <x v="291"/>
    <x v="2"/>
  </r>
  <r>
    <x v="0"/>
    <x v="29"/>
    <x v="29"/>
    <x v="6"/>
    <x v="6"/>
    <x v="6"/>
    <x v="4"/>
    <x v="147"/>
    <x v="346"/>
    <x v="119"/>
    <x v="365"/>
    <x v="53"/>
    <x v="291"/>
    <x v="2"/>
  </r>
  <r>
    <x v="0"/>
    <x v="29"/>
    <x v="29"/>
    <x v="26"/>
    <x v="26"/>
    <x v="26"/>
    <x v="4"/>
    <x v="147"/>
    <x v="346"/>
    <x v="119"/>
    <x v="365"/>
    <x v="103"/>
    <x v="181"/>
    <x v="2"/>
  </r>
  <r>
    <x v="0"/>
    <x v="29"/>
    <x v="29"/>
    <x v="21"/>
    <x v="21"/>
    <x v="21"/>
    <x v="4"/>
    <x v="147"/>
    <x v="346"/>
    <x v="95"/>
    <x v="366"/>
    <x v="87"/>
    <x v="290"/>
    <x v="2"/>
  </r>
  <r>
    <x v="0"/>
    <x v="29"/>
    <x v="29"/>
    <x v="1"/>
    <x v="1"/>
    <x v="1"/>
    <x v="7"/>
    <x v="148"/>
    <x v="347"/>
    <x v="134"/>
    <x v="188"/>
    <x v="87"/>
    <x v="290"/>
    <x v="2"/>
  </r>
  <r>
    <x v="0"/>
    <x v="29"/>
    <x v="29"/>
    <x v="29"/>
    <x v="29"/>
    <x v="29"/>
    <x v="7"/>
    <x v="148"/>
    <x v="347"/>
    <x v="119"/>
    <x v="365"/>
    <x v="103"/>
    <x v="181"/>
    <x v="2"/>
  </r>
  <r>
    <x v="0"/>
    <x v="29"/>
    <x v="29"/>
    <x v="2"/>
    <x v="2"/>
    <x v="2"/>
    <x v="7"/>
    <x v="148"/>
    <x v="347"/>
    <x v="119"/>
    <x v="365"/>
    <x v="103"/>
    <x v="181"/>
    <x v="2"/>
  </r>
  <r>
    <x v="0"/>
    <x v="29"/>
    <x v="29"/>
    <x v="19"/>
    <x v="19"/>
    <x v="19"/>
    <x v="7"/>
    <x v="148"/>
    <x v="347"/>
    <x v="119"/>
    <x v="365"/>
    <x v="103"/>
    <x v="181"/>
    <x v="2"/>
  </r>
  <r>
    <x v="0"/>
    <x v="29"/>
    <x v="29"/>
    <x v="16"/>
    <x v="16"/>
    <x v="16"/>
    <x v="7"/>
    <x v="148"/>
    <x v="347"/>
    <x v="134"/>
    <x v="188"/>
    <x v="103"/>
    <x v="181"/>
    <x v="2"/>
  </r>
  <r>
    <x v="0"/>
    <x v="29"/>
    <x v="29"/>
    <x v="9"/>
    <x v="9"/>
    <x v="9"/>
    <x v="12"/>
    <x v="152"/>
    <x v="35"/>
    <x v="95"/>
    <x v="366"/>
    <x v="103"/>
    <x v="181"/>
    <x v="2"/>
  </r>
  <r>
    <x v="0"/>
    <x v="29"/>
    <x v="29"/>
    <x v="31"/>
    <x v="31"/>
    <x v="31"/>
    <x v="12"/>
    <x v="152"/>
    <x v="35"/>
    <x v="95"/>
    <x v="366"/>
    <x v="103"/>
    <x v="181"/>
    <x v="2"/>
  </r>
  <r>
    <x v="0"/>
    <x v="29"/>
    <x v="29"/>
    <x v="34"/>
    <x v="34"/>
    <x v="34"/>
    <x v="12"/>
    <x v="152"/>
    <x v="35"/>
    <x v="134"/>
    <x v="188"/>
    <x v="103"/>
    <x v="181"/>
    <x v="2"/>
  </r>
  <r>
    <x v="0"/>
    <x v="29"/>
    <x v="29"/>
    <x v="46"/>
    <x v="46"/>
    <x v="46"/>
    <x v="12"/>
    <x v="152"/>
    <x v="35"/>
    <x v="95"/>
    <x v="366"/>
    <x v="103"/>
    <x v="181"/>
    <x v="2"/>
  </r>
  <r>
    <x v="0"/>
    <x v="29"/>
    <x v="29"/>
    <x v="30"/>
    <x v="30"/>
    <x v="30"/>
    <x v="12"/>
    <x v="152"/>
    <x v="35"/>
    <x v="95"/>
    <x v="366"/>
    <x v="103"/>
    <x v="181"/>
    <x v="2"/>
  </r>
  <r>
    <x v="0"/>
    <x v="29"/>
    <x v="29"/>
    <x v="28"/>
    <x v="28"/>
    <x v="28"/>
    <x v="12"/>
    <x v="152"/>
    <x v="35"/>
    <x v="95"/>
    <x v="366"/>
    <x v="103"/>
    <x v="181"/>
    <x v="2"/>
  </r>
  <r>
    <x v="0"/>
    <x v="29"/>
    <x v="29"/>
    <x v="38"/>
    <x v="38"/>
    <x v="38"/>
    <x v="12"/>
    <x v="152"/>
    <x v="35"/>
    <x v="134"/>
    <x v="188"/>
    <x v="53"/>
    <x v="291"/>
    <x v="2"/>
  </r>
  <r>
    <x v="0"/>
    <x v="29"/>
    <x v="29"/>
    <x v="11"/>
    <x v="11"/>
    <x v="11"/>
    <x v="12"/>
    <x v="152"/>
    <x v="35"/>
    <x v="95"/>
    <x v="366"/>
    <x v="103"/>
    <x v="181"/>
    <x v="2"/>
  </r>
  <r>
    <x v="0"/>
    <x v="29"/>
    <x v="29"/>
    <x v="47"/>
    <x v="47"/>
    <x v="47"/>
    <x v="12"/>
    <x v="152"/>
    <x v="35"/>
    <x v="95"/>
    <x v="366"/>
    <x v="103"/>
    <x v="181"/>
    <x v="2"/>
  </r>
  <r>
    <x v="0"/>
    <x v="29"/>
    <x v="29"/>
    <x v="13"/>
    <x v="13"/>
    <x v="13"/>
    <x v="12"/>
    <x v="152"/>
    <x v="35"/>
    <x v="95"/>
    <x v="366"/>
    <x v="103"/>
    <x v="181"/>
    <x v="2"/>
  </r>
  <r>
    <x v="0"/>
    <x v="29"/>
    <x v="29"/>
    <x v="39"/>
    <x v="39"/>
    <x v="39"/>
    <x v="12"/>
    <x v="152"/>
    <x v="35"/>
    <x v="134"/>
    <x v="188"/>
    <x v="103"/>
    <x v="181"/>
    <x v="2"/>
  </r>
  <r>
    <x v="0"/>
    <x v="30"/>
    <x v="30"/>
    <x v="14"/>
    <x v="14"/>
    <x v="14"/>
    <x v="0"/>
    <x v="154"/>
    <x v="348"/>
    <x v="31"/>
    <x v="367"/>
    <x v="54"/>
    <x v="292"/>
    <x v="2"/>
  </r>
  <r>
    <x v="0"/>
    <x v="30"/>
    <x v="30"/>
    <x v="18"/>
    <x v="18"/>
    <x v="18"/>
    <x v="1"/>
    <x v="137"/>
    <x v="349"/>
    <x v="109"/>
    <x v="368"/>
    <x v="82"/>
    <x v="293"/>
    <x v="2"/>
  </r>
  <r>
    <x v="0"/>
    <x v="30"/>
    <x v="30"/>
    <x v="0"/>
    <x v="0"/>
    <x v="0"/>
    <x v="2"/>
    <x v="159"/>
    <x v="350"/>
    <x v="135"/>
    <x v="369"/>
    <x v="53"/>
    <x v="294"/>
    <x v="2"/>
  </r>
  <r>
    <x v="0"/>
    <x v="30"/>
    <x v="30"/>
    <x v="4"/>
    <x v="4"/>
    <x v="4"/>
    <x v="3"/>
    <x v="149"/>
    <x v="351"/>
    <x v="44"/>
    <x v="370"/>
    <x v="53"/>
    <x v="294"/>
    <x v="2"/>
  </r>
  <r>
    <x v="0"/>
    <x v="30"/>
    <x v="30"/>
    <x v="29"/>
    <x v="29"/>
    <x v="29"/>
    <x v="3"/>
    <x v="149"/>
    <x v="351"/>
    <x v="36"/>
    <x v="371"/>
    <x v="103"/>
    <x v="181"/>
    <x v="2"/>
  </r>
  <r>
    <x v="0"/>
    <x v="30"/>
    <x v="30"/>
    <x v="3"/>
    <x v="3"/>
    <x v="3"/>
    <x v="5"/>
    <x v="146"/>
    <x v="352"/>
    <x v="119"/>
    <x v="314"/>
    <x v="87"/>
    <x v="295"/>
    <x v="2"/>
  </r>
  <r>
    <x v="0"/>
    <x v="30"/>
    <x v="30"/>
    <x v="5"/>
    <x v="5"/>
    <x v="5"/>
    <x v="6"/>
    <x v="147"/>
    <x v="340"/>
    <x v="66"/>
    <x v="316"/>
    <x v="103"/>
    <x v="181"/>
    <x v="2"/>
  </r>
  <r>
    <x v="0"/>
    <x v="30"/>
    <x v="30"/>
    <x v="10"/>
    <x v="10"/>
    <x v="10"/>
    <x v="7"/>
    <x v="148"/>
    <x v="353"/>
    <x v="119"/>
    <x v="314"/>
    <x v="103"/>
    <x v="181"/>
    <x v="2"/>
  </r>
  <r>
    <x v="0"/>
    <x v="30"/>
    <x v="30"/>
    <x v="31"/>
    <x v="31"/>
    <x v="31"/>
    <x v="7"/>
    <x v="148"/>
    <x v="353"/>
    <x v="95"/>
    <x v="55"/>
    <x v="53"/>
    <x v="294"/>
    <x v="2"/>
  </r>
  <r>
    <x v="0"/>
    <x v="30"/>
    <x v="30"/>
    <x v="28"/>
    <x v="28"/>
    <x v="28"/>
    <x v="7"/>
    <x v="148"/>
    <x v="353"/>
    <x v="119"/>
    <x v="314"/>
    <x v="103"/>
    <x v="181"/>
    <x v="2"/>
  </r>
  <r>
    <x v="0"/>
    <x v="30"/>
    <x v="30"/>
    <x v="7"/>
    <x v="7"/>
    <x v="7"/>
    <x v="7"/>
    <x v="148"/>
    <x v="353"/>
    <x v="119"/>
    <x v="314"/>
    <x v="103"/>
    <x v="181"/>
    <x v="2"/>
  </r>
  <r>
    <x v="0"/>
    <x v="30"/>
    <x v="30"/>
    <x v="26"/>
    <x v="26"/>
    <x v="26"/>
    <x v="7"/>
    <x v="148"/>
    <x v="353"/>
    <x v="95"/>
    <x v="55"/>
    <x v="103"/>
    <x v="181"/>
    <x v="2"/>
  </r>
  <r>
    <x v="0"/>
    <x v="30"/>
    <x v="30"/>
    <x v="16"/>
    <x v="16"/>
    <x v="16"/>
    <x v="7"/>
    <x v="148"/>
    <x v="353"/>
    <x v="134"/>
    <x v="188"/>
    <x v="53"/>
    <x v="294"/>
    <x v="2"/>
  </r>
  <r>
    <x v="0"/>
    <x v="30"/>
    <x v="30"/>
    <x v="6"/>
    <x v="6"/>
    <x v="6"/>
    <x v="13"/>
    <x v="152"/>
    <x v="354"/>
    <x v="134"/>
    <x v="188"/>
    <x v="53"/>
    <x v="294"/>
    <x v="2"/>
  </r>
  <r>
    <x v="0"/>
    <x v="30"/>
    <x v="30"/>
    <x v="9"/>
    <x v="9"/>
    <x v="9"/>
    <x v="13"/>
    <x v="152"/>
    <x v="354"/>
    <x v="95"/>
    <x v="55"/>
    <x v="103"/>
    <x v="181"/>
    <x v="2"/>
  </r>
  <r>
    <x v="0"/>
    <x v="30"/>
    <x v="30"/>
    <x v="34"/>
    <x v="34"/>
    <x v="34"/>
    <x v="13"/>
    <x v="152"/>
    <x v="354"/>
    <x v="134"/>
    <x v="188"/>
    <x v="103"/>
    <x v="181"/>
    <x v="2"/>
  </r>
  <r>
    <x v="0"/>
    <x v="30"/>
    <x v="30"/>
    <x v="38"/>
    <x v="38"/>
    <x v="38"/>
    <x v="13"/>
    <x v="152"/>
    <x v="354"/>
    <x v="134"/>
    <x v="188"/>
    <x v="103"/>
    <x v="181"/>
    <x v="2"/>
  </r>
  <r>
    <x v="0"/>
    <x v="30"/>
    <x v="30"/>
    <x v="22"/>
    <x v="22"/>
    <x v="22"/>
    <x v="13"/>
    <x v="152"/>
    <x v="354"/>
    <x v="95"/>
    <x v="55"/>
    <x v="103"/>
    <x v="181"/>
    <x v="2"/>
  </r>
  <r>
    <x v="0"/>
    <x v="30"/>
    <x v="30"/>
    <x v="1"/>
    <x v="1"/>
    <x v="1"/>
    <x v="13"/>
    <x v="152"/>
    <x v="354"/>
    <x v="134"/>
    <x v="188"/>
    <x v="53"/>
    <x v="294"/>
    <x v="2"/>
  </r>
  <r>
    <x v="0"/>
    <x v="31"/>
    <x v="31"/>
    <x v="14"/>
    <x v="14"/>
    <x v="14"/>
    <x v="0"/>
    <x v="144"/>
    <x v="355"/>
    <x v="77"/>
    <x v="372"/>
    <x v="103"/>
    <x v="181"/>
    <x v="2"/>
  </r>
  <r>
    <x v="0"/>
    <x v="31"/>
    <x v="31"/>
    <x v="4"/>
    <x v="4"/>
    <x v="4"/>
    <x v="1"/>
    <x v="151"/>
    <x v="356"/>
    <x v="88"/>
    <x v="369"/>
    <x v="103"/>
    <x v="181"/>
    <x v="6"/>
  </r>
  <r>
    <x v="0"/>
    <x v="31"/>
    <x v="31"/>
    <x v="3"/>
    <x v="3"/>
    <x v="3"/>
    <x v="2"/>
    <x v="146"/>
    <x v="357"/>
    <x v="111"/>
    <x v="350"/>
    <x v="103"/>
    <x v="181"/>
    <x v="2"/>
  </r>
  <r>
    <x v="0"/>
    <x v="31"/>
    <x v="31"/>
    <x v="23"/>
    <x v="23"/>
    <x v="23"/>
    <x v="3"/>
    <x v="147"/>
    <x v="358"/>
    <x v="95"/>
    <x v="373"/>
    <x v="87"/>
    <x v="296"/>
    <x v="2"/>
  </r>
  <r>
    <x v="0"/>
    <x v="31"/>
    <x v="31"/>
    <x v="0"/>
    <x v="0"/>
    <x v="0"/>
    <x v="3"/>
    <x v="147"/>
    <x v="358"/>
    <x v="66"/>
    <x v="374"/>
    <x v="103"/>
    <x v="181"/>
    <x v="2"/>
  </r>
  <r>
    <x v="0"/>
    <x v="31"/>
    <x v="31"/>
    <x v="28"/>
    <x v="28"/>
    <x v="28"/>
    <x v="5"/>
    <x v="148"/>
    <x v="359"/>
    <x v="119"/>
    <x v="228"/>
    <x v="103"/>
    <x v="181"/>
    <x v="2"/>
  </r>
  <r>
    <x v="0"/>
    <x v="31"/>
    <x v="31"/>
    <x v="18"/>
    <x v="18"/>
    <x v="18"/>
    <x v="5"/>
    <x v="148"/>
    <x v="359"/>
    <x v="119"/>
    <x v="228"/>
    <x v="103"/>
    <x v="181"/>
    <x v="2"/>
  </r>
  <r>
    <x v="0"/>
    <x v="31"/>
    <x v="31"/>
    <x v="16"/>
    <x v="16"/>
    <x v="16"/>
    <x v="5"/>
    <x v="148"/>
    <x v="359"/>
    <x v="134"/>
    <x v="188"/>
    <x v="53"/>
    <x v="297"/>
    <x v="2"/>
  </r>
  <r>
    <x v="0"/>
    <x v="31"/>
    <x v="31"/>
    <x v="6"/>
    <x v="6"/>
    <x v="6"/>
    <x v="8"/>
    <x v="152"/>
    <x v="360"/>
    <x v="95"/>
    <x v="373"/>
    <x v="103"/>
    <x v="181"/>
    <x v="2"/>
  </r>
  <r>
    <x v="0"/>
    <x v="31"/>
    <x v="31"/>
    <x v="31"/>
    <x v="31"/>
    <x v="31"/>
    <x v="8"/>
    <x v="152"/>
    <x v="360"/>
    <x v="95"/>
    <x v="373"/>
    <x v="103"/>
    <x v="181"/>
    <x v="2"/>
  </r>
  <r>
    <x v="0"/>
    <x v="31"/>
    <x v="31"/>
    <x v="48"/>
    <x v="48"/>
    <x v="48"/>
    <x v="8"/>
    <x v="152"/>
    <x v="360"/>
    <x v="134"/>
    <x v="188"/>
    <x v="53"/>
    <x v="297"/>
    <x v="2"/>
  </r>
  <r>
    <x v="0"/>
    <x v="31"/>
    <x v="31"/>
    <x v="34"/>
    <x v="34"/>
    <x v="34"/>
    <x v="8"/>
    <x v="152"/>
    <x v="360"/>
    <x v="134"/>
    <x v="188"/>
    <x v="103"/>
    <x v="181"/>
    <x v="2"/>
  </r>
  <r>
    <x v="0"/>
    <x v="31"/>
    <x v="31"/>
    <x v="38"/>
    <x v="38"/>
    <x v="38"/>
    <x v="8"/>
    <x v="152"/>
    <x v="360"/>
    <x v="134"/>
    <x v="188"/>
    <x v="103"/>
    <x v="181"/>
    <x v="2"/>
  </r>
  <r>
    <x v="0"/>
    <x v="31"/>
    <x v="31"/>
    <x v="49"/>
    <x v="49"/>
    <x v="49"/>
    <x v="8"/>
    <x v="152"/>
    <x v="360"/>
    <x v="95"/>
    <x v="373"/>
    <x v="103"/>
    <x v="181"/>
    <x v="2"/>
  </r>
  <r>
    <x v="0"/>
    <x v="31"/>
    <x v="31"/>
    <x v="19"/>
    <x v="19"/>
    <x v="19"/>
    <x v="8"/>
    <x v="152"/>
    <x v="360"/>
    <x v="95"/>
    <x v="373"/>
    <x v="103"/>
    <x v="181"/>
    <x v="2"/>
  </r>
  <r>
    <x v="0"/>
    <x v="32"/>
    <x v="32"/>
    <x v="4"/>
    <x v="4"/>
    <x v="4"/>
    <x v="0"/>
    <x v="146"/>
    <x v="361"/>
    <x v="66"/>
    <x v="375"/>
    <x v="53"/>
    <x v="298"/>
    <x v="2"/>
  </r>
  <r>
    <x v="0"/>
    <x v="32"/>
    <x v="32"/>
    <x v="14"/>
    <x v="14"/>
    <x v="14"/>
    <x v="0"/>
    <x v="146"/>
    <x v="361"/>
    <x v="66"/>
    <x v="375"/>
    <x v="53"/>
    <x v="298"/>
    <x v="2"/>
  </r>
  <r>
    <x v="0"/>
    <x v="32"/>
    <x v="32"/>
    <x v="0"/>
    <x v="0"/>
    <x v="0"/>
    <x v="2"/>
    <x v="148"/>
    <x v="362"/>
    <x v="119"/>
    <x v="376"/>
    <x v="103"/>
    <x v="181"/>
    <x v="2"/>
  </r>
  <r>
    <x v="0"/>
    <x v="32"/>
    <x v="32"/>
    <x v="31"/>
    <x v="31"/>
    <x v="31"/>
    <x v="3"/>
    <x v="152"/>
    <x v="363"/>
    <x v="134"/>
    <x v="188"/>
    <x v="53"/>
    <x v="298"/>
    <x v="2"/>
  </r>
  <r>
    <x v="0"/>
    <x v="32"/>
    <x v="32"/>
    <x v="48"/>
    <x v="48"/>
    <x v="48"/>
    <x v="3"/>
    <x v="152"/>
    <x v="363"/>
    <x v="134"/>
    <x v="188"/>
    <x v="53"/>
    <x v="298"/>
    <x v="2"/>
  </r>
  <r>
    <x v="0"/>
    <x v="32"/>
    <x v="32"/>
    <x v="34"/>
    <x v="34"/>
    <x v="34"/>
    <x v="3"/>
    <x v="152"/>
    <x v="363"/>
    <x v="134"/>
    <x v="188"/>
    <x v="103"/>
    <x v="181"/>
    <x v="2"/>
  </r>
  <r>
    <x v="0"/>
    <x v="32"/>
    <x v="32"/>
    <x v="50"/>
    <x v="50"/>
    <x v="50"/>
    <x v="3"/>
    <x v="152"/>
    <x v="363"/>
    <x v="134"/>
    <x v="188"/>
    <x v="53"/>
    <x v="298"/>
    <x v="2"/>
  </r>
  <r>
    <x v="0"/>
    <x v="32"/>
    <x v="32"/>
    <x v="3"/>
    <x v="3"/>
    <x v="3"/>
    <x v="3"/>
    <x v="152"/>
    <x v="363"/>
    <x v="95"/>
    <x v="377"/>
    <x v="103"/>
    <x v="181"/>
    <x v="2"/>
  </r>
  <r>
    <x v="0"/>
    <x v="32"/>
    <x v="32"/>
    <x v="13"/>
    <x v="13"/>
    <x v="13"/>
    <x v="3"/>
    <x v="152"/>
    <x v="363"/>
    <x v="134"/>
    <x v="188"/>
    <x v="103"/>
    <x v="181"/>
    <x v="2"/>
  </r>
  <r>
    <x v="0"/>
    <x v="33"/>
    <x v="33"/>
    <x v="0"/>
    <x v="0"/>
    <x v="0"/>
    <x v="0"/>
    <x v="97"/>
    <x v="348"/>
    <x v="45"/>
    <x v="378"/>
    <x v="103"/>
    <x v="181"/>
    <x v="2"/>
  </r>
  <r>
    <x v="0"/>
    <x v="33"/>
    <x v="33"/>
    <x v="3"/>
    <x v="3"/>
    <x v="3"/>
    <x v="1"/>
    <x v="146"/>
    <x v="364"/>
    <x v="95"/>
    <x v="373"/>
    <x v="68"/>
    <x v="299"/>
    <x v="2"/>
  </r>
  <r>
    <x v="0"/>
    <x v="33"/>
    <x v="33"/>
    <x v="42"/>
    <x v="42"/>
    <x v="42"/>
    <x v="2"/>
    <x v="147"/>
    <x v="365"/>
    <x v="134"/>
    <x v="188"/>
    <x v="68"/>
    <x v="299"/>
    <x v="2"/>
  </r>
  <r>
    <x v="0"/>
    <x v="33"/>
    <x v="33"/>
    <x v="4"/>
    <x v="4"/>
    <x v="4"/>
    <x v="2"/>
    <x v="147"/>
    <x v="365"/>
    <x v="66"/>
    <x v="374"/>
    <x v="103"/>
    <x v="181"/>
    <x v="2"/>
  </r>
  <r>
    <x v="0"/>
    <x v="33"/>
    <x v="33"/>
    <x v="5"/>
    <x v="5"/>
    <x v="5"/>
    <x v="2"/>
    <x v="147"/>
    <x v="365"/>
    <x v="95"/>
    <x v="373"/>
    <x v="53"/>
    <x v="150"/>
    <x v="2"/>
  </r>
  <r>
    <x v="0"/>
    <x v="33"/>
    <x v="33"/>
    <x v="14"/>
    <x v="14"/>
    <x v="14"/>
    <x v="5"/>
    <x v="148"/>
    <x v="366"/>
    <x v="119"/>
    <x v="228"/>
    <x v="103"/>
    <x v="181"/>
    <x v="2"/>
  </r>
  <r>
    <x v="0"/>
    <x v="33"/>
    <x v="33"/>
    <x v="18"/>
    <x v="18"/>
    <x v="18"/>
    <x v="5"/>
    <x v="148"/>
    <x v="366"/>
    <x v="119"/>
    <x v="228"/>
    <x v="103"/>
    <x v="181"/>
    <x v="2"/>
  </r>
  <r>
    <x v="0"/>
    <x v="33"/>
    <x v="33"/>
    <x v="39"/>
    <x v="39"/>
    <x v="39"/>
    <x v="5"/>
    <x v="148"/>
    <x v="366"/>
    <x v="134"/>
    <x v="188"/>
    <x v="53"/>
    <x v="150"/>
    <x v="2"/>
  </r>
  <r>
    <x v="0"/>
    <x v="33"/>
    <x v="33"/>
    <x v="15"/>
    <x v="15"/>
    <x v="15"/>
    <x v="5"/>
    <x v="148"/>
    <x v="366"/>
    <x v="119"/>
    <x v="228"/>
    <x v="103"/>
    <x v="181"/>
    <x v="2"/>
  </r>
  <r>
    <x v="0"/>
    <x v="33"/>
    <x v="33"/>
    <x v="6"/>
    <x v="6"/>
    <x v="6"/>
    <x v="9"/>
    <x v="152"/>
    <x v="340"/>
    <x v="134"/>
    <x v="188"/>
    <x v="53"/>
    <x v="150"/>
    <x v="2"/>
  </r>
  <r>
    <x v="0"/>
    <x v="33"/>
    <x v="33"/>
    <x v="23"/>
    <x v="23"/>
    <x v="23"/>
    <x v="9"/>
    <x v="152"/>
    <x v="340"/>
    <x v="134"/>
    <x v="188"/>
    <x v="53"/>
    <x v="150"/>
    <x v="2"/>
  </r>
  <r>
    <x v="0"/>
    <x v="33"/>
    <x v="33"/>
    <x v="32"/>
    <x v="32"/>
    <x v="32"/>
    <x v="9"/>
    <x v="152"/>
    <x v="340"/>
    <x v="134"/>
    <x v="188"/>
    <x v="53"/>
    <x v="150"/>
    <x v="2"/>
  </r>
  <r>
    <x v="0"/>
    <x v="33"/>
    <x v="33"/>
    <x v="48"/>
    <x v="48"/>
    <x v="48"/>
    <x v="9"/>
    <x v="152"/>
    <x v="340"/>
    <x v="134"/>
    <x v="188"/>
    <x v="53"/>
    <x v="150"/>
    <x v="2"/>
  </r>
  <r>
    <x v="0"/>
    <x v="33"/>
    <x v="33"/>
    <x v="25"/>
    <x v="25"/>
    <x v="25"/>
    <x v="9"/>
    <x v="152"/>
    <x v="340"/>
    <x v="134"/>
    <x v="188"/>
    <x v="53"/>
    <x v="150"/>
    <x v="2"/>
  </r>
  <r>
    <x v="0"/>
    <x v="33"/>
    <x v="33"/>
    <x v="41"/>
    <x v="41"/>
    <x v="41"/>
    <x v="9"/>
    <x v="152"/>
    <x v="340"/>
    <x v="95"/>
    <x v="373"/>
    <x v="103"/>
    <x v="181"/>
    <x v="2"/>
  </r>
  <r>
    <x v="0"/>
    <x v="33"/>
    <x v="33"/>
    <x v="29"/>
    <x v="29"/>
    <x v="29"/>
    <x v="9"/>
    <x v="152"/>
    <x v="340"/>
    <x v="134"/>
    <x v="188"/>
    <x v="53"/>
    <x v="150"/>
    <x v="2"/>
  </r>
  <r>
    <x v="0"/>
    <x v="33"/>
    <x v="33"/>
    <x v="51"/>
    <x v="51"/>
    <x v="51"/>
    <x v="9"/>
    <x v="152"/>
    <x v="340"/>
    <x v="134"/>
    <x v="188"/>
    <x v="53"/>
    <x v="150"/>
    <x v="2"/>
  </r>
  <r>
    <x v="0"/>
    <x v="33"/>
    <x v="33"/>
    <x v="12"/>
    <x v="12"/>
    <x v="12"/>
    <x v="9"/>
    <x v="152"/>
    <x v="340"/>
    <x v="134"/>
    <x v="188"/>
    <x v="103"/>
    <x v="181"/>
    <x v="2"/>
  </r>
  <r>
    <x v="0"/>
    <x v="33"/>
    <x v="33"/>
    <x v="2"/>
    <x v="2"/>
    <x v="2"/>
    <x v="9"/>
    <x v="152"/>
    <x v="340"/>
    <x v="95"/>
    <x v="373"/>
    <x v="103"/>
    <x v="181"/>
    <x v="2"/>
  </r>
  <r>
    <x v="0"/>
    <x v="33"/>
    <x v="33"/>
    <x v="19"/>
    <x v="19"/>
    <x v="19"/>
    <x v="9"/>
    <x v="152"/>
    <x v="340"/>
    <x v="134"/>
    <x v="188"/>
    <x v="53"/>
    <x v="150"/>
    <x v="2"/>
  </r>
  <r>
    <x v="0"/>
    <x v="33"/>
    <x v="33"/>
    <x v="33"/>
    <x v="33"/>
    <x v="33"/>
    <x v="9"/>
    <x v="152"/>
    <x v="340"/>
    <x v="134"/>
    <x v="188"/>
    <x v="53"/>
    <x v="150"/>
    <x v="2"/>
  </r>
  <r>
    <x v="0"/>
    <x v="34"/>
    <x v="34"/>
    <x v="4"/>
    <x v="4"/>
    <x v="4"/>
    <x v="0"/>
    <x v="151"/>
    <x v="367"/>
    <x v="111"/>
    <x v="379"/>
    <x v="53"/>
    <x v="290"/>
    <x v="6"/>
  </r>
  <r>
    <x v="0"/>
    <x v="34"/>
    <x v="34"/>
    <x v="0"/>
    <x v="0"/>
    <x v="0"/>
    <x v="1"/>
    <x v="147"/>
    <x v="368"/>
    <x v="66"/>
    <x v="380"/>
    <x v="103"/>
    <x v="181"/>
    <x v="2"/>
  </r>
  <r>
    <x v="0"/>
    <x v="34"/>
    <x v="34"/>
    <x v="39"/>
    <x v="39"/>
    <x v="39"/>
    <x v="1"/>
    <x v="147"/>
    <x v="368"/>
    <x v="134"/>
    <x v="188"/>
    <x v="103"/>
    <x v="181"/>
    <x v="2"/>
  </r>
  <r>
    <x v="0"/>
    <x v="34"/>
    <x v="34"/>
    <x v="28"/>
    <x v="28"/>
    <x v="28"/>
    <x v="3"/>
    <x v="148"/>
    <x v="363"/>
    <x v="119"/>
    <x v="205"/>
    <x v="103"/>
    <x v="181"/>
    <x v="2"/>
  </r>
  <r>
    <x v="0"/>
    <x v="34"/>
    <x v="34"/>
    <x v="38"/>
    <x v="38"/>
    <x v="38"/>
    <x v="3"/>
    <x v="148"/>
    <x v="363"/>
    <x v="134"/>
    <x v="188"/>
    <x v="103"/>
    <x v="181"/>
    <x v="2"/>
  </r>
  <r>
    <x v="0"/>
    <x v="34"/>
    <x v="34"/>
    <x v="3"/>
    <x v="3"/>
    <x v="3"/>
    <x v="3"/>
    <x v="148"/>
    <x v="363"/>
    <x v="95"/>
    <x v="381"/>
    <x v="53"/>
    <x v="290"/>
    <x v="2"/>
  </r>
  <r>
    <x v="0"/>
    <x v="34"/>
    <x v="34"/>
    <x v="26"/>
    <x v="26"/>
    <x v="26"/>
    <x v="3"/>
    <x v="148"/>
    <x v="363"/>
    <x v="134"/>
    <x v="188"/>
    <x v="103"/>
    <x v="181"/>
    <x v="2"/>
  </r>
  <r>
    <x v="0"/>
    <x v="34"/>
    <x v="34"/>
    <x v="6"/>
    <x v="6"/>
    <x v="6"/>
    <x v="7"/>
    <x v="152"/>
    <x v="46"/>
    <x v="134"/>
    <x v="188"/>
    <x v="53"/>
    <x v="290"/>
    <x v="2"/>
  </r>
  <r>
    <x v="0"/>
    <x v="34"/>
    <x v="34"/>
    <x v="23"/>
    <x v="23"/>
    <x v="23"/>
    <x v="7"/>
    <x v="152"/>
    <x v="46"/>
    <x v="134"/>
    <x v="188"/>
    <x v="53"/>
    <x v="290"/>
    <x v="2"/>
  </r>
  <r>
    <x v="0"/>
    <x v="34"/>
    <x v="34"/>
    <x v="48"/>
    <x v="48"/>
    <x v="48"/>
    <x v="7"/>
    <x v="152"/>
    <x v="46"/>
    <x v="134"/>
    <x v="188"/>
    <x v="53"/>
    <x v="290"/>
    <x v="2"/>
  </r>
  <r>
    <x v="0"/>
    <x v="34"/>
    <x v="34"/>
    <x v="34"/>
    <x v="34"/>
    <x v="34"/>
    <x v="7"/>
    <x v="152"/>
    <x v="46"/>
    <x v="134"/>
    <x v="188"/>
    <x v="103"/>
    <x v="181"/>
    <x v="2"/>
  </r>
  <r>
    <x v="0"/>
    <x v="34"/>
    <x v="34"/>
    <x v="42"/>
    <x v="42"/>
    <x v="42"/>
    <x v="7"/>
    <x v="152"/>
    <x v="46"/>
    <x v="134"/>
    <x v="188"/>
    <x v="53"/>
    <x v="290"/>
    <x v="2"/>
  </r>
  <r>
    <x v="0"/>
    <x v="34"/>
    <x v="34"/>
    <x v="8"/>
    <x v="8"/>
    <x v="8"/>
    <x v="7"/>
    <x v="152"/>
    <x v="46"/>
    <x v="95"/>
    <x v="381"/>
    <x v="103"/>
    <x v="181"/>
    <x v="2"/>
  </r>
  <r>
    <x v="0"/>
    <x v="34"/>
    <x v="34"/>
    <x v="12"/>
    <x v="12"/>
    <x v="12"/>
    <x v="7"/>
    <x v="152"/>
    <x v="46"/>
    <x v="134"/>
    <x v="188"/>
    <x v="103"/>
    <x v="181"/>
    <x v="2"/>
  </r>
  <r>
    <x v="0"/>
    <x v="34"/>
    <x v="34"/>
    <x v="14"/>
    <x v="14"/>
    <x v="14"/>
    <x v="7"/>
    <x v="152"/>
    <x v="46"/>
    <x v="95"/>
    <x v="381"/>
    <x v="103"/>
    <x v="181"/>
    <x v="2"/>
  </r>
  <r>
    <x v="0"/>
    <x v="34"/>
    <x v="34"/>
    <x v="2"/>
    <x v="2"/>
    <x v="2"/>
    <x v="7"/>
    <x v="152"/>
    <x v="46"/>
    <x v="95"/>
    <x v="381"/>
    <x v="103"/>
    <x v="181"/>
    <x v="2"/>
  </r>
  <r>
    <x v="0"/>
    <x v="34"/>
    <x v="34"/>
    <x v="5"/>
    <x v="5"/>
    <x v="5"/>
    <x v="7"/>
    <x v="152"/>
    <x v="46"/>
    <x v="134"/>
    <x v="188"/>
    <x v="103"/>
    <x v="181"/>
    <x v="2"/>
  </r>
  <r>
    <x v="0"/>
    <x v="34"/>
    <x v="34"/>
    <x v="13"/>
    <x v="13"/>
    <x v="13"/>
    <x v="7"/>
    <x v="152"/>
    <x v="46"/>
    <x v="134"/>
    <x v="188"/>
    <x v="103"/>
    <x v="181"/>
    <x v="2"/>
  </r>
  <r>
    <x v="0"/>
    <x v="34"/>
    <x v="34"/>
    <x v="15"/>
    <x v="15"/>
    <x v="15"/>
    <x v="7"/>
    <x v="152"/>
    <x v="46"/>
    <x v="95"/>
    <x v="381"/>
    <x v="103"/>
    <x v="181"/>
    <x v="2"/>
  </r>
  <r>
    <x v="0"/>
    <x v="35"/>
    <x v="35"/>
    <x v="4"/>
    <x v="4"/>
    <x v="4"/>
    <x v="0"/>
    <x v="142"/>
    <x v="369"/>
    <x v="86"/>
    <x v="382"/>
    <x v="82"/>
    <x v="300"/>
    <x v="2"/>
  </r>
  <r>
    <x v="0"/>
    <x v="35"/>
    <x v="35"/>
    <x v="0"/>
    <x v="0"/>
    <x v="0"/>
    <x v="1"/>
    <x v="144"/>
    <x v="370"/>
    <x v="77"/>
    <x v="383"/>
    <x v="103"/>
    <x v="181"/>
    <x v="2"/>
  </r>
  <r>
    <x v="0"/>
    <x v="35"/>
    <x v="35"/>
    <x v="23"/>
    <x v="23"/>
    <x v="23"/>
    <x v="2"/>
    <x v="146"/>
    <x v="371"/>
    <x v="95"/>
    <x v="384"/>
    <x v="87"/>
    <x v="301"/>
    <x v="6"/>
  </r>
  <r>
    <x v="0"/>
    <x v="35"/>
    <x v="35"/>
    <x v="6"/>
    <x v="6"/>
    <x v="6"/>
    <x v="3"/>
    <x v="147"/>
    <x v="372"/>
    <x v="134"/>
    <x v="188"/>
    <x v="68"/>
    <x v="298"/>
    <x v="2"/>
  </r>
  <r>
    <x v="0"/>
    <x v="35"/>
    <x v="35"/>
    <x v="14"/>
    <x v="14"/>
    <x v="14"/>
    <x v="3"/>
    <x v="147"/>
    <x v="372"/>
    <x v="66"/>
    <x v="385"/>
    <x v="103"/>
    <x v="181"/>
    <x v="2"/>
  </r>
  <r>
    <x v="0"/>
    <x v="35"/>
    <x v="35"/>
    <x v="32"/>
    <x v="32"/>
    <x v="32"/>
    <x v="5"/>
    <x v="148"/>
    <x v="373"/>
    <x v="95"/>
    <x v="384"/>
    <x v="53"/>
    <x v="192"/>
    <x v="2"/>
  </r>
  <r>
    <x v="0"/>
    <x v="35"/>
    <x v="35"/>
    <x v="31"/>
    <x v="31"/>
    <x v="31"/>
    <x v="5"/>
    <x v="148"/>
    <x v="373"/>
    <x v="95"/>
    <x v="384"/>
    <x v="53"/>
    <x v="192"/>
    <x v="2"/>
  </r>
  <r>
    <x v="0"/>
    <x v="35"/>
    <x v="35"/>
    <x v="3"/>
    <x v="3"/>
    <x v="3"/>
    <x v="5"/>
    <x v="148"/>
    <x v="373"/>
    <x v="95"/>
    <x v="384"/>
    <x v="53"/>
    <x v="192"/>
    <x v="2"/>
  </r>
  <r>
    <x v="0"/>
    <x v="35"/>
    <x v="35"/>
    <x v="2"/>
    <x v="2"/>
    <x v="2"/>
    <x v="5"/>
    <x v="148"/>
    <x v="373"/>
    <x v="119"/>
    <x v="386"/>
    <x v="103"/>
    <x v="181"/>
    <x v="2"/>
  </r>
  <r>
    <x v="0"/>
    <x v="35"/>
    <x v="35"/>
    <x v="9"/>
    <x v="9"/>
    <x v="9"/>
    <x v="9"/>
    <x v="152"/>
    <x v="14"/>
    <x v="95"/>
    <x v="384"/>
    <x v="103"/>
    <x v="181"/>
    <x v="2"/>
  </r>
  <r>
    <x v="0"/>
    <x v="35"/>
    <x v="35"/>
    <x v="37"/>
    <x v="37"/>
    <x v="37"/>
    <x v="9"/>
    <x v="152"/>
    <x v="14"/>
    <x v="95"/>
    <x v="384"/>
    <x v="103"/>
    <x v="181"/>
    <x v="2"/>
  </r>
  <r>
    <x v="0"/>
    <x v="35"/>
    <x v="35"/>
    <x v="38"/>
    <x v="38"/>
    <x v="38"/>
    <x v="9"/>
    <x v="152"/>
    <x v="14"/>
    <x v="134"/>
    <x v="188"/>
    <x v="53"/>
    <x v="192"/>
    <x v="2"/>
  </r>
  <r>
    <x v="0"/>
    <x v="35"/>
    <x v="35"/>
    <x v="49"/>
    <x v="49"/>
    <x v="49"/>
    <x v="9"/>
    <x v="152"/>
    <x v="14"/>
    <x v="95"/>
    <x v="384"/>
    <x v="103"/>
    <x v="181"/>
    <x v="2"/>
  </r>
  <r>
    <x v="0"/>
    <x v="35"/>
    <x v="35"/>
    <x v="25"/>
    <x v="25"/>
    <x v="25"/>
    <x v="9"/>
    <x v="152"/>
    <x v="14"/>
    <x v="134"/>
    <x v="188"/>
    <x v="53"/>
    <x v="192"/>
    <x v="2"/>
  </r>
  <r>
    <x v="0"/>
    <x v="35"/>
    <x v="35"/>
    <x v="1"/>
    <x v="1"/>
    <x v="1"/>
    <x v="9"/>
    <x v="152"/>
    <x v="14"/>
    <x v="134"/>
    <x v="188"/>
    <x v="103"/>
    <x v="181"/>
    <x v="2"/>
  </r>
  <r>
    <x v="0"/>
    <x v="35"/>
    <x v="35"/>
    <x v="18"/>
    <x v="18"/>
    <x v="18"/>
    <x v="9"/>
    <x v="152"/>
    <x v="14"/>
    <x v="95"/>
    <x v="384"/>
    <x v="103"/>
    <x v="181"/>
    <x v="2"/>
  </r>
  <r>
    <x v="0"/>
    <x v="35"/>
    <x v="35"/>
    <x v="5"/>
    <x v="5"/>
    <x v="5"/>
    <x v="9"/>
    <x v="152"/>
    <x v="14"/>
    <x v="134"/>
    <x v="188"/>
    <x v="103"/>
    <x v="181"/>
    <x v="2"/>
  </r>
  <r>
    <x v="0"/>
    <x v="35"/>
    <x v="35"/>
    <x v="13"/>
    <x v="13"/>
    <x v="13"/>
    <x v="9"/>
    <x v="152"/>
    <x v="14"/>
    <x v="134"/>
    <x v="188"/>
    <x v="103"/>
    <x v="181"/>
    <x v="2"/>
  </r>
  <r>
    <x v="0"/>
    <x v="35"/>
    <x v="35"/>
    <x v="39"/>
    <x v="39"/>
    <x v="39"/>
    <x v="9"/>
    <x v="152"/>
    <x v="14"/>
    <x v="134"/>
    <x v="188"/>
    <x v="53"/>
    <x v="192"/>
    <x v="2"/>
  </r>
  <r>
    <x v="0"/>
    <x v="35"/>
    <x v="35"/>
    <x v="15"/>
    <x v="15"/>
    <x v="15"/>
    <x v="9"/>
    <x v="152"/>
    <x v="14"/>
    <x v="95"/>
    <x v="384"/>
    <x v="103"/>
    <x v="181"/>
    <x v="2"/>
  </r>
  <r>
    <x v="0"/>
    <x v="35"/>
    <x v="35"/>
    <x v="33"/>
    <x v="33"/>
    <x v="33"/>
    <x v="9"/>
    <x v="152"/>
    <x v="14"/>
    <x v="134"/>
    <x v="188"/>
    <x v="103"/>
    <x v="181"/>
    <x v="2"/>
  </r>
  <r>
    <x v="0"/>
    <x v="36"/>
    <x v="36"/>
    <x v="6"/>
    <x v="6"/>
    <x v="6"/>
    <x v="0"/>
    <x v="153"/>
    <x v="374"/>
    <x v="95"/>
    <x v="201"/>
    <x v="44"/>
    <x v="296"/>
    <x v="2"/>
  </r>
  <r>
    <x v="0"/>
    <x v="36"/>
    <x v="36"/>
    <x v="4"/>
    <x v="4"/>
    <x v="4"/>
    <x v="0"/>
    <x v="153"/>
    <x v="374"/>
    <x v="77"/>
    <x v="387"/>
    <x v="53"/>
    <x v="195"/>
    <x v="6"/>
  </r>
  <r>
    <x v="0"/>
    <x v="36"/>
    <x v="36"/>
    <x v="0"/>
    <x v="0"/>
    <x v="0"/>
    <x v="2"/>
    <x v="149"/>
    <x v="375"/>
    <x v="44"/>
    <x v="388"/>
    <x v="53"/>
    <x v="195"/>
    <x v="2"/>
  </r>
  <r>
    <x v="0"/>
    <x v="36"/>
    <x v="36"/>
    <x v="14"/>
    <x v="14"/>
    <x v="14"/>
    <x v="3"/>
    <x v="150"/>
    <x v="376"/>
    <x v="44"/>
    <x v="388"/>
    <x v="103"/>
    <x v="181"/>
    <x v="2"/>
  </r>
  <r>
    <x v="0"/>
    <x v="36"/>
    <x v="36"/>
    <x v="2"/>
    <x v="2"/>
    <x v="2"/>
    <x v="4"/>
    <x v="146"/>
    <x v="377"/>
    <x v="111"/>
    <x v="197"/>
    <x v="103"/>
    <x v="181"/>
    <x v="2"/>
  </r>
  <r>
    <x v="0"/>
    <x v="36"/>
    <x v="36"/>
    <x v="22"/>
    <x v="22"/>
    <x v="22"/>
    <x v="5"/>
    <x v="148"/>
    <x v="285"/>
    <x v="95"/>
    <x v="201"/>
    <x v="53"/>
    <x v="195"/>
    <x v="2"/>
  </r>
  <r>
    <x v="0"/>
    <x v="36"/>
    <x v="36"/>
    <x v="8"/>
    <x v="8"/>
    <x v="8"/>
    <x v="5"/>
    <x v="148"/>
    <x v="285"/>
    <x v="119"/>
    <x v="389"/>
    <x v="103"/>
    <x v="181"/>
    <x v="2"/>
  </r>
  <r>
    <x v="0"/>
    <x v="36"/>
    <x v="36"/>
    <x v="3"/>
    <x v="3"/>
    <x v="3"/>
    <x v="5"/>
    <x v="148"/>
    <x v="285"/>
    <x v="95"/>
    <x v="201"/>
    <x v="53"/>
    <x v="195"/>
    <x v="2"/>
  </r>
  <r>
    <x v="0"/>
    <x v="36"/>
    <x v="36"/>
    <x v="9"/>
    <x v="9"/>
    <x v="9"/>
    <x v="8"/>
    <x v="152"/>
    <x v="378"/>
    <x v="134"/>
    <x v="188"/>
    <x v="53"/>
    <x v="195"/>
    <x v="2"/>
  </r>
  <r>
    <x v="0"/>
    <x v="36"/>
    <x v="36"/>
    <x v="23"/>
    <x v="23"/>
    <x v="23"/>
    <x v="8"/>
    <x v="152"/>
    <x v="378"/>
    <x v="134"/>
    <x v="188"/>
    <x v="53"/>
    <x v="195"/>
    <x v="2"/>
  </r>
  <r>
    <x v="0"/>
    <x v="36"/>
    <x v="36"/>
    <x v="32"/>
    <x v="32"/>
    <x v="32"/>
    <x v="8"/>
    <x v="152"/>
    <x v="378"/>
    <x v="134"/>
    <x v="188"/>
    <x v="53"/>
    <x v="195"/>
    <x v="2"/>
  </r>
  <r>
    <x v="0"/>
    <x v="36"/>
    <x v="36"/>
    <x v="31"/>
    <x v="31"/>
    <x v="31"/>
    <x v="8"/>
    <x v="152"/>
    <x v="378"/>
    <x v="134"/>
    <x v="188"/>
    <x v="53"/>
    <x v="195"/>
    <x v="2"/>
  </r>
  <r>
    <x v="0"/>
    <x v="36"/>
    <x v="36"/>
    <x v="28"/>
    <x v="28"/>
    <x v="28"/>
    <x v="8"/>
    <x v="152"/>
    <x v="378"/>
    <x v="134"/>
    <x v="188"/>
    <x v="53"/>
    <x v="195"/>
    <x v="2"/>
  </r>
  <r>
    <x v="0"/>
    <x v="36"/>
    <x v="36"/>
    <x v="24"/>
    <x v="24"/>
    <x v="24"/>
    <x v="8"/>
    <x v="152"/>
    <x v="378"/>
    <x v="95"/>
    <x v="201"/>
    <x v="103"/>
    <x v="181"/>
    <x v="2"/>
  </r>
  <r>
    <x v="0"/>
    <x v="36"/>
    <x v="36"/>
    <x v="1"/>
    <x v="1"/>
    <x v="1"/>
    <x v="8"/>
    <x v="152"/>
    <x v="378"/>
    <x v="134"/>
    <x v="188"/>
    <x v="103"/>
    <x v="181"/>
    <x v="2"/>
  </r>
  <r>
    <x v="0"/>
    <x v="36"/>
    <x v="36"/>
    <x v="29"/>
    <x v="29"/>
    <x v="29"/>
    <x v="8"/>
    <x v="152"/>
    <x v="378"/>
    <x v="95"/>
    <x v="201"/>
    <x v="103"/>
    <x v="181"/>
    <x v="2"/>
  </r>
  <r>
    <x v="0"/>
    <x v="36"/>
    <x v="36"/>
    <x v="19"/>
    <x v="19"/>
    <x v="19"/>
    <x v="8"/>
    <x v="152"/>
    <x v="378"/>
    <x v="134"/>
    <x v="188"/>
    <x v="103"/>
    <x v="181"/>
    <x v="2"/>
  </r>
  <r>
    <x v="0"/>
    <x v="36"/>
    <x v="36"/>
    <x v="18"/>
    <x v="18"/>
    <x v="18"/>
    <x v="8"/>
    <x v="152"/>
    <x v="378"/>
    <x v="95"/>
    <x v="201"/>
    <x v="103"/>
    <x v="181"/>
    <x v="2"/>
  </r>
  <r>
    <x v="0"/>
    <x v="36"/>
    <x v="36"/>
    <x v="5"/>
    <x v="5"/>
    <x v="5"/>
    <x v="8"/>
    <x v="152"/>
    <x v="378"/>
    <x v="134"/>
    <x v="188"/>
    <x v="103"/>
    <x v="181"/>
    <x v="2"/>
  </r>
  <r>
    <x v="0"/>
    <x v="36"/>
    <x v="36"/>
    <x v="13"/>
    <x v="13"/>
    <x v="13"/>
    <x v="8"/>
    <x v="152"/>
    <x v="378"/>
    <x v="134"/>
    <x v="188"/>
    <x v="103"/>
    <x v="181"/>
    <x v="2"/>
  </r>
  <r>
    <x v="0"/>
    <x v="36"/>
    <x v="36"/>
    <x v="39"/>
    <x v="39"/>
    <x v="39"/>
    <x v="8"/>
    <x v="152"/>
    <x v="378"/>
    <x v="134"/>
    <x v="188"/>
    <x v="103"/>
    <x v="181"/>
    <x v="2"/>
  </r>
  <r>
    <x v="0"/>
    <x v="36"/>
    <x v="36"/>
    <x v="45"/>
    <x v="45"/>
    <x v="45"/>
    <x v="8"/>
    <x v="152"/>
    <x v="378"/>
    <x v="134"/>
    <x v="188"/>
    <x v="53"/>
    <x v="195"/>
    <x v="2"/>
  </r>
  <r>
    <x v="0"/>
    <x v="37"/>
    <x v="37"/>
    <x v="35"/>
    <x v="35"/>
    <x v="35"/>
    <x v="0"/>
    <x v="163"/>
    <x v="379"/>
    <x v="33"/>
    <x v="390"/>
    <x v="53"/>
    <x v="302"/>
    <x v="2"/>
  </r>
  <r>
    <x v="0"/>
    <x v="37"/>
    <x v="37"/>
    <x v="0"/>
    <x v="0"/>
    <x v="0"/>
    <x v="1"/>
    <x v="66"/>
    <x v="380"/>
    <x v="49"/>
    <x v="391"/>
    <x v="87"/>
    <x v="303"/>
    <x v="2"/>
  </r>
  <r>
    <x v="0"/>
    <x v="37"/>
    <x v="37"/>
    <x v="4"/>
    <x v="4"/>
    <x v="4"/>
    <x v="2"/>
    <x v="105"/>
    <x v="381"/>
    <x v="128"/>
    <x v="392"/>
    <x v="103"/>
    <x v="181"/>
    <x v="2"/>
  </r>
  <r>
    <x v="0"/>
    <x v="37"/>
    <x v="37"/>
    <x v="1"/>
    <x v="1"/>
    <x v="1"/>
    <x v="2"/>
    <x v="105"/>
    <x v="381"/>
    <x v="47"/>
    <x v="393"/>
    <x v="68"/>
    <x v="281"/>
    <x v="2"/>
  </r>
  <r>
    <x v="0"/>
    <x v="37"/>
    <x v="37"/>
    <x v="2"/>
    <x v="2"/>
    <x v="2"/>
    <x v="4"/>
    <x v="93"/>
    <x v="190"/>
    <x v="110"/>
    <x v="394"/>
    <x v="103"/>
    <x v="181"/>
    <x v="2"/>
  </r>
  <r>
    <x v="0"/>
    <x v="37"/>
    <x v="37"/>
    <x v="3"/>
    <x v="3"/>
    <x v="3"/>
    <x v="5"/>
    <x v="95"/>
    <x v="4"/>
    <x v="96"/>
    <x v="395"/>
    <x v="77"/>
    <x v="304"/>
    <x v="2"/>
  </r>
  <r>
    <x v="0"/>
    <x v="37"/>
    <x v="37"/>
    <x v="23"/>
    <x v="23"/>
    <x v="23"/>
    <x v="6"/>
    <x v="107"/>
    <x v="382"/>
    <x v="86"/>
    <x v="138"/>
    <x v="57"/>
    <x v="305"/>
    <x v="2"/>
  </r>
  <r>
    <x v="0"/>
    <x v="37"/>
    <x v="37"/>
    <x v="14"/>
    <x v="14"/>
    <x v="14"/>
    <x v="7"/>
    <x v="97"/>
    <x v="383"/>
    <x v="96"/>
    <x v="395"/>
    <x v="53"/>
    <x v="302"/>
    <x v="2"/>
  </r>
  <r>
    <x v="0"/>
    <x v="37"/>
    <x v="37"/>
    <x v="18"/>
    <x v="18"/>
    <x v="18"/>
    <x v="8"/>
    <x v="143"/>
    <x v="202"/>
    <x v="77"/>
    <x v="396"/>
    <x v="87"/>
    <x v="303"/>
    <x v="2"/>
  </r>
  <r>
    <x v="0"/>
    <x v="37"/>
    <x v="37"/>
    <x v="5"/>
    <x v="5"/>
    <x v="5"/>
    <x v="9"/>
    <x v="158"/>
    <x v="8"/>
    <x v="77"/>
    <x v="396"/>
    <x v="53"/>
    <x v="302"/>
    <x v="2"/>
  </r>
  <r>
    <x v="0"/>
    <x v="37"/>
    <x v="37"/>
    <x v="9"/>
    <x v="9"/>
    <x v="9"/>
    <x v="10"/>
    <x v="151"/>
    <x v="291"/>
    <x v="111"/>
    <x v="149"/>
    <x v="87"/>
    <x v="303"/>
    <x v="2"/>
  </r>
  <r>
    <x v="0"/>
    <x v="37"/>
    <x v="37"/>
    <x v="8"/>
    <x v="8"/>
    <x v="8"/>
    <x v="10"/>
    <x v="151"/>
    <x v="291"/>
    <x v="87"/>
    <x v="397"/>
    <x v="103"/>
    <x v="181"/>
    <x v="2"/>
  </r>
  <r>
    <x v="0"/>
    <x v="37"/>
    <x v="37"/>
    <x v="29"/>
    <x v="29"/>
    <x v="29"/>
    <x v="10"/>
    <x v="151"/>
    <x v="291"/>
    <x v="111"/>
    <x v="149"/>
    <x v="87"/>
    <x v="303"/>
    <x v="2"/>
  </r>
  <r>
    <x v="0"/>
    <x v="37"/>
    <x v="37"/>
    <x v="13"/>
    <x v="13"/>
    <x v="13"/>
    <x v="10"/>
    <x v="151"/>
    <x v="291"/>
    <x v="87"/>
    <x v="397"/>
    <x v="103"/>
    <x v="181"/>
    <x v="2"/>
  </r>
  <r>
    <x v="0"/>
    <x v="37"/>
    <x v="37"/>
    <x v="16"/>
    <x v="16"/>
    <x v="16"/>
    <x v="10"/>
    <x v="151"/>
    <x v="291"/>
    <x v="134"/>
    <x v="188"/>
    <x v="77"/>
    <x v="304"/>
    <x v="2"/>
  </r>
  <r>
    <x v="0"/>
    <x v="37"/>
    <x v="37"/>
    <x v="24"/>
    <x v="24"/>
    <x v="24"/>
    <x v="15"/>
    <x v="145"/>
    <x v="18"/>
    <x v="119"/>
    <x v="151"/>
    <x v="68"/>
    <x v="281"/>
    <x v="2"/>
  </r>
  <r>
    <x v="0"/>
    <x v="37"/>
    <x v="37"/>
    <x v="12"/>
    <x v="12"/>
    <x v="12"/>
    <x v="15"/>
    <x v="145"/>
    <x v="18"/>
    <x v="119"/>
    <x v="151"/>
    <x v="87"/>
    <x v="303"/>
    <x v="2"/>
  </r>
  <r>
    <x v="0"/>
    <x v="37"/>
    <x v="37"/>
    <x v="6"/>
    <x v="6"/>
    <x v="6"/>
    <x v="17"/>
    <x v="146"/>
    <x v="205"/>
    <x v="95"/>
    <x v="398"/>
    <x v="68"/>
    <x v="281"/>
    <x v="2"/>
  </r>
  <r>
    <x v="0"/>
    <x v="37"/>
    <x v="37"/>
    <x v="20"/>
    <x v="20"/>
    <x v="20"/>
    <x v="17"/>
    <x v="146"/>
    <x v="205"/>
    <x v="95"/>
    <x v="398"/>
    <x v="68"/>
    <x v="281"/>
    <x v="2"/>
  </r>
  <r>
    <x v="0"/>
    <x v="37"/>
    <x v="37"/>
    <x v="7"/>
    <x v="7"/>
    <x v="7"/>
    <x v="17"/>
    <x v="146"/>
    <x v="205"/>
    <x v="111"/>
    <x v="149"/>
    <x v="103"/>
    <x v="181"/>
    <x v="2"/>
  </r>
  <r>
    <x v="0"/>
    <x v="37"/>
    <x v="37"/>
    <x v="39"/>
    <x v="39"/>
    <x v="39"/>
    <x v="17"/>
    <x v="146"/>
    <x v="205"/>
    <x v="66"/>
    <x v="399"/>
    <x v="53"/>
    <x v="302"/>
    <x v="2"/>
  </r>
  <r>
    <x v="0"/>
    <x v="38"/>
    <x v="38"/>
    <x v="2"/>
    <x v="2"/>
    <x v="2"/>
    <x v="0"/>
    <x v="50"/>
    <x v="384"/>
    <x v="33"/>
    <x v="400"/>
    <x v="54"/>
    <x v="178"/>
    <x v="2"/>
  </r>
  <r>
    <x v="0"/>
    <x v="38"/>
    <x v="38"/>
    <x v="3"/>
    <x v="3"/>
    <x v="3"/>
    <x v="1"/>
    <x v="121"/>
    <x v="385"/>
    <x v="60"/>
    <x v="401"/>
    <x v="44"/>
    <x v="306"/>
    <x v="2"/>
  </r>
  <r>
    <x v="0"/>
    <x v="38"/>
    <x v="38"/>
    <x v="6"/>
    <x v="6"/>
    <x v="6"/>
    <x v="2"/>
    <x v="141"/>
    <x v="386"/>
    <x v="36"/>
    <x v="402"/>
    <x v="50"/>
    <x v="307"/>
    <x v="2"/>
  </r>
  <r>
    <x v="0"/>
    <x v="38"/>
    <x v="38"/>
    <x v="4"/>
    <x v="4"/>
    <x v="4"/>
    <x v="3"/>
    <x v="92"/>
    <x v="387"/>
    <x v="79"/>
    <x v="403"/>
    <x v="82"/>
    <x v="11"/>
    <x v="2"/>
  </r>
  <r>
    <x v="0"/>
    <x v="38"/>
    <x v="38"/>
    <x v="1"/>
    <x v="1"/>
    <x v="1"/>
    <x v="3"/>
    <x v="92"/>
    <x v="387"/>
    <x v="97"/>
    <x v="404"/>
    <x v="40"/>
    <x v="308"/>
    <x v="2"/>
  </r>
  <r>
    <x v="0"/>
    <x v="38"/>
    <x v="38"/>
    <x v="0"/>
    <x v="0"/>
    <x v="0"/>
    <x v="3"/>
    <x v="92"/>
    <x v="387"/>
    <x v="73"/>
    <x v="405"/>
    <x v="53"/>
    <x v="309"/>
    <x v="2"/>
  </r>
  <r>
    <x v="0"/>
    <x v="38"/>
    <x v="38"/>
    <x v="10"/>
    <x v="10"/>
    <x v="10"/>
    <x v="6"/>
    <x v="71"/>
    <x v="61"/>
    <x v="45"/>
    <x v="406"/>
    <x v="66"/>
    <x v="310"/>
    <x v="2"/>
  </r>
  <r>
    <x v="0"/>
    <x v="38"/>
    <x v="38"/>
    <x v="5"/>
    <x v="5"/>
    <x v="5"/>
    <x v="7"/>
    <x v="73"/>
    <x v="91"/>
    <x v="97"/>
    <x v="404"/>
    <x v="68"/>
    <x v="311"/>
    <x v="2"/>
  </r>
  <r>
    <x v="0"/>
    <x v="38"/>
    <x v="38"/>
    <x v="9"/>
    <x v="9"/>
    <x v="9"/>
    <x v="8"/>
    <x v="156"/>
    <x v="388"/>
    <x v="88"/>
    <x v="407"/>
    <x v="44"/>
    <x v="306"/>
    <x v="2"/>
  </r>
  <r>
    <x v="0"/>
    <x v="38"/>
    <x v="38"/>
    <x v="8"/>
    <x v="8"/>
    <x v="8"/>
    <x v="8"/>
    <x v="156"/>
    <x v="388"/>
    <x v="94"/>
    <x v="408"/>
    <x v="53"/>
    <x v="309"/>
    <x v="2"/>
  </r>
  <r>
    <x v="0"/>
    <x v="38"/>
    <x v="38"/>
    <x v="12"/>
    <x v="12"/>
    <x v="12"/>
    <x v="10"/>
    <x v="142"/>
    <x v="124"/>
    <x v="36"/>
    <x v="402"/>
    <x v="77"/>
    <x v="159"/>
    <x v="2"/>
  </r>
  <r>
    <x v="0"/>
    <x v="38"/>
    <x v="38"/>
    <x v="16"/>
    <x v="16"/>
    <x v="16"/>
    <x v="10"/>
    <x v="142"/>
    <x v="124"/>
    <x v="66"/>
    <x v="337"/>
    <x v="57"/>
    <x v="312"/>
    <x v="2"/>
  </r>
  <r>
    <x v="0"/>
    <x v="38"/>
    <x v="38"/>
    <x v="15"/>
    <x v="15"/>
    <x v="15"/>
    <x v="12"/>
    <x v="143"/>
    <x v="10"/>
    <x v="51"/>
    <x v="177"/>
    <x v="53"/>
    <x v="309"/>
    <x v="2"/>
  </r>
  <r>
    <x v="0"/>
    <x v="38"/>
    <x v="38"/>
    <x v="13"/>
    <x v="13"/>
    <x v="13"/>
    <x v="13"/>
    <x v="153"/>
    <x v="110"/>
    <x v="36"/>
    <x v="402"/>
    <x v="68"/>
    <x v="311"/>
    <x v="2"/>
  </r>
  <r>
    <x v="0"/>
    <x v="38"/>
    <x v="38"/>
    <x v="11"/>
    <x v="11"/>
    <x v="11"/>
    <x v="14"/>
    <x v="149"/>
    <x v="389"/>
    <x v="88"/>
    <x v="407"/>
    <x v="68"/>
    <x v="311"/>
    <x v="2"/>
  </r>
  <r>
    <x v="0"/>
    <x v="38"/>
    <x v="38"/>
    <x v="23"/>
    <x v="23"/>
    <x v="23"/>
    <x v="15"/>
    <x v="150"/>
    <x v="236"/>
    <x v="66"/>
    <x v="337"/>
    <x v="82"/>
    <x v="11"/>
    <x v="2"/>
  </r>
  <r>
    <x v="0"/>
    <x v="38"/>
    <x v="38"/>
    <x v="24"/>
    <x v="24"/>
    <x v="24"/>
    <x v="15"/>
    <x v="150"/>
    <x v="236"/>
    <x v="119"/>
    <x v="409"/>
    <x v="98"/>
    <x v="33"/>
    <x v="2"/>
  </r>
  <r>
    <x v="0"/>
    <x v="38"/>
    <x v="38"/>
    <x v="25"/>
    <x v="25"/>
    <x v="25"/>
    <x v="15"/>
    <x v="150"/>
    <x v="236"/>
    <x v="134"/>
    <x v="188"/>
    <x v="54"/>
    <x v="178"/>
    <x v="2"/>
  </r>
  <r>
    <x v="0"/>
    <x v="38"/>
    <x v="38"/>
    <x v="19"/>
    <x v="19"/>
    <x v="19"/>
    <x v="15"/>
    <x v="150"/>
    <x v="236"/>
    <x v="111"/>
    <x v="410"/>
    <x v="68"/>
    <x v="311"/>
    <x v="2"/>
  </r>
  <r>
    <x v="0"/>
    <x v="38"/>
    <x v="38"/>
    <x v="52"/>
    <x v="52"/>
    <x v="52"/>
    <x v="19"/>
    <x v="151"/>
    <x v="55"/>
    <x v="111"/>
    <x v="410"/>
    <x v="53"/>
    <x v="309"/>
    <x v="6"/>
  </r>
  <r>
    <x v="0"/>
    <x v="38"/>
    <x v="38"/>
    <x v="28"/>
    <x v="28"/>
    <x v="28"/>
    <x v="19"/>
    <x v="151"/>
    <x v="55"/>
    <x v="87"/>
    <x v="146"/>
    <x v="103"/>
    <x v="181"/>
    <x v="2"/>
  </r>
  <r>
    <x v="0"/>
    <x v="38"/>
    <x v="38"/>
    <x v="20"/>
    <x v="20"/>
    <x v="20"/>
    <x v="19"/>
    <x v="151"/>
    <x v="55"/>
    <x v="95"/>
    <x v="411"/>
    <x v="98"/>
    <x v="33"/>
    <x v="2"/>
  </r>
  <r>
    <x v="0"/>
    <x v="38"/>
    <x v="38"/>
    <x v="21"/>
    <x v="21"/>
    <x v="21"/>
    <x v="19"/>
    <x v="151"/>
    <x v="55"/>
    <x v="119"/>
    <x v="409"/>
    <x v="82"/>
    <x v="11"/>
    <x v="2"/>
  </r>
  <r>
    <x v="0"/>
    <x v="39"/>
    <x v="39"/>
    <x v="4"/>
    <x v="4"/>
    <x v="4"/>
    <x v="0"/>
    <x v="144"/>
    <x v="390"/>
    <x v="44"/>
    <x v="412"/>
    <x v="87"/>
    <x v="313"/>
    <x v="2"/>
  </r>
  <r>
    <x v="0"/>
    <x v="39"/>
    <x v="39"/>
    <x v="14"/>
    <x v="14"/>
    <x v="14"/>
    <x v="1"/>
    <x v="145"/>
    <x v="391"/>
    <x v="111"/>
    <x v="206"/>
    <x v="53"/>
    <x v="150"/>
    <x v="2"/>
  </r>
  <r>
    <x v="0"/>
    <x v="39"/>
    <x v="39"/>
    <x v="0"/>
    <x v="0"/>
    <x v="0"/>
    <x v="1"/>
    <x v="145"/>
    <x v="391"/>
    <x v="88"/>
    <x v="413"/>
    <x v="103"/>
    <x v="181"/>
    <x v="2"/>
  </r>
  <r>
    <x v="0"/>
    <x v="39"/>
    <x v="39"/>
    <x v="6"/>
    <x v="6"/>
    <x v="6"/>
    <x v="3"/>
    <x v="146"/>
    <x v="392"/>
    <x v="134"/>
    <x v="188"/>
    <x v="82"/>
    <x v="314"/>
    <x v="2"/>
  </r>
  <r>
    <x v="0"/>
    <x v="39"/>
    <x v="39"/>
    <x v="2"/>
    <x v="2"/>
    <x v="2"/>
    <x v="3"/>
    <x v="146"/>
    <x v="392"/>
    <x v="111"/>
    <x v="206"/>
    <x v="103"/>
    <x v="181"/>
    <x v="2"/>
  </r>
  <r>
    <x v="0"/>
    <x v="39"/>
    <x v="39"/>
    <x v="23"/>
    <x v="23"/>
    <x v="23"/>
    <x v="5"/>
    <x v="147"/>
    <x v="297"/>
    <x v="95"/>
    <x v="190"/>
    <x v="87"/>
    <x v="313"/>
    <x v="2"/>
  </r>
  <r>
    <x v="0"/>
    <x v="39"/>
    <x v="39"/>
    <x v="5"/>
    <x v="5"/>
    <x v="5"/>
    <x v="5"/>
    <x v="147"/>
    <x v="297"/>
    <x v="134"/>
    <x v="188"/>
    <x v="103"/>
    <x v="181"/>
    <x v="2"/>
  </r>
  <r>
    <x v="0"/>
    <x v="39"/>
    <x v="39"/>
    <x v="9"/>
    <x v="9"/>
    <x v="9"/>
    <x v="7"/>
    <x v="148"/>
    <x v="393"/>
    <x v="95"/>
    <x v="190"/>
    <x v="53"/>
    <x v="150"/>
    <x v="2"/>
  </r>
  <r>
    <x v="0"/>
    <x v="39"/>
    <x v="39"/>
    <x v="8"/>
    <x v="8"/>
    <x v="8"/>
    <x v="7"/>
    <x v="148"/>
    <x v="393"/>
    <x v="119"/>
    <x v="322"/>
    <x v="103"/>
    <x v="181"/>
    <x v="2"/>
  </r>
  <r>
    <x v="0"/>
    <x v="39"/>
    <x v="39"/>
    <x v="3"/>
    <x v="3"/>
    <x v="3"/>
    <x v="7"/>
    <x v="148"/>
    <x v="393"/>
    <x v="95"/>
    <x v="190"/>
    <x v="53"/>
    <x v="150"/>
    <x v="2"/>
  </r>
  <r>
    <x v="0"/>
    <x v="39"/>
    <x v="39"/>
    <x v="15"/>
    <x v="15"/>
    <x v="15"/>
    <x v="7"/>
    <x v="148"/>
    <x v="393"/>
    <x v="119"/>
    <x v="322"/>
    <x v="103"/>
    <x v="181"/>
    <x v="2"/>
  </r>
  <r>
    <x v="0"/>
    <x v="39"/>
    <x v="39"/>
    <x v="10"/>
    <x v="10"/>
    <x v="10"/>
    <x v="11"/>
    <x v="152"/>
    <x v="129"/>
    <x v="134"/>
    <x v="188"/>
    <x v="53"/>
    <x v="150"/>
    <x v="2"/>
  </r>
  <r>
    <x v="0"/>
    <x v="39"/>
    <x v="39"/>
    <x v="53"/>
    <x v="53"/>
    <x v="53"/>
    <x v="11"/>
    <x v="152"/>
    <x v="129"/>
    <x v="134"/>
    <x v="188"/>
    <x v="53"/>
    <x v="150"/>
    <x v="2"/>
  </r>
  <r>
    <x v="0"/>
    <x v="39"/>
    <x v="39"/>
    <x v="31"/>
    <x v="31"/>
    <x v="31"/>
    <x v="11"/>
    <x v="152"/>
    <x v="129"/>
    <x v="134"/>
    <x v="188"/>
    <x v="53"/>
    <x v="150"/>
    <x v="2"/>
  </r>
  <r>
    <x v="0"/>
    <x v="39"/>
    <x v="39"/>
    <x v="48"/>
    <x v="48"/>
    <x v="48"/>
    <x v="11"/>
    <x v="152"/>
    <x v="129"/>
    <x v="134"/>
    <x v="188"/>
    <x v="53"/>
    <x v="150"/>
    <x v="2"/>
  </r>
  <r>
    <x v="0"/>
    <x v="39"/>
    <x v="39"/>
    <x v="34"/>
    <x v="34"/>
    <x v="34"/>
    <x v="11"/>
    <x v="152"/>
    <x v="129"/>
    <x v="134"/>
    <x v="188"/>
    <x v="103"/>
    <x v="181"/>
    <x v="2"/>
  </r>
  <r>
    <x v="0"/>
    <x v="39"/>
    <x v="39"/>
    <x v="28"/>
    <x v="28"/>
    <x v="28"/>
    <x v="11"/>
    <x v="152"/>
    <x v="129"/>
    <x v="95"/>
    <x v="190"/>
    <x v="103"/>
    <x v="181"/>
    <x v="2"/>
  </r>
  <r>
    <x v="0"/>
    <x v="39"/>
    <x v="39"/>
    <x v="22"/>
    <x v="22"/>
    <x v="22"/>
    <x v="11"/>
    <x v="152"/>
    <x v="129"/>
    <x v="134"/>
    <x v="188"/>
    <x v="53"/>
    <x v="150"/>
    <x v="2"/>
  </r>
  <r>
    <x v="0"/>
    <x v="39"/>
    <x v="39"/>
    <x v="29"/>
    <x v="29"/>
    <x v="29"/>
    <x v="11"/>
    <x v="152"/>
    <x v="129"/>
    <x v="95"/>
    <x v="190"/>
    <x v="103"/>
    <x v="181"/>
    <x v="2"/>
  </r>
  <r>
    <x v="0"/>
    <x v="39"/>
    <x v="39"/>
    <x v="12"/>
    <x v="12"/>
    <x v="12"/>
    <x v="11"/>
    <x v="152"/>
    <x v="129"/>
    <x v="134"/>
    <x v="188"/>
    <x v="53"/>
    <x v="150"/>
    <x v="2"/>
  </r>
  <r>
    <x v="0"/>
    <x v="39"/>
    <x v="39"/>
    <x v="26"/>
    <x v="26"/>
    <x v="26"/>
    <x v="11"/>
    <x v="152"/>
    <x v="129"/>
    <x v="95"/>
    <x v="190"/>
    <x v="103"/>
    <x v="181"/>
    <x v="2"/>
  </r>
  <r>
    <x v="0"/>
    <x v="39"/>
    <x v="39"/>
    <x v="18"/>
    <x v="18"/>
    <x v="18"/>
    <x v="11"/>
    <x v="152"/>
    <x v="129"/>
    <x v="95"/>
    <x v="190"/>
    <x v="103"/>
    <x v="181"/>
    <x v="2"/>
  </r>
  <r>
    <x v="0"/>
    <x v="39"/>
    <x v="39"/>
    <x v="13"/>
    <x v="13"/>
    <x v="13"/>
    <x v="11"/>
    <x v="152"/>
    <x v="129"/>
    <x v="95"/>
    <x v="190"/>
    <x v="103"/>
    <x v="181"/>
    <x v="2"/>
  </r>
  <r>
    <x v="0"/>
    <x v="39"/>
    <x v="39"/>
    <x v="16"/>
    <x v="16"/>
    <x v="16"/>
    <x v="11"/>
    <x v="152"/>
    <x v="129"/>
    <x v="134"/>
    <x v="188"/>
    <x v="103"/>
    <x v="181"/>
    <x v="2"/>
  </r>
  <r>
    <x v="0"/>
    <x v="40"/>
    <x v="40"/>
    <x v="14"/>
    <x v="14"/>
    <x v="14"/>
    <x v="0"/>
    <x v="160"/>
    <x v="394"/>
    <x v="131"/>
    <x v="414"/>
    <x v="82"/>
    <x v="315"/>
    <x v="2"/>
  </r>
  <r>
    <x v="0"/>
    <x v="40"/>
    <x v="40"/>
    <x v="0"/>
    <x v="0"/>
    <x v="0"/>
    <x v="1"/>
    <x v="116"/>
    <x v="390"/>
    <x v="132"/>
    <x v="362"/>
    <x v="87"/>
    <x v="316"/>
    <x v="2"/>
  </r>
  <r>
    <x v="0"/>
    <x v="40"/>
    <x v="40"/>
    <x v="18"/>
    <x v="18"/>
    <x v="18"/>
    <x v="2"/>
    <x v="52"/>
    <x v="395"/>
    <x v="136"/>
    <x v="415"/>
    <x v="57"/>
    <x v="317"/>
    <x v="2"/>
  </r>
  <r>
    <x v="0"/>
    <x v="40"/>
    <x v="40"/>
    <x v="3"/>
    <x v="3"/>
    <x v="3"/>
    <x v="3"/>
    <x v="94"/>
    <x v="239"/>
    <x v="96"/>
    <x v="364"/>
    <x v="57"/>
    <x v="317"/>
    <x v="2"/>
  </r>
  <r>
    <x v="0"/>
    <x v="40"/>
    <x v="40"/>
    <x v="4"/>
    <x v="4"/>
    <x v="4"/>
    <x v="4"/>
    <x v="125"/>
    <x v="241"/>
    <x v="64"/>
    <x v="265"/>
    <x v="87"/>
    <x v="316"/>
    <x v="6"/>
  </r>
  <r>
    <x v="0"/>
    <x v="40"/>
    <x v="40"/>
    <x v="29"/>
    <x v="29"/>
    <x v="29"/>
    <x v="4"/>
    <x v="125"/>
    <x v="241"/>
    <x v="77"/>
    <x v="416"/>
    <x v="54"/>
    <x v="318"/>
    <x v="2"/>
  </r>
  <r>
    <x v="0"/>
    <x v="40"/>
    <x v="40"/>
    <x v="19"/>
    <x v="19"/>
    <x v="19"/>
    <x v="6"/>
    <x v="142"/>
    <x v="396"/>
    <x v="75"/>
    <x v="417"/>
    <x v="87"/>
    <x v="316"/>
    <x v="2"/>
  </r>
  <r>
    <x v="0"/>
    <x v="40"/>
    <x v="40"/>
    <x v="28"/>
    <x v="28"/>
    <x v="28"/>
    <x v="7"/>
    <x v="144"/>
    <x v="360"/>
    <x v="36"/>
    <x v="418"/>
    <x v="53"/>
    <x v="69"/>
    <x v="2"/>
  </r>
  <r>
    <x v="0"/>
    <x v="40"/>
    <x v="40"/>
    <x v="23"/>
    <x v="23"/>
    <x v="23"/>
    <x v="8"/>
    <x v="150"/>
    <x v="397"/>
    <x v="87"/>
    <x v="419"/>
    <x v="53"/>
    <x v="69"/>
    <x v="2"/>
  </r>
  <r>
    <x v="0"/>
    <x v="40"/>
    <x v="40"/>
    <x v="31"/>
    <x v="31"/>
    <x v="31"/>
    <x v="9"/>
    <x v="151"/>
    <x v="204"/>
    <x v="119"/>
    <x v="105"/>
    <x v="82"/>
    <x v="315"/>
    <x v="2"/>
  </r>
  <r>
    <x v="0"/>
    <x v="40"/>
    <x v="40"/>
    <x v="7"/>
    <x v="7"/>
    <x v="7"/>
    <x v="9"/>
    <x v="151"/>
    <x v="204"/>
    <x v="87"/>
    <x v="419"/>
    <x v="103"/>
    <x v="181"/>
    <x v="2"/>
  </r>
  <r>
    <x v="0"/>
    <x v="40"/>
    <x v="40"/>
    <x v="6"/>
    <x v="6"/>
    <x v="6"/>
    <x v="11"/>
    <x v="145"/>
    <x v="322"/>
    <x v="95"/>
    <x v="86"/>
    <x v="82"/>
    <x v="315"/>
    <x v="2"/>
  </r>
  <r>
    <x v="0"/>
    <x v="40"/>
    <x v="40"/>
    <x v="50"/>
    <x v="50"/>
    <x v="50"/>
    <x v="11"/>
    <x v="145"/>
    <x v="322"/>
    <x v="134"/>
    <x v="188"/>
    <x v="98"/>
    <x v="319"/>
    <x v="2"/>
  </r>
  <r>
    <x v="0"/>
    <x v="40"/>
    <x v="40"/>
    <x v="38"/>
    <x v="38"/>
    <x v="38"/>
    <x v="11"/>
    <x v="145"/>
    <x v="322"/>
    <x v="66"/>
    <x v="96"/>
    <x v="53"/>
    <x v="69"/>
    <x v="2"/>
  </r>
  <r>
    <x v="0"/>
    <x v="40"/>
    <x v="40"/>
    <x v="2"/>
    <x v="2"/>
    <x v="2"/>
    <x v="14"/>
    <x v="146"/>
    <x v="398"/>
    <x v="66"/>
    <x v="96"/>
    <x v="53"/>
    <x v="69"/>
    <x v="2"/>
  </r>
  <r>
    <x v="0"/>
    <x v="40"/>
    <x v="40"/>
    <x v="9"/>
    <x v="9"/>
    <x v="9"/>
    <x v="15"/>
    <x v="147"/>
    <x v="399"/>
    <x v="134"/>
    <x v="188"/>
    <x v="68"/>
    <x v="249"/>
    <x v="2"/>
  </r>
  <r>
    <x v="0"/>
    <x v="40"/>
    <x v="40"/>
    <x v="35"/>
    <x v="35"/>
    <x v="35"/>
    <x v="15"/>
    <x v="147"/>
    <x v="399"/>
    <x v="134"/>
    <x v="188"/>
    <x v="68"/>
    <x v="249"/>
    <x v="2"/>
  </r>
  <r>
    <x v="0"/>
    <x v="40"/>
    <x v="40"/>
    <x v="53"/>
    <x v="53"/>
    <x v="53"/>
    <x v="15"/>
    <x v="147"/>
    <x v="399"/>
    <x v="134"/>
    <x v="188"/>
    <x v="68"/>
    <x v="249"/>
    <x v="2"/>
  </r>
  <r>
    <x v="0"/>
    <x v="40"/>
    <x v="40"/>
    <x v="1"/>
    <x v="1"/>
    <x v="1"/>
    <x v="15"/>
    <x v="147"/>
    <x v="399"/>
    <x v="66"/>
    <x v="96"/>
    <x v="103"/>
    <x v="181"/>
    <x v="2"/>
  </r>
  <r>
    <x v="0"/>
    <x v="40"/>
    <x v="40"/>
    <x v="51"/>
    <x v="51"/>
    <x v="51"/>
    <x v="15"/>
    <x v="147"/>
    <x v="399"/>
    <x v="134"/>
    <x v="188"/>
    <x v="68"/>
    <x v="249"/>
    <x v="2"/>
  </r>
  <r>
    <x v="0"/>
    <x v="40"/>
    <x v="40"/>
    <x v="12"/>
    <x v="12"/>
    <x v="12"/>
    <x v="15"/>
    <x v="147"/>
    <x v="399"/>
    <x v="95"/>
    <x v="86"/>
    <x v="87"/>
    <x v="316"/>
    <x v="2"/>
  </r>
  <r>
    <x v="0"/>
    <x v="40"/>
    <x v="40"/>
    <x v="5"/>
    <x v="5"/>
    <x v="5"/>
    <x v="15"/>
    <x v="147"/>
    <x v="399"/>
    <x v="119"/>
    <x v="105"/>
    <x v="103"/>
    <x v="181"/>
    <x v="6"/>
  </r>
  <r>
    <x v="0"/>
    <x v="41"/>
    <x v="41"/>
    <x v="35"/>
    <x v="35"/>
    <x v="35"/>
    <x v="0"/>
    <x v="139"/>
    <x v="400"/>
    <x v="97"/>
    <x v="420"/>
    <x v="103"/>
    <x v="181"/>
    <x v="2"/>
  </r>
  <r>
    <x v="0"/>
    <x v="41"/>
    <x v="41"/>
    <x v="0"/>
    <x v="0"/>
    <x v="0"/>
    <x v="1"/>
    <x v="124"/>
    <x v="401"/>
    <x v="45"/>
    <x v="421"/>
    <x v="68"/>
    <x v="320"/>
    <x v="2"/>
  </r>
  <r>
    <x v="0"/>
    <x v="41"/>
    <x v="41"/>
    <x v="23"/>
    <x v="23"/>
    <x v="23"/>
    <x v="2"/>
    <x v="125"/>
    <x v="258"/>
    <x v="94"/>
    <x v="350"/>
    <x v="87"/>
    <x v="321"/>
    <x v="2"/>
  </r>
  <r>
    <x v="0"/>
    <x v="41"/>
    <x v="41"/>
    <x v="14"/>
    <x v="14"/>
    <x v="14"/>
    <x v="3"/>
    <x v="156"/>
    <x v="402"/>
    <x v="75"/>
    <x v="197"/>
    <x v="68"/>
    <x v="320"/>
    <x v="2"/>
  </r>
  <r>
    <x v="0"/>
    <x v="41"/>
    <x v="41"/>
    <x v="4"/>
    <x v="4"/>
    <x v="4"/>
    <x v="4"/>
    <x v="158"/>
    <x v="58"/>
    <x v="77"/>
    <x v="199"/>
    <x v="53"/>
    <x v="29"/>
    <x v="2"/>
  </r>
  <r>
    <x v="0"/>
    <x v="41"/>
    <x v="41"/>
    <x v="5"/>
    <x v="5"/>
    <x v="5"/>
    <x v="5"/>
    <x v="145"/>
    <x v="25"/>
    <x v="66"/>
    <x v="201"/>
    <x v="53"/>
    <x v="29"/>
    <x v="2"/>
  </r>
  <r>
    <x v="0"/>
    <x v="41"/>
    <x v="41"/>
    <x v="6"/>
    <x v="6"/>
    <x v="6"/>
    <x v="6"/>
    <x v="146"/>
    <x v="123"/>
    <x v="95"/>
    <x v="422"/>
    <x v="68"/>
    <x v="320"/>
    <x v="2"/>
  </r>
  <r>
    <x v="0"/>
    <x v="41"/>
    <x v="41"/>
    <x v="3"/>
    <x v="3"/>
    <x v="3"/>
    <x v="6"/>
    <x v="146"/>
    <x v="123"/>
    <x v="119"/>
    <x v="423"/>
    <x v="87"/>
    <x v="321"/>
    <x v="2"/>
  </r>
  <r>
    <x v="0"/>
    <x v="41"/>
    <x v="41"/>
    <x v="18"/>
    <x v="18"/>
    <x v="18"/>
    <x v="6"/>
    <x v="146"/>
    <x v="123"/>
    <x v="95"/>
    <x v="422"/>
    <x v="53"/>
    <x v="29"/>
    <x v="3"/>
  </r>
  <r>
    <x v="0"/>
    <x v="41"/>
    <x v="41"/>
    <x v="32"/>
    <x v="32"/>
    <x v="32"/>
    <x v="9"/>
    <x v="147"/>
    <x v="53"/>
    <x v="134"/>
    <x v="188"/>
    <x v="68"/>
    <x v="320"/>
    <x v="2"/>
  </r>
  <r>
    <x v="0"/>
    <x v="41"/>
    <x v="41"/>
    <x v="31"/>
    <x v="31"/>
    <x v="31"/>
    <x v="9"/>
    <x v="147"/>
    <x v="53"/>
    <x v="95"/>
    <x v="422"/>
    <x v="87"/>
    <x v="321"/>
    <x v="2"/>
  </r>
  <r>
    <x v="0"/>
    <x v="41"/>
    <x v="41"/>
    <x v="1"/>
    <x v="1"/>
    <x v="1"/>
    <x v="9"/>
    <x v="147"/>
    <x v="53"/>
    <x v="66"/>
    <x v="201"/>
    <x v="103"/>
    <x v="181"/>
    <x v="2"/>
  </r>
  <r>
    <x v="0"/>
    <x v="41"/>
    <x v="41"/>
    <x v="2"/>
    <x v="2"/>
    <x v="2"/>
    <x v="9"/>
    <x v="147"/>
    <x v="53"/>
    <x v="66"/>
    <x v="201"/>
    <x v="103"/>
    <x v="181"/>
    <x v="2"/>
  </r>
  <r>
    <x v="0"/>
    <x v="41"/>
    <x v="41"/>
    <x v="37"/>
    <x v="37"/>
    <x v="37"/>
    <x v="13"/>
    <x v="148"/>
    <x v="86"/>
    <x v="95"/>
    <x v="422"/>
    <x v="53"/>
    <x v="29"/>
    <x v="2"/>
  </r>
  <r>
    <x v="0"/>
    <x v="41"/>
    <x v="41"/>
    <x v="53"/>
    <x v="53"/>
    <x v="53"/>
    <x v="13"/>
    <x v="148"/>
    <x v="86"/>
    <x v="134"/>
    <x v="188"/>
    <x v="87"/>
    <x v="321"/>
    <x v="2"/>
  </r>
  <r>
    <x v="0"/>
    <x v="41"/>
    <x v="41"/>
    <x v="40"/>
    <x v="40"/>
    <x v="40"/>
    <x v="13"/>
    <x v="148"/>
    <x v="86"/>
    <x v="119"/>
    <x v="423"/>
    <x v="103"/>
    <x v="181"/>
    <x v="2"/>
  </r>
  <r>
    <x v="0"/>
    <x v="41"/>
    <x v="41"/>
    <x v="7"/>
    <x v="7"/>
    <x v="7"/>
    <x v="13"/>
    <x v="148"/>
    <x v="86"/>
    <x v="95"/>
    <x v="422"/>
    <x v="53"/>
    <x v="29"/>
    <x v="2"/>
  </r>
  <r>
    <x v="0"/>
    <x v="41"/>
    <x v="41"/>
    <x v="13"/>
    <x v="13"/>
    <x v="13"/>
    <x v="13"/>
    <x v="148"/>
    <x v="86"/>
    <x v="119"/>
    <x v="423"/>
    <x v="103"/>
    <x v="181"/>
    <x v="2"/>
  </r>
  <r>
    <x v="0"/>
    <x v="41"/>
    <x v="41"/>
    <x v="16"/>
    <x v="16"/>
    <x v="16"/>
    <x v="13"/>
    <x v="148"/>
    <x v="86"/>
    <x v="134"/>
    <x v="188"/>
    <x v="53"/>
    <x v="29"/>
    <x v="2"/>
  </r>
  <r>
    <x v="0"/>
    <x v="41"/>
    <x v="41"/>
    <x v="9"/>
    <x v="9"/>
    <x v="9"/>
    <x v="19"/>
    <x v="152"/>
    <x v="403"/>
    <x v="95"/>
    <x v="422"/>
    <x v="103"/>
    <x v="181"/>
    <x v="2"/>
  </r>
  <r>
    <x v="0"/>
    <x v="41"/>
    <x v="41"/>
    <x v="36"/>
    <x v="36"/>
    <x v="36"/>
    <x v="19"/>
    <x v="152"/>
    <x v="403"/>
    <x v="95"/>
    <x v="422"/>
    <x v="103"/>
    <x v="181"/>
    <x v="2"/>
  </r>
  <r>
    <x v="0"/>
    <x v="41"/>
    <x v="41"/>
    <x v="54"/>
    <x v="54"/>
    <x v="54"/>
    <x v="19"/>
    <x v="152"/>
    <x v="403"/>
    <x v="95"/>
    <x v="422"/>
    <x v="103"/>
    <x v="181"/>
    <x v="2"/>
  </r>
  <r>
    <x v="0"/>
    <x v="41"/>
    <x v="41"/>
    <x v="48"/>
    <x v="48"/>
    <x v="48"/>
    <x v="19"/>
    <x v="152"/>
    <x v="403"/>
    <x v="134"/>
    <x v="188"/>
    <x v="53"/>
    <x v="29"/>
    <x v="2"/>
  </r>
  <r>
    <x v="0"/>
    <x v="41"/>
    <x v="41"/>
    <x v="34"/>
    <x v="34"/>
    <x v="34"/>
    <x v="19"/>
    <x v="152"/>
    <x v="403"/>
    <x v="134"/>
    <x v="188"/>
    <x v="103"/>
    <x v="181"/>
    <x v="2"/>
  </r>
  <r>
    <x v="0"/>
    <x v="41"/>
    <x v="41"/>
    <x v="30"/>
    <x v="30"/>
    <x v="30"/>
    <x v="19"/>
    <x v="152"/>
    <x v="403"/>
    <x v="95"/>
    <x v="422"/>
    <x v="103"/>
    <x v="181"/>
    <x v="2"/>
  </r>
  <r>
    <x v="0"/>
    <x v="41"/>
    <x v="41"/>
    <x v="38"/>
    <x v="38"/>
    <x v="38"/>
    <x v="19"/>
    <x v="152"/>
    <x v="403"/>
    <x v="134"/>
    <x v="188"/>
    <x v="103"/>
    <x v="181"/>
    <x v="6"/>
  </r>
  <r>
    <x v="0"/>
    <x v="41"/>
    <x v="41"/>
    <x v="8"/>
    <x v="8"/>
    <x v="8"/>
    <x v="19"/>
    <x v="152"/>
    <x v="403"/>
    <x v="95"/>
    <x v="422"/>
    <x v="103"/>
    <x v="181"/>
    <x v="2"/>
  </r>
  <r>
    <x v="0"/>
    <x v="41"/>
    <x v="41"/>
    <x v="41"/>
    <x v="41"/>
    <x v="41"/>
    <x v="19"/>
    <x v="152"/>
    <x v="403"/>
    <x v="95"/>
    <x v="422"/>
    <x v="103"/>
    <x v="181"/>
    <x v="2"/>
  </r>
  <r>
    <x v="0"/>
    <x v="41"/>
    <x v="41"/>
    <x v="29"/>
    <x v="29"/>
    <x v="29"/>
    <x v="19"/>
    <x v="152"/>
    <x v="403"/>
    <x v="95"/>
    <x v="422"/>
    <x v="103"/>
    <x v="181"/>
    <x v="2"/>
  </r>
  <r>
    <x v="0"/>
    <x v="41"/>
    <x v="41"/>
    <x v="12"/>
    <x v="12"/>
    <x v="12"/>
    <x v="19"/>
    <x v="152"/>
    <x v="403"/>
    <x v="95"/>
    <x v="422"/>
    <x v="103"/>
    <x v="181"/>
    <x v="2"/>
  </r>
  <r>
    <x v="0"/>
    <x v="41"/>
    <x v="41"/>
    <x v="19"/>
    <x v="19"/>
    <x v="19"/>
    <x v="19"/>
    <x v="152"/>
    <x v="403"/>
    <x v="95"/>
    <x v="422"/>
    <x v="103"/>
    <x v="181"/>
    <x v="2"/>
  </r>
  <r>
    <x v="0"/>
    <x v="41"/>
    <x v="41"/>
    <x v="39"/>
    <x v="39"/>
    <x v="39"/>
    <x v="19"/>
    <x v="152"/>
    <x v="403"/>
    <x v="95"/>
    <x v="422"/>
    <x v="103"/>
    <x v="181"/>
    <x v="2"/>
  </r>
  <r>
    <x v="0"/>
    <x v="41"/>
    <x v="41"/>
    <x v="15"/>
    <x v="15"/>
    <x v="15"/>
    <x v="19"/>
    <x v="152"/>
    <x v="403"/>
    <x v="134"/>
    <x v="188"/>
    <x v="53"/>
    <x v="29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5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1"/>
  </r>
  <r>
    <x v="0"/>
    <x v="0"/>
    <x v="0"/>
    <x v="4"/>
    <x v="4"/>
    <x v="4"/>
    <x v="4"/>
    <x v="4"/>
    <x v="4"/>
    <x v="4"/>
    <x v="4"/>
    <x v="4"/>
    <x v="4"/>
    <x v="2"/>
  </r>
  <r>
    <x v="0"/>
    <x v="0"/>
    <x v="0"/>
    <x v="5"/>
    <x v="5"/>
    <x v="5"/>
    <x v="5"/>
    <x v="5"/>
    <x v="5"/>
    <x v="5"/>
    <x v="5"/>
    <x v="5"/>
    <x v="5"/>
    <x v="2"/>
  </r>
  <r>
    <x v="0"/>
    <x v="0"/>
    <x v="0"/>
    <x v="6"/>
    <x v="6"/>
    <x v="6"/>
    <x v="5"/>
    <x v="5"/>
    <x v="5"/>
    <x v="6"/>
    <x v="6"/>
    <x v="6"/>
    <x v="6"/>
    <x v="1"/>
  </r>
  <r>
    <x v="0"/>
    <x v="0"/>
    <x v="0"/>
    <x v="7"/>
    <x v="7"/>
    <x v="7"/>
    <x v="6"/>
    <x v="6"/>
    <x v="6"/>
    <x v="7"/>
    <x v="7"/>
    <x v="7"/>
    <x v="7"/>
    <x v="0"/>
  </r>
  <r>
    <x v="0"/>
    <x v="0"/>
    <x v="0"/>
    <x v="8"/>
    <x v="8"/>
    <x v="8"/>
    <x v="7"/>
    <x v="7"/>
    <x v="7"/>
    <x v="8"/>
    <x v="8"/>
    <x v="8"/>
    <x v="8"/>
    <x v="1"/>
  </r>
  <r>
    <x v="0"/>
    <x v="0"/>
    <x v="0"/>
    <x v="9"/>
    <x v="9"/>
    <x v="9"/>
    <x v="8"/>
    <x v="8"/>
    <x v="8"/>
    <x v="9"/>
    <x v="9"/>
    <x v="9"/>
    <x v="9"/>
    <x v="3"/>
  </r>
  <r>
    <x v="0"/>
    <x v="0"/>
    <x v="0"/>
    <x v="10"/>
    <x v="10"/>
    <x v="10"/>
    <x v="9"/>
    <x v="9"/>
    <x v="9"/>
    <x v="10"/>
    <x v="10"/>
    <x v="10"/>
    <x v="10"/>
    <x v="1"/>
  </r>
  <r>
    <x v="0"/>
    <x v="0"/>
    <x v="0"/>
    <x v="11"/>
    <x v="11"/>
    <x v="11"/>
    <x v="10"/>
    <x v="10"/>
    <x v="10"/>
    <x v="11"/>
    <x v="11"/>
    <x v="11"/>
    <x v="11"/>
    <x v="1"/>
  </r>
  <r>
    <x v="0"/>
    <x v="0"/>
    <x v="0"/>
    <x v="12"/>
    <x v="12"/>
    <x v="12"/>
    <x v="11"/>
    <x v="11"/>
    <x v="11"/>
    <x v="12"/>
    <x v="12"/>
    <x v="12"/>
    <x v="12"/>
    <x v="0"/>
  </r>
  <r>
    <x v="0"/>
    <x v="0"/>
    <x v="0"/>
    <x v="13"/>
    <x v="13"/>
    <x v="13"/>
    <x v="12"/>
    <x v="12"/>
    <x v="12"/>
    <x v="13"/>
    <x v="13"/>
    <x v="13"/>
    <x v="13"/>
    <x v="0"/>
  </r>
  <r>
    <x v="0"/>
    <x v="0"/>
    <x v="0"/>
    <x v="14"/>
    <x v="14"/>
    <x v="14"/>
    <x v="13"/>
    <x v="13"/>
    <x v="13"/>
    <x v="14"/>
    <x v="14"/>
    <x v="14"/>
    <x v="14"/>
    <x v="0"/>
  </r>
  <r>
    <x v="0"/>
    <x v="0"/>
    <x v="0"/>
    <x v="15"/>
    <x v="15"/>
    <x v="15"/>
    <x v="14"/>
    <x v="14"/>
    <x v="14"/>
    <x v="15"/>
    <x v="15"/>
    <x v="15"/>
    <x v="15"/>
    <x v="0"/>
  </r>
  <r>
    <x v="0"/>
    <x v="0"/>
    <x v="0"/>
    <x v="16"/>
    <x v="16"/>
    <x v="16"/>
    <x v="15"/>
    <x v="15"/>
    <x v="15"/>
    <x v="16"/>
    <x v="16"/>
    <x v="16"/>
    <x v="16"/>
    <x v="0"/>
  </r>
  <r>
    <x v="0"/>
    <x v="0"/>
    <x v="0"/>
    <x v="17"/>
    <x v="17"/>
    <x v="17"/>
    <x v="16"/>
    <x v="16"/>
    <x v="16"/>
    <x v="17"/>
    <x v="17"/>
    <x v="17"/>
    <x v="17"/>
    <x v="0"/>
  </r>
  <r>
    <x v="0"/>
    <x v="0"/>
    <x v="0"/>
    <x v="18"/>
    <x v="18"/>
    <x v="18"/>
    <x v="17"/>
    <x v="17"/>
    <x v="17"/>
    <x v="18"/>
    <x v="11"/>
    <x v="18"/>
    <x v="18"/>
    <x v="0"/>
  </r>
  <r>
    <x v="0"/>
    <x v="0"/>
    <x v="0"/>
    <x v="19"/>
    <x v="19"/>
    <x v="19"/>
    <x v="17"/>
    <x v="17"/>
    <x v="17"/>
    <x v="19"/>
    <x v="18"/>
    <x v="19"/>
    <x v="19"/>
    <x v="0"/>
  </r>
  <r>
    <x v="0"/>
    <x v="1"/>
    <x v="1"/>
    <x v="0"/>
    <x v="0"/>
    <x v="0"/>
    <x v="0"/>
    <x v="18"/>
    <x v="18"/>
    <x v="20"/>
    <x v="19"/>
    <x v="20"/>
    <x v="20"/>
    <x v="0"/>
  </r>
  <r>
    <x v="0"/>
    <x v="1"/>
    <x v="1"/>
    <x v="1"/>
    <x v="1"/>
    <x v="1"/>
    <x v="1"/>
    <x v="19"/>
    <x v="19"/>
    <x v="21"/>
    <x v="20"/>
    <x v="21"/>
    <x v="21"/>
    <x v="0"/>
  </r>
  <r>
    <x v="0"/>
    <x v="1"/>
    <x v="1"/>
    <x v="3"/>
    <x v="3"/>
    <x v="3"/>
    <x v="2"/>
    <x v="20"/>
    <x v="20"/>
    <x v="22"/>
    <x v="21"/>
    <x v="22"/>
    <x v="22"/>
    <x v="0"/>
  </r>
  <r>
    <x v="0"/>
    <x v="1"/>
    <x v="1"/>
    <x v="2"/>
    <x v="2"/>
    <x v="2"/>
    <x v="3"/>
    <x v="21"/>
    <x v="21"/>
    <x v="23"/>
    <x v="2"/>
    <x v="23"/>
    <x v="23"/>
    <x v="0"/>
  </r>
  <r>
    <x v="0"/>
    <x v="1"/>
    <x v="1"/>
    <x v="4"/>
    <x v="4"/>
    <x v="4"/>
    <x v="4"/>
    <x v="22"/>
    <x v="22"/>
    <x v="24"/>
    <x v="22"/>
    <x v="24"/>
    <x v="24"/>
    <x v="3"/>
  </r>
  <r>
    <x v="0"/>
    <x v="1"/>
    <x v="1"/>
    <x v="6"/>
    <x v="6"/>
    <x v="6"/>
    <x v="5"/>
    <x v="23"/>
    <x v="23"/>
    <x v="25"/>
    <x v="23"/>
    <x v="25"/>
    <x v="25"/>
    <x v="0"/>
  </r>
  <r>
    <x v="0"/>
    <x v="1"/>
    <x v="1"/>
    <x v="9"/>
    <x v="9"/>
    <x v="9"/>
    <x v="18"/>
    <x v="24"/>
    <x v="24"/>
    <x v="26"/>
    <x v="24"/>
    <x v="26"/>
    <x v="26"/>
    <x v="0"/>
  </r>
  <r>
    <x v="0"/>
    <x v="1"/>
    <x v="1"/>
    <x v="5"/>
    <x v="5"/>
    <x v="5"/>
    <x v="6"/>
    <x v="25"/>
    <x v="25"/>
    <x v="27"/>
    <x v="25"/>
    <x v="27"/>
    <x v="27"/>
    <x v="0"/>
  </r>
  <r>
    <x v="0"/>
    <x v="1"/>
    <x v="1"/>
    <x v="19"/>
    <x v="19"/>
    <x v="19"/>
    <x v="7"/>
    <x v="26"/>
    <x v="26"/>
    <x v="28"/>
    <x v="26"/>
    <x v="28"/>
    <x v="28"/>
    <x v="0"/>
  </r>
  <r>
    <x v="0"/>
    <x v="1"/>
    <x v="1"/>
    <x v="11"/>
    <x v="11"/>
    <x v="11"/>
    <x v="8"/>
    <x v="27"/>
    <x v="27"/>
    <x v="29"/>
    <x v="27"/>
    <x v="29"/>
    <x v="29"/>
    <x v="0"/>
  </r>
  <r>
    <x v="0"/>
    <x v="1"/>
    <x v="1"/>
    <x v="7"/>
    <x v="7"/>
    <x v="7"/>
    <x v="9"/>
    <x v="28"/>
    <x v="28"/>
    <x v="30"/>
    <x v="28"/>
    <x v="30"/>
    <x v="30"/>
    <x v="0"/>
  </r>
  <r>
    <x v="0"/>
    <x v="1"/>
    <x v="1"/>
    <x v="20"/>
    <x v="20"/>
    <x v="20"/>
    <x v="10"/>
    <x v="29"/>
    <x v="9"/>
    <x v="31"/>
    <x v="29"/>
    <x v="31"/>
    <x v="31"/>
    <x v="0"/>
  </r>
  <r>
    <x v="0"/>
    <x v="1"/>
    <x v="1"/>
    <x v="18"/>
    <x v="18"/>
    <x v="18"/>
    <x v="11"/>
    <x v="30"/>
    <x v="29"/>
    <x v="32"/>
    <x v="30"/>
    <x v="16"/>
    <x v="32"/>
    <x v="0"/>
  </r>
  <r>
    <x v="0"/>
    <x v="1"/>
    <x v="1"/>
    <x v="13"/>
    <x v="13"/>
    <x v="13"/>
    <x v="12"/>
    <x v="31"/>
    <x v="30"/>
    <x v="33"/>
    <x v="31"/>
    <x v="32"/>
    <x v="13"/>
    <x v="0"/>
  </r>
  <r>
    <x v="0"/>
    <x v="1"/>
    <x v="1"/>
    <x v="16"/>
    <x v="16"/>
    <x v="16"/>
    <x v="13"/>
    <x v="32"/>
    <x v="13"/>
    <x v="34"/>
    <x v="32"/>
    <x v="33"/>
    <x v="33"/>
    <x v="0"/>
  </r>
  <r>
    <x v="0"/>
    <x v="1"/>
    <x v="1"/>
    <x v="21"/>
    <x v="21"/>
    <x v="21"/>
    <x v="14"/>
    <x v="33"/>
    <x v="14"/>
    <x v="35"/>
    <x v="33"/>
    <x v="34"/>
    <x v="34"/>
    <x v="0"/>
  </r>
  <r>
    <x v="0"/>
    <x v="1"/>
    <x v="1"/>
    <x v="14"/>
    <x v="14"/>
    <x v="14"/>
    <x v="14"/>
    <x v="33"/>
    <x v="14"/>
    <x v="36"/>
    <x v="34"/>
    <x v="32"/>
    <x v="13"/>
    <x v="0"/>
  </r>
  <r>
    <x v="0"/>
    <x v="1"/>
    <x v="1"/>
    <x v="22"/>
    <x v="22"/>
    <x v="22"/>
    <x v="16"/>
    <x v="34"/>
    <x v="17"/>
    <x v="37"/>
    <x v="35"/>
    <x v="35"/>
    <x v="35"/>
    <x v="0"/>
  </r>
  <r>
    <x v="0"/>
    <x v="1"/>
    <x v="1"/>
    <x v="23"/>
    <x v="23"/>
    <x v="23"/>
    <x v="17"/>
    <x v="35"/>
    <x v="31"/>
    <x v="32"/>
    <x v="30"/>
    <x v="36"/>
    <x v="36"/>
    <x v="0"/>
  </r>
  <r>
    <x v="0"/>
    <x v="1"/>
    <x v="1"/>
    <x v="17"/>
    <x v="17"/>
    <x v="17"/>
    <x v="19"/>
    <x v="36"/>
    <x v="32"/>
    <x v="38"/>
    <x v="36"/>
    <x v="37"/>
    <x v="37"/>
    <x v="0"/>
  </r>
  <r>
    <x v="0"/>
    <x v="2"/>
    <x v="2"/>
    <x v="0"/>
    <x v="0"/>
    <x v="0"/>
    <x v="0"/>
    <x v="37"/>
    <x v="33"/>
    <x v="39"/>
    <x v="37"/>
    <x v="38"/>
    <x v="38"/>
    <x v="0"/>
  </r>
  <r>
    <x v="0"/>
    <x v="2"/>
    <x v="2"/>
    <x v="1"/>
    <x v="1"/>
    <x v="1"/>
    <x v="1"/>
    <x v="38"/>
    <x v="34"/>
    <x v="40"/>
    <x v="38"/>
    <x v="39"/>
    <x v="39"/>
    <x v="0"/>
  </r>
  <r>
    <x v="0"/>
    <x v="2"/>
    <x v="2"/>
    <x v="2"/>
    <x v="2"/>
    <x v="2"/>
    <x v="2"/>
    <x v="39"/>
    <x v="35"/>
    <x v="41"/>
    <x v="39"/>
    <x v="30"/>
    <x v="40"/>
    <x v="0"/>
  </r>
  <r>
    <x v="0"/>
    <x v="2"/>
    <x v="2"/>
    <x v="3"/>
    <x v="3"/>
    <x v="3"/>
    <x v="3"/>
    <x v="40"/>
    <x v="36"/>
    <x v="42"/>
    <x v="40"/>
    <x v="40"/>
    <x v="41"/>
    <x v="0"/>
  </r>
  <r>
    <x v="0"/>
    <x v="2"/>
    <x v="2"/>
    <x v="4"/>
    <x v="4"/>
    <x v="4"/>
    <x v="4"/>
    <x v="41"/>
    <x v="37"/>
    <x v="43"/>
    <x v="41"/>
    <x v="41"/>
    <x v="42"/>
    <x v="1"/>
  </r>
  <r>
    <x v="0"/>
    <x v="2"/>
    <x v="2"/>
    <x v="10"/>
    <x v="10"/>
    <x v="10"/>
    <x v="5"/>
    <x v="42"/>
    <x v="38"/>
    <x v="44"/>
    <x v="42"/>
    <x v="42"/>
    <x v="43"/>
    <x v="0"/>
  </r>
  <r>
    <x v="0"/>
    <x v="2"/>
    <x v="2"/>
    <x v="7"/>
    <x v="7"/>
    <x v="7"/>
    <x v="18"/>
    <x v="43"/>
    <x v="39"/>
    <x v="28"/>
    <x v="43"/>
    <x v="43"/>
    <x v="44"/>
    <x v="0"/>
  </r>
  <r>
    <x v="0"/>
    <x v="2"/>
    <x v="2"/>
    <x v="9"/>
    <x v="9"/>
    <x v="9"/>
    <x v="6"/>
    <x v="44"/>
    <x v="40"/>
    <x v="45"/>
    <x v="44"/>
    <x v="44"/>
    <x v="45"/>
    <x v="0"/>
  </r>
  <r>
    <x v="0"/>
    <x v="2"/>
    <x v="2"/>
    <x v="8"/>
    <x v="8"/>
    <x v="8"/>
    <x v="7"/>
    <x v="45"/>
    <x v="41"/>
    <x v="46"/>
    <x v="45"/>
    <x v="43"/>
    <x v="44"/>
    <x v="0"/>
  </r>
  <r>
    <x v="0"/>
    <x v="2"/>
    <x v="2"/>
    <x v="6"/>
    <x v="6"/>
    <x v="6"/>
    <x v="8"/>
    <x v="46"/>
    <x v="42"/>
    <x v="47"/>
    <x v="46"/>
    <x v="40"/>
    <x v="41"/>
    <x v="0"/>
  </r>
  <r>
    <x v="0"/>
    <x v="2"/>
    <x v="2"/>
    <x v="11"/>
    <x v="11"/>
    <x v="11"/>
    <x v="9"/>
    <x v="47"/>
    <x v="7"/>
    <x v="48"/>
    <x v="47"/>
    <x v="45"/>
    <x v="46"/>
    <x v="0"/>
  </r>
  <r>
    <x v="0"/>
    <x v="2"/>
    <x v="2"/>
    <x v="17"/>
    <x v="17"/>
    <x v="17"/>
    <x v="9"/>
    <x v="47"/>
    <x v="7"/>
    <x v="49"/>
    <x v="48"/>
    <x v="46"/>
    <x v="6"/>
    <x v="0"/>
  </r>
  <r>
    <x v="0"/>
    <x v="2"/>
    <x v="2"/>
    <x v="5"/>
    <x v="5"/>
    <x v="5"/>
    <x v="11"/>
    <x v="48"/>
    <x v="43"/>
    <x v="50"/>
    <x v="14"/>
    <x v="47"/>
    <x v="47"/>
    <x v="0"/>
  </r>
  <r>
    <x v="0"/>
    <x v="2"/>
    <x v="2"/>
    <x v="16"/>
    <x v="16"/>
    <x v="16"/>
    <x v="12"/>
    <x v="49"/>
    <x v="44"/>
    <x v="51"/>
    <x v="49"/>
    <x v="40"/>
    <x v="41"/>
    <x v="0"/>
  </r>
  <r>
    <x v="0"/>
    <x v="2"/>
    <x v="2"/>
    <x v="13"/>
    <x v="13"/>
    <x v="13"/>
    <x v="13"/>
    <x v="50"/>
    <x v="45"/>
    <x v="52"/>
    <x v="50"/>
    <x v="48"/>
    <x v="48"/>
    <x v="0"/>
  </r>
  <r>
    <x v="0"/>
    <x v="2"/>
    <x v="2"/>
    <x v="20"/>
    <x v="20"/>
    <x v="20"/>
    <x v="14"/>
    <x v="51"/>
    <x v="46"/>
    <x v="53"/>
    <x v="51"/>
    <x v="7"/>
    <x v="11"/>
    <x v="0"/>
  </r>
  <r>
    <x v="0"/>
    <x v="2"/>
    <x v="2"/>
    <x v="19"/>
    <x v="19"/>
    <x v="19"/>
    <x v="15"/>
    <x v="52"/>
    <x v="47"/>
    <x v="54"/>
    <x v="52"/>
    <x v="49"/>
    <x v="49"/>
    <x v="0"/>
  </r>
  <r>
    <x v="0"/>
    <x v="2"/>
    <x v="2"/>
    <x v="24"/>
    <x v="24"/>
    <x v="24"/>
    <x v="16"/>
    <x v="53"/>
    <x v="48"/>
    <x v="55"/>
    <x v="53"/>
    <x v="21"/>
    <x v="50"/>
    <x v="0"/>
  </r>
  <r>
    <x v="0"/>
    <x v="2"/>
    <x v="2"/>
    <x v="25"/>
    <x v="25"/>
    <x v="25"/>
    <x v="16"/>
    <x v="53"/>
    <x v="48"/>
    <x v="56"/>
    <x v="54"/>
    <x v="49"/>
    <x v="49"/>
    <x v="0"/>
  </r>
  <r>
    <x v="0"/>
    <x v="2"/>
    <x v="2"/>
    <x v="21"/>
    <x v="21"/>
    <x v="21"/>
    <x v="16"/>
    <x v="53"/>
    <x v="48"/>
    <x v="57"/>
    <x v="55"/>
    <x v="50"/>
    <x v="51"/>
    <x v="0"/>
  </r>
  <r>
    <x v="0"/>
    <x v="3"/>
    <x v="3"/>
    <x v="0"/>
    <x v="0"/>
    <x v="0"/>
    <x v="0"/>
    <x v="41"/>
    <x v="49"/>
    <x v="58"/>
    <x v="56"/>
    <x v="33"/>
    <x v="52"/>
    <x v="0"/>
  </r>
  <r>
    <x v="0"/>
    <x v="3"/>
    <x v="3"/>
    <x v="1"/>
    <x v="1"/>
    <x v="1"/>
    <x v="1"/>
    <x v="54"/>
    <x v="50"/>
    <x v="59"/>
    <x v="57"/>
    <x v="51"/>
    <x v="53"/>
    <x v="0"/>
  </r>
  <r>
    <x v="0"/>
    <x v="3"/>
    <x v="3"/>
    <x v="2"/>
    <x v="2"/>
    <x v="2"/>
    <x v="2"/>
    <x v="55"/>
    <x v="51"/>
    <x v="38"/>
    <x v="58"/>
    <x v="51"/>
    <x v="53"/>
    <x v="0"/>
  </r>
  <r>
    <x v="0"/>
    <x v="3"/>
    <x v="3"/>
    <x v="3"/>
    <x v="3"/>
    <x v="3"/>
    <x v="3"/>
    <x v="56"/>
    <x v="52"/>
    <x v="58"/>
    <x v="56"/>
    <x v="42"/>
    <x v="54"/>
    <x v="0"/>
  </r>
  <r>
    <x v="0"/>
    <x v="3"/>
    <x v="3"/>
    <x v="15"/>
    <x v="15"/>
    <x v="15"/>
    <x v="4"/>
    <x v="57"/>
    <x v="53"/>
    <x v="60"/>
    <x v="59"/>
    <x v="52"/>
    <x v="55"/>
    <x v="0"/>
  </r>
  <r>
    <x v="0"/>
    <x v="3"/>
    <x v="3"/>
    <x v="26"/>
    <x v="26"/>
    <x v="26"/>
    <x v="5"/>
    <x v="58"/>
    <x v="54"/>
    <x v="28"/>
    <x v="60"/>
    <x v="42"/>
    <x v="54"/>
    <x v="0"/>
  </r>
  <r>
    <x v="0"/>
    <x v="3"/>
    <x v="3"/>
    <x v="6"/>
    <x v="6"/>
    <x v="6"/>
    <x v="18"/>
    <x v="59"/>
    <x v="55"/>
    <x v="61"/>
    <x v="61"/>
    <x v="48"/>
    <x v="56"/>
    <x v="0"/>
  </r>
  <r>
    <x v="0"/>
    <x v="3"/>
    <x v="3"/>
    <x v="12"/>
    <x v="12"/>
    <x v="12"/>
    <x v="6"/>
    <x v="60"/>
    <x v="56"/>
    <x v="62"/>
    <x v="62"/>
    <x v="24"/>
    <x v="57"/>
    <x v="0"/>
  </r>
  <r>
    <x v="0"/>
    <x v="3"/>
    <x v="3"/>
    <x v="5"/>
    <x v="5"/>
    <x v="5"/>
    <x v="6"/>
    <x v="60"/>
    <x v="56"/>
    <x v="63"/>
    <x v="44"/>
    <x v="53"/>
    <x v="58"/>
    <x v="0"/>
  </r>
  <r>
    <x v="0"/>
    <x v="3"/>
    <x v="3"/>
    <x v="9"/>
    <x v="9"/>
    <x v="9"/>
    <x v="8"/>
    <x v="61"/>
    <x v="57"/>
    <x v="64"/>
    <x v="13"/>
    <x v="47"/>
    <x v="59"/>
    <x v="0"/>
  </r>
  <r>
    <x v="0"/>
    <x v="3"/>
    <x v="3"/>
    <x v="27"/>
    <x v="27"/>
    <x v="27"/>
    <x v="8"/>
    <x v="61"/>
    <x v="57"/>
    <x v="31"/>
    <x v="63"/>
    <x v="40"/>
    <x v="60"/>
    <x v="0"/>
  </r>
  <r>
    <x v="0"/>
    <x v="3"/>
    <x v="3"/>
    <x v="7"/>
    <x v="7"/>
    <x v="7"/>
    <x v="8"/>
    <x v="61"/>
    <x v="57"/>
    <x v="47"/>
    <x v="64"/>
    <x v="39"/>
    <x v="39"/>
    <x v="0"/>
  </r>
  <r>
    <x v="0"/>
    <x v="3"/>
    <x v="3"/>
    <x v="23"/>
    <x v="23"/>
    <x v="23"/>
    <x v="11"/>
    <x v="51"/>
    <x v="43"/>
    <x v="65"/>
    <x v="65"/>
    <x v="54"/>
    <x v="61"/>
    <x v="0"/>
  </r>
  <r>
    <x v="0"/>
    <x v="3"/>
    <x v="3"/>
    <x v="22"/>
    <x v="22"/>
    <x v="22"/>
    <x v="12"/>
    <x v="62"/>
    <x v="58"/>
    <x v="66"/>
    <x v="66"/>
    <x v="47"/>
    <x v="59"/>
    <x v="0"/>
  </r>
  <r>
    <x v="0"/>
    <x v="3"/>
    <x v="3"/>
    <x v="4"/>
    <x v="4"/>
    <x v="4"/>
    <x v="12"/>
    <x v="62"/>
    <x v="58"/>
    <x v="49"/>
    <x v="67"/>
    <x v="51"/>
    <x v="53"/>
    <x v="0"/>
  </r>
  <r>
    <x v="0"/>
    <x v="3"/>
    <x v="3"/>
    <x v="18"/>
    <x v="18"/>
    <x v="18"/>
    <x v="14"/>
    <x v="63"/>
    <x v="59"/>
    <x v="57"/>
    <x v="68"/>
    <x v="42"/>
    <x v="54"/>
    <x v="0"/>
  </r>
  <r>
    <x v="0"/>
    <x v="3"/>
    <x v="3"/>
    <x v="11"/>
    <x v="11"/>
    <x v="11"/>
    <x v="14"/>
    <x v="63"/>
    <x v="59"/>
    <x v="67"/>
    <x v="69"/>
    <x v="44"/>
    <x v="49"/>
    <x v="0"/>
  </r>
  <r>
    <x v="0"/>
    <x v="3"/>
    <x v="3"/>
    <x v="8"/>
    <x v="8"/>
    <x v="8"/>
    <x v="14"/>
    <x v="63"/>
    <x v="59"/>
    <x v="64"/>
    <x v="13"/>
    <x v="40"/>
    <x v="60"/>
    <x v="1"/>
  </r>
  <r>
    <x v="0"/>
    <x v="3"/>
    <x v="3"/>
    <x v="14"/>
    <x v="14"/>
    <x v="14"/>
    <x v="17"/>
    <x v="64"/>
    <x v="60"/>
    <x v="64"/>
    <x v="13"/>
    <x v="40"/>
    <x v="60"/>
    <x v="0"/>
  </r>
  <r>
    <x v="0"/>
    <x v="3"/>
    <x v="3"/>
    <x v="28"/>
    <x v="28"/>
    <x v="28"/>
    <x v="19"/>
    <x v="65"/>
    <x v="11"/>
    <x v="66"/>
    <x v="66"/>
    <x v="53"/>
    <x v="58"/>
    <x v="0"/>
  </r>
  <r>
    <x v="0"/>
    <x v="4"/>
    <x v="4"/>
    <x v="0"/>
    <x v="0"/>
    <x v="0"/>
    <x v="0"/>
    <x v="66"/>
    <x v="61"/>
    <x v="68"/>
    <x v="70"/>
    <x v="38"/>
    <x v="62"/>
    <x v="0"/>
  </r>
  <r>
    <x v="0"/>
    <x v="4"/>
    <x v="4"/>
    <x v="1"/>
    <x v="1"/>
    <x v="1"/>
    <x v="1"/>
    <x v="67"/>
    <x v="62"/>
    <x v="69"/>
    <x v="71"/>
    <x v="48"/>
    <x v="21"/>
    <x v="0"/>
  </r>
  <r>
    <x v="0"/>
    <x v="4"/>
    <x v="4"/>
    <x v="3"/>
    <x v="3"/>
    <x v="3"/>
    <x v="2"/>
    <x v="68"/>
    <x v="63"/>
    <x v="70"/>
    <x v="72"/>
    <x v="54"/>
    <x v="63"/>
    <x v="0"/>
  </r>
  <r>
    <x v="0"/>
    <x v="4"/>
    <x v="4"/>
    <x v="2"/>
    <x v="2"/>
    <x v="2"/>
    <x v="3"/>
    <x v="69"/>
    <x v="64"/>
    <x v="71"/>
    <x v="73"/>
    <x v="50"/>
    <x v="64"/>
    <x v="0"/>
  </r>
  <r>
    <x v="0"/>
    <x v="4"/>
    <x v="4"/>
    <x v="4"/>
    <x v="4"/>
    <x v="4"/>
    <x v="4"/>
    <x v="70"/>
    <x v="65"/>
    <x v="72"/>
    <x v="74"/>
    <x v="53"/>
    <x v="65"/>
    <x v="1"/>
  </r>
  <r>
    <x v="0"/>
    <x v="4"/>
    <x v="4"/>
    <x v="11"/>
    <x v="11"/>
    <x v="11"/>
    <x v="5"/>
    <x v="57"/>
    <x v="66"/>
    <x v="50"/>
    <x v="75"/>
    <x v="37"/>
    <x v="28"/>
    <x v="0"/>
  </r>
  <r>
    <x v="0"/>
    <x v="4"/>
    <x v="4"/>
    <x v="6"/>
    <x v="6"/>
    <x v="6"/>
    <x v="18"/>
    <x v="71"/>
    <x v="67"/>
    <x v="61"/>
    <x v="76"/>
    <x v="55"/>
    <x v="66"/>
    <x v="0"/>
  </r>
  <r>
    <x v="0"/>
    <x v="4"/>
    <x v="4"/>
    <x v="7"/>
    <x v="7"/>
    <x v="7"/>
    <x v="6"/>
    <x v="72"/>
    <x v="26"/>
    <x v="73"/>
    <x v="77"/>
    <x v="40"/>
    <x v="67"/>
    <x v="0"/>
  </r>
  <r>
    <x v="0"/>
    <x v="4"/>
    <x v="4"/>
    <x v="19"/>
    <x v="19"/>
    <x v="19"/>
    <x v="7"/>
    <x v="73"/>
    <x v="27"/>
    <x v="74"/>
    <x v="78"/>
    <x v="56"/>
    <x v="68"/>
    <x v="0"/>
  </r>
  <r>
    <x v="0"/>
    <x v="4"/>
    <x v="4"/>
    <x v="13"/>
    <x v="13"/>
    <x v="13"/>
    <x v="8"/>
    <x v="74"/>
    <x v="68"/>
    <x v="75"/>
    <x v="79"/>
    <x v="41"/>
    <x v="69"/>
    <x v="0"/>
  </r>
  <r>
    <x v="0"/>
    <x v="4"/>
    <x v="4"/>
    <x v="5"/>
    <x v="5"/>
    <x v="5"/>
    <x v="9"/>
    <x v="75"/>
    <x v="69"/>
    <x v="52"/>
    <x v="80"/>
    <x v="32"/>
    <x v="27"/>
    <x v="0"/>
  </r>
  <r>
    <x v="0"/>
    <x v="4"/>
    <x v="4"/>
    <x v="20"/>
    <x v="20"/>
    <x v="20"/>
    <x v="10"/>
    <x v="60"/>
    <x v="60"/>
    <x v="56"/>
    <x v="81"/>
    <x v="57"/>
    <x v="70"/>
    <x v="0"/>
  </r>
  <r>
    <x v="0"/>
    <x v="4"/>
    <x v="4"/>
    <x v="25"/>
    <x v="25"/>
    <x v="25"/>
    <x v="11"/>
    <x v="76"/>
    <x v="70"/>
    <x v="53"/>
    <x v="82"/>
    <x v="33"/>
    <x v="71"/>
    <x v="0"/>
  </r>
  <r>
    <x v="0"/>
    <x v="4"/>
    <x v="4"/>
    <x v="8"/>
    <x v="8"/>
    <x v="8"/>
    <x v="11"/>
    <x v="76"/>
    <x v="70"/>
    <x v="31"/>
    <x v="83"/>
    <x v="53"/>
    <x v="65"/>
    <x v="0"/>
  </r>
  <r>
    <x v="0"/>
    <x v="4"/>
    <x v="4"/>
    <x v="29"/>
    <x v="29"/>
    <x v="29"/>
    <x v="13"/>
    <x v="46"/>
    <x v="71"/>
    <x v="76"/>
    <x v="12"/>
    <x v="1"/>
    <x v="72"/>
    <x v="0"/>
  </r>
  <r>
    <x v="0"/>
    <x v="4"/>
    <x v="4"/>
    <x v="18"/>
    <x v="18"/>
    <x v="18"/>
    <x v="13"/>
    <x v="46"/>
    <x v="71"/>
    <x v="77"/>
    <x v="84"/>
    <x v="58"/>
    <x v="73"/>
    <x v="0"/>
  </r>
  <r>
    <x v="0"/>
    <x v="4"/>
    <x v="4"/>
    <x v="9"/>
    <x v="9"/>
    <x v="9"/>
    <x v="13"/>
    <x v="46"/>
    <x v="71"/>
    <x v="50"/>
    <x v="75"/>
    <x v="44"/>
    <x v="74"/>
    <x v="0"/>
  </r>
  <r>
    <x v="0"/>
    <x v="4"/>
    <x v="4"/>
    <x v="16"/>
    <x v="16"/>
    <x v="16"/>
    <x v="13"/>
    <x v="46"/>
    <x v="71"/>
    <x v="78"/>
    <x v="85"/>
    <x v="50"/>
    <x v="64"/>
    <x v="0"/>
  </r>
  <r>
    <x v="0"/>
    <x v="4"/>
    <x v="4"/>
    <x v="30"/>
    <x v="30"/>
    <x v="30"/>
    <x v="13"/>
    <x v="46"/>
    <x v="71"/>
    <x v="79"/>
    <x v="53"/>
    <x v="23"/>
    <x v="75"/>
    <x v="3"/>
  </r>
  <r>
    <x v="0"/>
    <x v="4"/>
    <x v="4"/>
    <x v="10"/>
    <x v="10"/>
    <x v="10"/>
    <x v="19"/>
    <x v="48"/>
    <x v="72"/>
    <x v="49"/>
    <x v="86"/>
    <x v="50"/>
    <x v="64"/>
    <x v="0"/>
  </r>
  <r>
    <x v="0"/>
    <x v="5"/>
    <x v="5"/>
    <x v="2"/>
    <x v="2"/>
    <x v="2"/>
    <x v="0"/>
    <x v="77"/>
    <x v="73"/>
    <x v="80"/>
    <x v="87"/>
    <x v="51"/>
    <x v="76"/>
    <x v="0"/>
  </r>
  <r>
    <x v="0"/>
    <x v="5"/>
    <x v="5"/>
    <x v="1"/>
    <x v="1"/>
    <x v="1"/>
    <x v="1"/>
    <x v="78"/>
    <x v="74"/>
    <x v="81"/>
    <x v="88"/>
    <x v="43"/>
    <x v="67"/>
    <x v="0"/>
  </r>
  <r>
    <x v="0"/>
    <x v="5"/>
    <x v="5"/>
    <x v="3"/>
    <x v="3"/>
    <x v="3"/>
    <x v="2"/>
    <x v="59"/>
    <x v="75"/>
    <x v="61"/>
    <x v="89"/>
    <x v="41"/>
    <x v="77"/>
    <x v="1"/>
  </r>
  <r>
    <x v="0"/>
    <x v="5"/>
    <x v="5"/>
    <x v="7"/>
    <x v="7"/>
    <x v="7"/>
    <x v="3"/>
    <x v="45"/>
    <x v="76"/>
    <x v="46"/>
    <x v="90"/>
    <x v="43"/>
    <x v="67"/>
    <x v="0"/>
  </r>
  <r>
    <x v="0"/>
    <x v="5"/>
    <x v="5"/>
    <x v="0"/>
    <x v="0"/>
    <x v="0"/>
    <x v="4"/>
    <x v="79"/>
    <x v="77"/>
    <x v="78"/>
    <x v="91"/>
    <x v="21"/>
    <x v="78"/>
    <x v="0"/>
  </r>
  <r>
    <x v="0"/>
    <x v="5"/>
    <x v="5"/>
    <x v="6"/>
    <x v="6"/>
    <x v="6"/>
    <x v="5"/>
    <x v="60"/>
    <x v="78"/>
    <x v="82"/>
    <x v="92"/>
    <x v="41"/>
    <x v="77"/>
    <x v="0"/>
  </r>
  <r>
    <x v="0"/>
    <x v="5"/>
    <x v="5"/>
    <x v="31"/>
    <x v="31"/>
    <x v="31"/>
    <x v="18"/>
    <x v="80"/>
    <x v="79"/>
    <x v="82"/>
    <x v="92"/>
    <x v="43"/>
    <x v="67"/>
    <x v="0"/>
  </r>
  <r>
    <x v="0"/>
    <x v="5"/>
    <x v="5"/>
    <x v="5"/>
    <x v="5"/>
    <x v="5"/>
    <x v="6"/>
    <x v="81"/>
    <x v="80"/>
    <x v="78"/>
    <x v="91"/>
    <x v="40"/>
    <x v="2"/>
    <x v="0"/>
  </r>
  <r>
    <x v="0"/>
    <x v="5"/>
    <x v="5"/>
    <x v="4"/>
    <x v="4"/>
    <x v="4"/>
    <x v="7"/>
    <x v="51"/>
    <x v="81"/>
    <x v="51"/>
    <x v="93"/>
    <x v="39"/>
    <x v="39"/>
    <x v="0"/>
  </r>
  <r>
    <x v="0"/>
    <x v="5"/>
    <x v="5"/>
    <x v="27"/>
    <x v="27"/>
    <x v="27"/>
    <x v="8"/>
    <x v="64"/>
    <x v="82"/>
    <x v="65"/>
    <x v="94"/>
    <x v="48"/>
    <x v="58"/>
    <x v="0"/>
  </r>
  <r>
    <x v="0"/>
    <x v="5"/>
    <x v="5"/>
    <x v="14"/>
    <x v="14"/>
    <x v="14"/>
    <x v="8"/>
    <x v="64"/>
    <x v="82"/>
    <x v="83"/>
    <x v="95"/>
    <x v="43"/>
    <x v="67"/>
    <x v="0"/>
  </r>
  <r>
    <x v="0"/>
    <x v="5"/>
    <x v="5"/>
    <x v="9"/>
    <x v="9"/>
    <x v="9"/>
    <x v="10"/>
    <x v="52"/>
    <x v="8"/>
    <x v="77"/>
    <x v="96"/>
    <x v="53"/>
    <x v="79"/>
    <x v="1"/>
  </r>
  <r>
    <x v="0"/>
    <x v="5"/>
    <x v="5"/>
    <x v="8"/>
    <x v="8"/>
    <x v="8"/>
    <x v="10"/>
    <x v="52"/>
    <x v="8"/>
    <x v="84"/>
    <x v="97"/>
    <x v="43"/>
    <x v="67"/>
    <x v="0"/>
  </r>
  <r>
    <x v="0"/>
    <x v="5"/>
    <x v="5"/>
    <x v="12"/>
    <x v="12"/>
    <x v="12"/>
    <x v="12"/>
    <x v="53"/>
    <x v="44"/>
    <x v="85"/>
    <x v="98"/>
    <x v="58"/>
    <x v="80"/>
    <x v="0"/>
  </r>
  <r>
    <x v="0"/>
    <x v="5"/>
    <x v="5"/>
    <x v="11"/>
    <x v="11"/>
    <x v="11"/>
    <x v="13"/>
    <x v="82"/>
    <x v="9"/>
    <x v="86"/>
    <x v="99"/>
    <x v="21"/>
    <x v="78"/>
    <x v="0"/>
  </r>
  <r>
    <x v="0"/>
    <x v="5"/>
    <x v="5"/>
    <x v="23"/>
    <x v="23"/>
    <x v="23"/>
    <x v="14"/>
    <x v="83"/>
    <x v="83"/>
    <x v="77"/>
    <x v="96"/>
    <x v="41"/>
    <x v="77"/>
    <x v="0"/>
  </r>
  <r>
    <x v="0"/>
    <x v="5"/>
    <x v="5"/>
    <x v="10"/>
    <x v="10"/>
    <x v="10"/>
    <x v="14"/>
    <x v="83"/>
    <x v="83"/>
    <x v="66"/>
    <x v="100"/>
    <x v="43"/>
    <x v="67"/>
    <x v="0"/>
  </r>
  <r>
    <x v="0"/>
    <x v="5"/>
    <x v="5"/>
    <x v="13"/>
    <x v="13"/>
    <x v="13"/>
    <x v="14"/>
    <x v="83"/>
    <x v="83"/>
    <x v="66"/>
    <x v="100"/>
    <x v="43"/>
    <x v="67"/>
    <x v="0"/>
  </r>
  <r>
    <x v="0"/>
    <x v="5"/>
    <x v="5"/>
    <x v="18"/>
    <x v="18"/>
    <x v="18"/>
    <x v="17"/>
    <x v="84"/>
    <x v="70"/>
    <x v="55"/>
    <x v="101"/>
    <x v="47"/>
    <x v="81"/>
    <x v="0"/>
  </r>
  <r>
    <x v="0"/>
    <x v="5"/>
    <x v="5"/>
    <x v="19"/>
    <x v="19"/>
    <x v="19"/>
    <x v="19"/>
    <x v="85"/>
    <x v="31"/>
    <x v="85"/>
    <x v="98"/>
    <x v="59"/>
    <x v="82"/>
    <x v="0"/>
  </r>
  <r>
    <x v="0"/>
    <x v="6"/>
    <x v="6"/>
    <x v="0"/>
    <x v="0"/>
    <x v="0"/>
    <x v="0"/>
    <x v="54"/>
    <x v="84"/>
    <x v="60"/>
    <x v="102"/>
    <x v="60"/>
    <x v="83"/>
    <x v="0"/>
  </r>
  <r>
    <x v="0"/>
    <x v="6"/>
    <x v="6"/>
    <x v="2"/>
    <x v="2"/>
    <x v="2"/>
    <x v="1"/>
    <x v="42"/>
    <x v="85"/>
    <x v="87"/>
    <x v="103"/>
    <x v="41"/>
    <x v="17"/>
    <x v="0"/>
  </r>
  <r>
    <x v="0"/>
    <x v="6"/>
    <x v="6"/>
    <x v="1"/>
    <x v="1"/>
    <x v="1"/>
    <x v="2"/>
    <x v="86"/>
    <x v="86"/>
    <x v="44"/>
    <x v="104"/>
    <x v="43"/>
    <x v="84"/>
    <x v="0"/>
  </r>
  <r>
    <x v="0"/>
    <x v="6"/>
    <x v="6"/>
    <x v="3"/>
    <x v="3"/>
    <x v="3"/>
    <x v="3"/>
    <x v="73"/>
    <x v="87"/>
    <x v="60"/>
    <x v="102"/>
    <x v="41"/>
    <x v="17"/>
    <x v="0"/>
  </r>
  <r>
    <x v="0"/>
    <x v="6"/>
    <x v="6"/>
    <x v="4"/>
    <x v="4"/>
    <x v="4"/>
    <x v="4"/>
    <x v="45"/>
    <x v="88"/>
    <x v="88"/>
    <x v="105"/>
    <x v="51"/>
    <x v="85"/>
    <x v="0"/>
  </r>
  <r>
    <x v="0"/>
    <x v="6"/>
    <x v="6"/>
    <x v="8"/>
    <x v="8"/>
    <x v="8"/>
    <x v="4"/>
    <x v="45"/>
    <x v="88"/>
    <x v="89"/>
    <x v="106"/>
    <x v="40"/>
    <x v="86"/>
    <x v="0"/>
  </r>
  <r>
    <x v="0"/>
    <x v="6"/>
    <x v="6"/>
    <x v="5"/>
    <x v="5"/>
    <x v="5"/>
    <x v="18"/>
    <x v="76"/>
    <x v="89"/>
    <x v="51"/>
    <x v="7"/>
    <x v="50"/>
    <x v="87"/>
    <x v="0"/>
  </r>
  <r>
    <x v="0"/>
    <x v="6"/>
    <x v="6"/>
    <x v="7"/>
    <x v="7"/>
    <x v="7"/>
    <x v="6"/>
    <x v="61"/>
    <x v="90"/>
    <x v="90"/>
    <x v="107"/>
    <x v="43"/>
    <x v="84"/>
    <x v="0"/>
  </r>
  <r>
    <x v="0"/>
    <x v="6"/>
    <x v="6"/>
    <x v="12"/>
    <x v="12"/>
    <x v="12"/>
    <x v="7"/>
    <x v="87"/>
    <x v="91"/>
    <x v="76"/>
    <x v="54"/>
    <x v="23"/>
    <x v="88"/>
    <x v="0"/>
  </r>
  <r>
    <x v="0"/>
    <x v="6"/>
    <x v="6"/>
    <x v="31"/>
    <x v="31"/>
    <x v="31"/>
    <x v="8"/>
    <x v="64"/>
    <x v="92"/>
    <x v="50"/>
    <x v="79"/>
    <x v="51"/>
    <x v="85"/>
    <x v="0"/>
  </r>
  <r>
    <x v="0"/>
    <x v="6"/>
    <x v="6"/>
    <x v="16"/>
    <x v="16"/>
    <x v="16"/>
    <x v="9"/>
    <x v="52"/>
    <x v="68"/>
    <x v="64"/>
    <x v="108"/>
    <x v="39"/>
    <x v="39"/>
    <x v="0"/>
  </r>
  <r>
    <x v="0"/>
    <x v="6"/>
    <x v="6"/>
    <x v="23"/>
    <x v="23"/>
    <x v="23"/>
    <x v="10"/>
    <x v="82"/>
    <x v="93"/>
    <x v="74"/>
    <x v="109"/>
    <x v="43"/>
    <x v="84"/>
    <x v="0"/>
  </r>
  <r>
    <x v="0"/>
    <x v="6"/>
    <x v="6"/>
    <x v="11"/>
    <x v="11"/>
    <x v="11"/>
    <x v="11"/>
    <x v="88"/>
    <x v="94"/>
    <x v="62"/>
    <x v="51"/>
    <x v="55"/>
    <x v="89"/>
    <x v="1"/>
  </r>
  <r>
    <x v="0"/>
    <x v="6"/>
    <x v="6"/>
    <x v="29"/>
    <x v="29"/>
    <x v="29"/>
    <x v="12"/>
    <x v="84"/>
    <x v="95"/>
    <x v="91"/>
    <x v="110"/>
    <x v="21"/>
    <x v="90"/>
    <x v="0"/>
  </r>
  <r>
    <x v="0"/>
    <x v="6"/>
    <x v="6"/>
    <x v="9"/>
    <x v="9"/>
    <x v="9"/>
    <x v="12"/>
    <x v="84"/>
    <x v="95"/>
    <x v="92"/>
    <x v="111"/>
    <x v="48"/>
    <x v="37"/>
    <x v="0"/>
  </r>
  <r>
    <x v="0"/>
    <x v="6"/>
    <x v="6"/>
    <x v="30"/>
    <x v="30"/>
    <x v="30"/>
    <x v="12"/>
    <x v="84"/>
    <x v="95"/>
    <x v="93"/>
    <x v="112"/>
    <x v="52"/>
    <x v="91"/>
    <x v="0"/>
  </r>
  <r>
    <x v="0"/>
    <x v="6"/>
    <x v="6"/>
    <x v="10"/>
    <x v="10"/>
    <x v="10"/>
    <x v="15"/>
    <x v="89"/>
    <x v="96"/>
    <x v="77"/>
    <x v="113"/>
    <x v="43"/>
    <x v="84"/>
    <x v="0"/>
  </r>
  <r>
    <x v="0"/>
    <x v="6"/>
    <x v="6"/>
    <x v="19"/>
    <x v="19"/>
    <x v="19"/>
    <x v="15"/>
    <x v="89"/>
    <x v="96"/>
    <x v="56"/>
    <x v="114"/>
    <x v="42"/>
    <x v="92"/>
    <x v="0"/>
  </r>
  <r>
    <x v="0"/>
    <x v="6"/>
    <x v="6"/>
    <x v="27"/>
    <x v="27"/>
    <x v="27"/>
    <x v="15"/>
    <x v="89"/>
    <x v="96"/>
    <x v="67"/>
    <x v="15"/>
    <x v="40"/>
    <x v="86"/>
    <x v="0"/>
  </r>
  <r>
    <x v="0"/>
    <x v="6"/>
    <x v="6"/>
    <x v="6"/>
    <x v="6"/>
    <x v="6"/>
    <x v="15"/>
    <x v="89"/>
    <x v="96"/>
    <x v="67"/>
    <x v="15"/>
    <x v="40"/>
    <x v="86"/>
    <x v="0"/>
  </r>
  <r>
    <x v="0"/>
    <x v="7"/>
    <x v="7"/>
    <x v="1"/>
    <x v="1"/>
    <x v="1"/>
    <x v="0"/>
    <x v="90"/>
    <x v="97"/>
    <x v="94"/>
    <x v="115"/>
    <x v="40"/>
    <x v="93"/>
    <x v="0"/>
  </r>
  <r>
    <x v="0"/>
    <x v="7"/>
    <x v="7"/>
    <x v="2"/>
    <x v="2"/>
    <x v="2"/>
    <x v="1"/>
    <x v="91"/>
    <x v="98"/>
    <x v="95"/>
    <x v="116"/>
    <x v="53"/>
    <x v="94"/>
    <x v="0"/>
  </r>
  <r>
    <x v="0"/>
    <x v="7"/>
    <x v="7"/>
    <x v="0"/>
    <x v="0"/>
    <x v="0"/>
    <x v="2"/>
    <x v="92"/>
    <x v="99"/>
    <x v="59"/>
    <x v="117"/>
    <x v="61"/>
    <x v="95"/>
    <x v="0"/>
  </r>
  <r>
    <x v="0"/>
    <x v="7"/>
    <x v="7"/>
    <x v="3"/>
    <x v="3"/>
    <x v="3"/>
    <x v="3"/>
    <x v="93"/>
    <x v="100"/>
    <x v="96"/>
    <x v="118"/>
    <x v="48"/>
    <x v="96"/>
    <x v="0"/>
  </r>
  <r>
    <x v="0"/>
    <x v="7"/>
    <x v="7"/>
    <x v="4"/>
    <x v="4"/>
    <x v="4"/>
    <x v="4"/>
    <x v="94"/>
    <x v="101"/>
    <x v="97"/>
    <x v="119"/>
    <x v="55"/>
    <x v="97"/>
    <x v="0"/>
  </r>
  <r>
    <x v="0"/>
    <x v="7"/>
    <x v="7"/>
    <x v="10"/>
    <x v="10"/>
    <x v="10"/>
    <x v="5"/>
    <x v="41"/>
    <x v="102"/>
    <x v="98"/>
    <x v="120"/>
    <x v="7"/>
    <x v="98"/>
    <x v="0"/>
  </r>
  <r>
    <x v="0"/>
    <x v="7"/>
    <x v="7"/>
    <x v="8"/>
    <x v="8"/>
    <x v="8"/>
    <x v="18"/>
    <x v="95"/>
    <x v="103"/>
    <x v="99"/>
    <x v="121"/>
    <x v="54"/>
    <x v="99"/>
    <x v="0"/>
  </r>
  <r>
    <x v="0"/>
    <x v="7"/>
    <x v="7"/>
    <x v="5"/>
    <x v="5"/>
    <x v="5"/>
    <x v="6"/>
    <x v="96"/>
    <x v="90"/>
    <x v="100"/>
    <x v="122"/>
    <x v="32"/>
    <x v="100"/>
    <x v="0"/>
  </r>
  <r>
    <x v="0"/>
    <x v="7"/>
    <x v="7"/>
    <x v="7"/>
    <x v="7"/>
    <x v="7"/>
    <x v="7"/>
    <x v="97"/>
    <x v="104"/>
    <x v="87"/>
    <x v="123"/>
    <x v="43"/>
    <x v="101"/>
    <x v="0"/>
  </r>
  <r>
    <x v="0"/>
    <x v="7"/>
    <x v="7"/>
    <x v="6"/>
    <x v="6"/>
    <x v="6"/>
    <x v="8"/>
    <x v="98"/>
    <x v="105"/>
    <x v="101"/>
    <x v="124"/>
    <x v="48"/>
    <x v="96"/>
    <x v="0"/>
  </r>
  <r>
    <x v="0"/>
    <x v="7"/>
    <x v="7"/>
    <x v="20"/>
    <x v="20"/>
    <x v="20"/>
    <x v="9"/>
    <x v="73"/>
    <x v="106"/>
    <x v="76"/>
    <x v="125"/>
    <x v="62"/>
    <x v="102"/>
    <x v="0"/>
  </r>
  <r>
    <x v="0"/>
    <x v="7"/>
    <x v="7"/>
    <x v="13"/>
    <x v="13"/>
    <x v="13"/>
    <x v="10"/>
    <x v="59"/>
    <x v="107"/>
    <x v="88"/>
    <x v="126"/>
    <x v="46"/>
    <x v="103"/>
    <x v="0"/>
  </r>
  <r>
    <x v="0"/>
    <x v="7"/>
    <x v="7"/>
    <x v="9"/>
    <x v="9"/>
    <x v="9"/>
    <x v="11"/>
    <x v="43"/>
    <x v="108"/>
    <x v="45"/>
    <x v="10"/>
    <x v="52"/>
    <x v="104"/>
    <x v="0"/>
  </r>
  <r>
    <x v="0"/>
    <x v="7"/>
    <x v="7"/>
    <x v="16"/>
    <x v="16"/>
    <x v="16"/>
    <x v="12"/>
    <x v="74"/>
    <x v="109"/>
    <x v="102"/>
    <x v="127"/>
    <x v="55"/>
    <x v="97"/>
    <x v="0"/>
  </r>
  <r>
    <x v="0"/>
    <x v="7"/>
    <x v="7"/>
    <x v="17"/>
    <x v="17"/>
    <x v="17"/>
    <x v="13"/>
    <x v="60"/>
    <x v="30"/>
    <x v="103"/>
    <x v="100"/>
    <x v="30"/>
    <x v="105"/>
    <x v="0"/>
  </r>
  <r>
    <x v="0"/>
    <x v="7"/>
    <x v="7"/>
    <x v="18"/>
    <x v="18"/>
    <x v="18"/>
    <x v="14"/>
    <x v="99"/>
    <x v="83"/>
    <x v="65"/>
    <x v="128"/>
    <x v="63"/>
    <x v="106"/>
    <x v="0"/>
  </r>
  <r>
    <x v="0"/>
    <x v="7"/>
    <x v="7"/>
    <x v="21"/>
    <x v="21"/>
    <x v="21"/>
    <x v="15"/>
    <x v="100"/>
    <x v="11"/>
    <x v="103"/>
    <x v="100"/>
    <x v="41"/>
    <x v="107"/>
    <x v="0"/>
  </r>
  <r>
    <x v="0"/>
    <x v="7"/>
    <x v="7"/>
    <x v="14"/>
    <x v="14"/>
    <x v="14"/>
    <x v="15"/>
    <x v="100"/>
    <x v="11"/>
    <x v="82"/>
    <x v="129"/>
    <x v="51"/>
    <x v="108"/>
    <x v="0"/>
  </r>
  <r>
    <x v="0"/>
    <x v="7"/>
    <x v="7"/>
    <x v="11"/>
    <x v="11"/>
    <x v="11"/>
    <x v="17"/>
    <x v="101"/>
    <x v="110"/>
    <x v="104"/>
    <x v="130"/>
    <x v="64"/>
    <x v="109"/>
    <x v="0"/>
  </r>
  <r>
    <x v="0"/>
    <x v="7"/>
    <x v="7"/>
    <x v="24"/>
    <x v="24"/>
    <x v="24"/>
    <x v="19"/>
    <x v="50"/>
    <x v="111"/>
    <x v="79"/>
    <x v="18"/>
    <x v="64"/>
    <x v="109"/>
    <x v="0"/>
  </r>
  <r>
    <x v="0"/>
    <x v="8"/>
    <x v="8"/>
    <x v="0"/>
    <x v="0"/>
    <x v="0"/>
    <x v="0"/>
    <x v="97"/>
    <x v="112"/>
    <x v="92"/>
    <x v="131"/>
    <x v="27"/>
    <x v="110"/>
    <x v="0"/>
  </r>
  <r>
    <x v="0"/>
    <x v="8"/>
    <x v="8"/>
    <x v="4"/>
    <x v="4"/>
    <x v="4"/>
    <x v="1"/>
    <x v="102"/>
    <x v="35"/>
    <x v="100"/>
    <x v="132"/>
    <x v="41"/>
    <x v="64"/>
    <x v="0"/>
  </r>
  <r>
    <x v="0"/>
    <x v="8"/>
    <x v="8"/>
    <x v="2"/>
    <x v="2"/>
    <x v="2"/>
    <x v="2"/>
    <x v="103"/>
    <x v="113"/>
    <x v="101"/>
    <x v="133"/>
    <x v="41"/>
    <x v="64"/>
    <x v="0"/>
  </r>
  <r>
    <x v="0"/>
    <x v="8"/>
    <x v="8"/>
    <x v="7"/>
    <x v="7"/>
    <x v="7"/>
    <x v="3"/>
    <x v="80"/>
    <x v="54"/>
    <x v="103"/>
    <x v="134"/>
    <x v="40"/>
    <x v="111"/>
    <x v="0"/>
  </r>
  <r>
    <x v="0"/>
    <x v="8"/>
    <x v="8"/>
    <x v="8"/>
    <x v="8"/>
    <x v="8"/>
    <x v="4"/>
    <x v="81"/>
    <x v="79"/>
    <x v="105"/>
    <x v="135"/>
    <x v="41"/>
    <x v="64"/>
    <x v="0"/>
  </r>
  <r>
    <x v="0"/>
    <x v="8"/>
    <x v="8"/>
    <x v="10"/>
    <x v="10"/>
    <x v="10"/>
    <x v="5"/>
    <x v="62"/>
    <x v="114"/>
    <x v="66"/>
    <x v="136"/>
    <x v="47"/>
    <x v="32"/>
    <x v="0"/>
  </r>
  <r>
    <x v="0"/>
    <x v="8"/>
    <x v="8"/>
    <x v="29"/>
    <x v="29"/>
    <x v="29"/>
    <x v="18"/>
    <x v="82"/>
    <x v="92"/>
    <x v="85"/>
    <x v="137"/>
    <x v="63"/>
    <x v="112"/>
    <x v="0"/>
  </r>
  <r>
    <x v="0"/>
    <x v="8"/>
    <x v="8"/>
    <x v="5"/>
    <x v="5"/>
    <x v="5"/>
    <x v="6"/>
    <x v="104"/>
    <x v="27"/>
    <x v="92"/>
    <x v="131"/>
    <x v="50"/>
    <x v="113"/>
    <x v="0"/>
  </r>
  <r>
    <x v="0"/>
    <x v="8"/>
    <x v="8"/>
    <x v="16"/>
    <x v="16"/>
    <x v="16"/>
    <x v="6"/>
    <x v="104"/>
    <x v="27"/>
    <x v="104"/>
    <x v="138"/>
    <x v="41"/>
    <x v="64"/>
    <x v="0"/>
  </r>
  <r>
    <x v="0"/>
    <x v="8"/>
    <x v="8"/>
    <x v="12"/>
    <x v="12"/>
    <x v="12"/>
    <x v="8"/>
    <x v="83"/>
    <x v="115"/>
    <x v="93"/>
    <x v="139"/>
    <x v="63"/>
    <x v="112"/>
    <x v="0"/>
  </r>
  <r>
    <x v="0"/>
    <x v="8"/>
    <x v="8"/>
    <x v="13"/>
    <x v="13"/>
    <x v="13"/>
    <x v="9"/>
    <x v="88"/>
    <x v="116"/>
    <x v="106"/>
    <x v="140"/>
    <x v="43"/>
    <x v="114"/>
    <x v="0"/>
  </r>
  <r>
    <x v="0"/>
    <x v="8"/>
    <x v="8"/>
    <x v="30"/>
    <x v="30"/>
    <x v="30"/>
    <x v="9"/>
    <x v="88"/>
    <x v="116"/>
    <x v="54"/>
    <x v="55"/>
    <x v="55"/>
    <x v="100"/>
    <x v="3"/>
  </r>
  <r>
    <x v="0"/>
    <x v="8"/>
    <x v="8"/>
    <x v="24"/>
    <x v="24"/>
    <x v="24"/>
    <x v="11"/>
    <x v="84"/>
    <x v="117"/>
    <x v="86"/>
    <x v="141"/>
    <x v="52"/>
    <x v="115"/>
    <x v="0"/>
  </r>
  <r>
    <x v="0"/>
    <x v="8"/>
    <x v="8"/>
    <x v="20"/>
    <x v="20"/>
    <x v="20"/>
    <x v="11"/>
    <x v="84"/>
    <x v="117"/>
    <x v="85"/>
    <x v="137"/>
    <x v="32"/>
    <x v="116"/>
    <x v="0"/>
  </r>
  <r>
    <x v="0"/>
    <x v="8"/>
    <x v="8"/>
    <x v="17"/>
    <x v="17"/>
    <x v="17"/>
    <x v="13"/>
    <x v="89"/>
    <x v="59"/>
    <x v="48"/>
    <x v="109"/>
    <x v="48"/>
    <x v="63"/>
    <x v="0"/>
  </r>
  <r>
    <x v="0"/>
    <x v="8"/>
    <x v="8"/>
    <x v="6"/>
    <x v="6"/>
    <x v="6"/>
    <x v="14"/>
    <x v="85"/>
    <x v="83"/>
    <x v="79"/>
    <x v="142"/>
    <x v="53"/>
    <x v="6"/>
    <x v="0"/>
  </r>
  <r>
    <x v="0"/>
    <x v="8"/>
    <x v="8"/>
    <x v="11"/>
    <x v="11"/>
    <x v="11"/>
    <x v="15"/>
    <x v="105"/>
    <x v="118"/>
    <x v="55"/>
    <x v="143"/>
    <x v="46"/>
    <x v="27"/>
    <x v="0"/>
  </r>
  <r>
    <x v="0"/>
    <x v="8"/>
    <x v="8"/>
    <x v="21"/>
    <x v="21"/>
    <x v="21"/>
    <x v="16"/>
    <x v="106"/>
    <x v="119"/>
    <x v="76"/>
    <x v="144"/>
    <x v="47"/>
    <x v="32"/>
    <x v="0"/>
  </r>
  <r>
    <x v="0"/>
    <x v="8"/>
    <x v="8"/>
    <x v="18"/>
    <x v="18"/>
    <x v="18"/>
    <x v="16"/>
    <x v="106"/>
    <x v="119"/>
    <x v="56"/>
    <x v="145"/>
    <x v="54"/>
    <x v="117"/>
    <x v="0"/>
  </r>
  <r>
    <x v="0"/>
    <x v="8"/>
    <x v="8"/>
    <x v="32"/>
    <x v="32"/>
    <x v="32"/>
    <x v="16"/>
    <x v="106"/>
    <x v="119"/>
    <x v="76"/>
    <x v="144"/>
    <x v="47"/>
    <x v="32"/>
    <x v="0"/>
  </r>
  <r>
    <x v="0"/>
    <x v="9"/>
    <x v="9"/>
    <x v="0"/>
    <x v="0"/>
    <x v="0"/>
    <x v="0"/>
    <x v="107"/>
    <x v="120"/>
    <x v="107"/>
    <x v="146"/>
    <x v="64"/>
    <x v="118"/>
    <x v="0"/>
  </r>
  <r>
    <x v="0"/>
    <x v="9"/>
    <x v="9"/>
    <x v="1"/>
    <x v="1"/>
    <x v="1"/>
    <x v="1"/>
    <x v="108"/>
    <x v="121"/>
    <x v="108"/>
    <x v="147"/>
    <x v="39"/>
    <x v="39"/>
    <x v="0"/>
  </r>
  <r>
    <x v="0"/>
    <x v="9"/>
    <x v="9"/>
    <x v="2"/>
    <x v="2"/>
    <x v="2"/>
    <x v="2"/>
    <x v="109"/>
    <x v="122"/>
    <x v="33"/>
    <x v="148"/>
    <x v="53"/>
    <x v="119"/>
    <x v="0"/>
  </r>
  <r>
    <x v="0"/>
    <x v="9"/>
    <x v="9"/>
    <x v="3"/>
    <x v="3"/>
    <x v="3"/>
    <x v="3"/>
    <x v="110"/>
    <x v="123"/>
    <x v="109"/>
    <x v="149"/>
    <x v="41"/>
    <x v="48"/>
    <x v="0"/>
  </r>
  <r>
    <x v="0"/>
    <x v="9"/>
    <x v="9"/>
    <x v="7"/>
    <x v="7"/>
    <x v="7"/>
    <x v="4"/>
    <x v="111"/>
    <x v="124"/>
    <x v="110"/>
    <x v="150"/>
    <x v="43"/>
    <x v="7"/>
    <x v="0"/>
  </r>
  <r>
    <x v="0"/>
    <x v="9"/>
    <x v="9"/>
    <x v="8"/>
    <x v="8"/>
    <x v="8"/>
    <x v="5"/>
    <x v="96"/>
    <x v="55"/>
    <x v="87"/>
    <x v="23"/>
    <x v="48"/>
    <x v="120"/>
    <x v="0"/>
  </r>
  <r>
    <x v="0"/>
    <x v="9"/>
    <x v="9"/>
    <x v="4"/>
    <x v="4"/>
    <x v="4"/>
    <x v="18"/>
    <x v="58"/>
    <x v="125"/>
    <x v="29"/>
    <x v="120"/>
    <x v="39"/>
    <x v="39"/>
    <x v="0"/>
  </r>
  <r>
    <x v="0"/>
    <x v="9"/>
    <x v="9"/>
    <x v="5"/>
    <x v="5"/>
    <x v="5"/>
    <x v="6"/>
    <x v="43"/>
    <x v="126"/>
    <x v="82"/>
    <x v="151"/>
    <x v="42"/>
    <x v="121"/>
    <x v="1"/>
  </r>
  <r>
    <x v="0"/>
    <x v="9"/>
    <x v="9"/>
    <x v="10"/>
    <x v="10"/>
    <x v="10"/>
    <x v="7"/>
    <x v="112"/>
    <x v="25"/>
    <x v="111"/>
    <x v="31"/>
    <x v="50"/>
    <x v="122"/>
    <x v="0"/>
  </r>
  <r>
    <x v="0"/>
    <x v="9"/>
    <x v="9"/>
    <x v="31"/>
    <x v="31"/>
    <x v="31"/>
    <x v="8"/>
    <x v="76"/>
    <x v="127"/>
    <x v="103"/>
    <x v="152"/>
    <x v="43"/>
    <x v="7"/>
    <x v="0"/>
  </r>
  <r>
    <x v="0"/>
    <x v="9"/>
    <x v="9"/>
    <x v="17"/>
    <x v="17"/>
    <x v="17"/>
    <x v="9"/>
    <x v="61"/>
    <x v="128"/>
    <x v="49"/>
    <x v="153"/>
    <x v="53"/>
    <x v="119"/>
    <x v="0"/>
  </r>
  <r>
    <x v="0"/>
    <x v="9"/>
    <x v="9"/>
    <x v="16"/>
    <x v="16"/>
    <x v="16"/>
    <x v="9"/>
    <x v="61"/>
    <x v="128"/>
    <x v="105"/>
    <x v="154"/>
    <x v="30"/>
    <x v="123"/>
    <x v="0"/>
  </r>
  <r>
    <x v="0"/>
    <x v="9"/>
    <x v="9"/>
    <x v="9"/>
    <x v="9"/>
    <x v="9"/>
    <x v="11"/>
    <x v="81"/>
    <x v="95"/>
    <x v="78"/>
    <x v="155"/>
    <x v="40"/>
    <x v="76"/>
    <x v="0"/>
  </r>
  <r>
    <x v="0"/>
    <x v="9"/>
    <x v="9"/>
    <x v="29"/>
    <x v="29"/>
    <x v="29"/>
    <x v="12"/>
    <x v="50"/>
    <x v="15"/>
    <x v="112"/>
    <x v="156"/>
    <x v="58"/>
    <x v="124"/>
    <x v="0"/>
  </r>
  <r>
    <x v="0"/>
    <x v="9"/>
    <x v="9"/>
    <x v="11"/>
    <x v="11"/>
    <x v="11"/>
    <x v="13"/>
    <x v="51"/>
    <x v="96"/>
    <x v="66"/>
    <x v="145"/>
    <x v="47"/>
    <x v="125"/>
    <x v="0"/>
  </r>
  <r>
    <x v="0"/>
    <x v="9"/>
    <x v="9"/>
    <x v="25"/>
    <x v="25"/>
    <x v="25"/>
    <x v="14"/>
    <x v="62"/>
    <x v="129"/>
    <x v="79"/>
    <x v="157"/>
    <x v="7"/>
    <x v="126"/>
    <x v="1"/>
  </r>
  <r>
    <x v="0"/>
    <x v="9"/>
    <x v="9"/>
    <x v="24"/>
    <x v="24"/>
    <x v="24"/>
    <x v="15"/>
    <x v="87"/>
    <x v="31"/>
    <x v="53"/>
    <x v="158"/>
    <x v="49"/>
    <x v="127"/>
    <x v="0"/>
  </r>
  <r>
    <x v="0"/>
    <x v="9"/>
    <x v="9"/>
    <x v="23"/>
    <x v="23"/>
    <x v="23"/>
    <x v="16"/>
    <x v="113"/>
    <x v="47"/>
    <x v="83"/>
    <x v="159"/>
    <x v="40"/>
    <x v="76"/>
    <x v="0"/>
  </r>
  <r>
    <x v="0"/>
    <x v="9"/>
    <x v="9"/>
    <x v="19"/>
    <x v="19"/>
    <x v="19"/>
    <x v="16"/>
    <x v="113"/>
    <x v="47"/>
    <x v="66"/>
    <x v="145"/>
    <x v="54"/>
    <x v="128"/>
    <x v="0"/>
  </r>
  <r>
    <x v="0"/>
    <x v="9"/>
    <x v="9"/>
    <x v="6"/>
    <x v="6"/>
    <x v="6"/>
    <x v="16"/>
    <x v="113"/>
    <x v="47"/>
    <x v="52"/>
    <x v="160"/>
    <x v="43"/>
    <x v="7"/>
    <x v="0"/>
  </r>
  <r>
    <x v="0"/>
    <x v="9"/>
    <x v="9"/>
    <x v="13"/>
    <x v="13"/>
    <x v="13"/>
    <x v="16"/>
    <x v="113"/>
    <x v="47"/>
    <x v="113"/>
    <x v="161"/>
    <x v="51"/>
    <x v="69"/>
    <x v="0"/>
  </r>
  <r>
    <x v="0"/>
    <x v="10"/>
    <x v="10"/>
    <x v="2"/>
    <x v="2"/>
    <x v="2"/>
    <x v="0"/>
    <x v="70"/>
    <x v="35"/>
    <x v="114"/>
    <x v="162"/>
    <x v="43"/>
    <x v="108"/>
    <x v="0"/>
  </r>
  <r>
    <x v="0"/>
    <x v="10"/>
    <x v="10"/>
    <x v="1"/>
    <x v="1"/>
    <x v="1"/>
    <x v="1"/>
    <x v="114"/>
    <x v="130"/>
    <x v="115"/>
    <x v="163"/>
    <x v="40"/>
    <x v="129"/>
    <x v="0"/>
  </r>
  <r>
    <x v="0"/>
    <x v="10"/>
    <x v="10"/>
    <x v="12"/>
    <x v="12"/>
    <x v="12"/>
    <x v="2"/>
    <x v="115"/>
    <x v="131"/>
    <x v="86"/>
    <x v="164"/>
    <x v="65"/>
    <x v="130"/>
    <x v="0"/>
  </r>
  <r>
    <x v="0"/>
    <x v="10"/>
    <x v="10"/>
    <x v="0"/>
    <x v="0"/>
    <x v="0"/>
    <x v="3"/>
    <x v="116"/>
    <x v="132"/>
    <x v="61"/>
    <x v="165"/>
    <x v="49"/>
    <x v="131"/>
    <x v="0"/>
  </r>
  <r>
    <x v="0"/>
    <x v="10"/>
    <x v="10"/>
    <x v="3"/>
    <x v="3"/>
    <x v="3"/>
    <x v="4"/>
    <x v="98"/>
    <x v="133"/>
    <x v="101"/>
    <x v="166"/>
    <x v="48"/>
    <x v="123"/>
    <x v="0"/>
  </r>
  <r>
    <x v="0"/>
    <x v="10"/>
    <x v="10"/>
    <x v="4"/>
    <x v="4"/>
    <x v="4"/>
    <x v="5"/>
    <x v="103"/>
    <x v="134"/>
    <x v="28"/>
    <x v="167"/>
    <x v="30"/>
    <x v="132"/>
    <x v="0"/>
  </r>
  <r>
    <x v="0"/>
    <x v="10"/>
    <x v="10"/>
    <x v="15"/>
    <x v="15"/>
    <x v="15"/>
    <x v="18"/>
    <x v="117"/>
    <x v="135"/>
    <x v="75"/>
    <x v="168"/>
    <x v="54"/>
    <x v="133"/>
    <x v="0"/>
  </r>
  <r>
    <x v="0"/>
    <x v="10"/>
    <x v="10"/>
    <x v="5"/>
    <x v="5"/>
    <x v="5"/>
    <x v="6"/>
    <x v="73"/>
    <x v="136"/>
    <x v="116"/>
    <x v="169"/>
    <x v="53"/>
    <x v="134"/>
    <x v="0"/>
  </r>
  <r>
    <x v="0"/>
    <x v="10"/>
    <x v="10"/>
    <x v="26"/>
    <x v="26"/>
    <x v="26"/>
    <x v="7"/>
    <x v="79"/>
    <x v="39"/>
    <x v="117"/>
    <x v="170"/>
    <x v="44"/>
    <x v="135"/>
    <x v="0"/>
  </r>
  <r>
    <x v="0"/>
    <x v="10"/>
    <x v="10"/>
    <x v="8"/>
    <x v="8"/>
    <x v="8"/>
    <x v="8"/>
    <x v="60"/>
    <x v="104"/>
    <x v="102"/>
    <x v="171"/>
    <x v="40"/>
    <x v="129"/>
    <x v="0"/>
  </r>
  <r>
    <x v="0"/>
    <x v="10"/>
    <x v="10"/>
    <x v="14"/>
    <x v="14"/>
    <x v="14"/>
    <x v="9"/>
    <x v="99"/>
    <x v="137"/>
    <x v="111"/>
    <x v="172"/>
    <x v="43"/>
    <x v="108"/>
    <x v="0"/>
  </r>
  <r>
    <x v="0"/>
    <x v="10"/>
    <x v="10"/>
    <x v="7"/>
    <x v="7"/>
    <x v="7"/>
    <x v="9"/>
    <x v="99"/>
    <x v="137"/>
    <x v="118"/>
    <x v="173"/>
    <x v="39"/>
    <x v="39"/>
    <x v="0"/>
  </r>
  <r>
    <x v="0"/>
    <x v="10"/>
    <x v="10"/>
    <x v="27"/>
    <x v="27"/>
    <x v="27"/>
    <x v="11"/>
    <x v="80"/>
    <x v="81"/>
    <x v="45"/>
    <x v="174"/>
    <x v="51"/>
    <x v="41"/>
    <x v="0"/>
  </r>
  <r>
    <x v="0"/>
    <x v="10"/>
    <x v="10"/>
    <x v="33"/>
    <x v="33"/>
    <x v="33"/>
    <x v="12"/>
    <x v="81"/>
    <x v="42"/>
    <x v="78"/>
    <x v="175"/>
    <x v="40"/>
    <x v="129"/>
    <x v="0"/>
  </r>
  <r>
    <x v="0"/>
    <x v="10"/>
    <x v="10"/>
    <x v="6"/>
    <x v="6"/>
    <x v="6"/>
    <x v="12"/>
    <x v="81"/>
    <x v="42"/>
    <x v="49"/>
    <x v="176"/>
    <x v="48"/>
    <x v="123"/>
    <x v="0"/>
  </r>
  <r>
    <x v="0"/>
    <x v="10"/>
    <x v="10"/>
    <x v="9"/>
    <x v="9"/>
    <x v="9"/>
    <x v="14"/>
    <x v="64"/>
    <x v="60"/>
    <x v="65"/>
    <x v="177"/>
    <x v="48"/>
    <x v="123"/>
    <x v="0"/>
  </r>
  <r>
    <x v="0"/>
    <x v="10"/>
    <x v="10"/>
    <x v="21"/>
    <x v="21"/>
    <x v="21"/>
    <x v="15"/>
    <x v="118"/>
    <x v="110"/>
    <x v="50"/>
    <x v="178"/>
    <x v="39"/>
    <x v="39"/>
    <x v="0"/>
  </r>
  <r>
    <x v="0"/>
    <x v="10"/>
    <x v="10"/>
    <x v="11"/>
    <x v="11"/>
    <x v="11"/>
    <x v="15"/>
    <x v="118"/>
    <x v="110"/>
    <x v="67"/>
    <x v="128"/>
    <x v="55"/>
    <x v="136"/>
    <x v="0"/>
  </r>
  <r>
    <x v="0"/>
    <x v="10"/>
    <x v="10"/>
    <x v="24"/>
    <x v="24"/>
    <x v="24"/>
    <x v="17"/>
    <x v="53"/>
    <x v="96"/>
    <x v="53"/>
    <x v="51"/>
    <x v="47"/>
    <x v="89"/>
    <x v="0"/>
  </r>
  <r>
    <x v="0"/>
    <x v="10"/>
    <x v="10"/>
    <x v="34"/>
    <x v="34"/>
    <x v="34"/>
    <x v="17"/>
    <x v="53"/>
    <x v="96"/>
    <x v="74"/>
    <x v="179"/>
    <x v="51"/>
    <x v="41"/>
    <x v="0"/>
  </r>
  <r>
    <x v="0"/>
    <x v="11"/>
    <x v="11"/>
    <x v="31"/>
    <x v="31"/>
    <x v="31"/>
    <x v="0"/>
    <x v="119"/>
    <x v="138"/>
    <x v="116"/>
    <x v="180"/>
    <x v="39"/>
    <x v="39"/>
    <x v="0"/>
  </r>
  <r>
    <x v="0"/>
    <x v="11"/>
    <x v="11"/>
    <x v="2"/>
    <x v="2"/>
    <x v="2"/>
    <x v="1"/>
    <x v="46"/>
    <x v="139"/>
    <x v="47"/>
    <x v="181"/>
    <x v="40"/>
    <x v="37"/>
    <x v="0"/>
  </r>
  <r>
    <x v="0"/>
    <x v="11"/>
    <x v="11"/>
    <x v="4"/>
    <x v="4"/>
    <x v="4"/>
    <x v="2"/>
    <x v="47"/>
    <x v="140"/>
    <x v="47"/>
    <x v="181"/>
    <x v="43"/>
    <x v="137"/>
    <x v="1"/>
  </r>
  <r>
    <x v="0"/>
    <x v="11"/>
    <x v="11"/>
    <x v="8"/>
    <x v="8"/>
    <x v="8"/>
    <x v="3"/>
    <x v="81"/>
    <x v="132"/>
    <x v="49"/>
    <x v="182"/>
    <x v="48"/>
    <x v="138"/>
    <x v="0"/>
  </r>
  <r>
    <x v="0"/>
    <x v="11"/>
    <x v="11"/>
    <x v="7"/>
    <x v="7"/>
    <x v="7"/>
    <x v="4"/>
    <x v="113"/>
    <x v="133"/>
    <x v="52"/>
    <x v="183"/>
    <x v="43"/>
    <x v="137"/>
    <x v="0"/>
  </r>
  <r>
    <x v="0"/>
    <x v="11"/>
    <x v="11"/>
    <x v="12"/>
    <x v="12"/>
    <x v="12"/>
    <x v="5"/>
    <x v="63"/>
    <x v="141"/>
    <x v="91"/>
    <x v="29"/>
    <x v="66"/>
    <x v="139"/>
    <x v="0"/>
  </r>
  <r>
    <x v="0"/>
    <x v="11"/>
    <x v="11"/>
    <x v="3"/>
    <x v="3"/>
    <x v="3"/>
    <x v="18"/>
    <x v="64"/>
    <x v="136"/>
    <x v="83"/>
    <x v="184"/>
    <x v="43"/>
    <x v="137"/>
    <x v="0"/>
  </r>
  <r>
    <x v="0"/>
    <x v="11"/>
    <x v="11"/>
    <x v="35"/>
    <x v="35"/>
    <x v="35"/>
    <x v="6"/>
    <x v="53"/>
    <x v="142"/>
    <x v="65"/>
    <x v="185"/>
    <x v="43"/>
    <x v="137"/>
    <x v="0"/>
  </r>
  <r>
    <x v="0"/>
    <x v="11"/>
    <x v="11"/>
    <x v="5"/>
    <x v="5"/>
    <x v="5"/>
    <x v="6"/>
    <x v="53"/>
    <x v="142"/>
    <x v="119"/>
    <x v="186"/>
    <x v="40"/>
    <x v="37"/>
    <x v="0"/>
  </r>
  <r>
    <x v="0"/>
    <x v="11"/>
    <x v="11"/>
    <x v="6"/>
    <x v="6"/>
    <x v="6"/>
    <x v="8"/>
    <x v="82"/>
    <x v="40"/>
    <x v="74"/>
    <x v="187"/>
    <x v="43"/>
    <x v="137"/>
    <x v="0"/>
  </r>
  <r>
    <x v="0"/>
    <x v="11"/>
    <x v="11"/>
    <x v="24"/>
    <x v="24"/>
    <x v="24"/>
    <x v="9"/>
    <x v="83"/>
    <x v="143"/>
    <x v="79"/>
    <x v="96"/>
    <x v="55"/>
    <x v="140"/>
    <x v="0"/>
  </r>
  <r>
    <x v="0"/>
    <x v="11"/>
    <x v="11"/>
    <x v="0"/>
    <x v="0"/>
    <x v="0"/>
    <x v="9"/>
    <x v="83"/>
    <x v="143"/>
    <x v="79"/>
    <x v="96"/>
    <x v="55"/>
    <x v="140"/>
    <x v="0"/>
  </r>
  <r>
    <x v="0"/>
    <x v="11"/>
    <x v="11"/>
    <x v="1"/>
    <x v="1"/>
    <x v="1"/>
    <x v="11"/>
    <x v="105"/>
    <x v="144"/>
    <x v="57"/>
    <x v="188"/>
    <x v="39"/>
    <x v="39"/>
    <x v="0"/>
  </r>
  <r>
    <x v="0"/>
    <x v="11"/>
    <x v="11"/>
    <x v="30"/>
    <x v="30"/>
    <x v="30"/>
    <x v="11"/>
    <x v="105"/>
    <x v="144"/>
    <x v="120"/>
    <x v="189"/>
    <x v="32"/>
    <x v="141"/>
    <x v="0"/>
  </r>
  <r>
    <x v="0"/>
    <x v="11"/>
    <x v="11"/>
    <x v="33"/>
    <x v="33"/>
    <x v="33"/>
    <x v="13"/>
    <x v="120"/>
    <x v="9"/>
    <x v="53"/>
    <x v="190"/>
    <x v="51"/>
    <x v="94"/>
    <x v="0"/>
  </r>
  <r>
    <x v="0"/>
    <x v="11"/>
    <x v="11"/>
    <x v="10"/>
    <x v="10"/>
    <x v="10"/>
    <x v="13"/>
    <x v="120"/>
    <x v="9"/>
    <x v="121"/>
    <x v="191"/>
    <x v="48"/>
    <x v="138"/>
    <x v="0"/>
  </r>
  <r>
    <x v="0"/>
    <x v="11"/>
    <x v="11"/>
    <x v="14"/>
    <x v="14"/>
    <x v="14"/>
    <x v="13"/>
    <x v="120"/>
    <x v="9"/>
    <x v="48"/>
    <x v="192"/>
    <x v="43"/>
    <x v="137"/>
    <x v="0"/>
  </r>
  <r>
    <x v="0"/>
    <x v="11"/>
    <x v="11"/>
    <x v="11"/>
    <x v="11"/>
    <x v="11"/>
    <x v="16"/>
    <x v="121"/>
    <x v="60"/>
    <x v="86"/>
    <x v="193"/>
    <x v="46"/>
    <x v="142"/>
    <x v="0"/>
  </r>
  <r>
    <x v="0"/>
    <x v="11"/>
    <x v="11"/>
    <x v="16"/>
    <x v="16"/>
    <x v="16"/>
    <x v="16"/>
    <x v="121"/>
    <x v="60"/>
    <x v="48"/>
    <x v="192"/>
    <x v="39"/>
    <x v="39"/>
    <x v="0"/>
  </r>
  <r>
    <x v="0"/>
    <x v="11"/>
    <x v="11"/>
    <x v="25"/>
    <x v="25"/>
    <x v="25"/>
    <x v="19"/>
    <x v="122"/>
    <x v="118"/>
    <x v="56"/>
    <x v="194"/>
    <x v="53"/>
    <x v="143"/>
    <x v="0"/>
  </r>
  <r>
    <x v="0"/>
    <x v="11"/>
    <x v="11"/>
    <x v="27"/>
    <x v="27"/>
    <x v="27"/>
    <x v="19"/>
    <x v="122"/>
    <x v="118"/>
    <x v="112"/>
    <x v="32"/>
    <x v="43"/>
    <x v="137"/>
    <x v="0"/>
  </r>
  <r>
    <x v="0"/>
    <x v="12"/>
    <x v="12"/>
    <x v="1"/>
    <x v="1"/>
    <x v="1"/>
    <x v="0"/>
    <x v="121"/>
    <x v="145"/>
    <x v="48"/>
    <x v="195"/>
    <x v="39"/>
    <x v="39"/>
    <x v="0"/>
  </r>
  <r>
    <x v="0"/>
    <x v="12"/>
    <x v="12"/>
    <x v="2"/>
    <x v="2"/>
    <x v="2"/>
    <x v="1"/>
    <x v="123"/>
    <x v="122"/>
    <x v="62"/>
    <x v="196"/>
    <x v="39"/>
    <x v="39"/>
    <x v="0"/>
  </r>
  <r>
    <x v="0"/>
    <x v="12"/>
    <x v="12"/>
    <x v="0"/>
    <x v="0"/>
    <x v="0"/>
    <x v="2"/>
    <x v="124"/>
    <x v="146"/>
    <x v="55"/>
    <x v="197"/>
    <x v="39"/>
    <x v="39"/>
    <x v="0"/>
  </r>
  <r>
    <x v="0"/>
    <x v="12"/>
    <x v="12"/>
    <x v="15"/>
    <x v="15"/>
    <x v="15"/>
    <x v="3"/>
    <x v="125"/>
    <x v="147"/>
    <x v="56"/>
    <x v="198"/>
    <x v="43"/>
    <x v="144"/>
    <x v="0"/>
  </r>
  <r>
    <x v="0"/>
    <x v="12"/>
    <x v="12"/>
    <x v="6"/>
    <x v="6"/>
    <x v="6"/>
    <x v="3"/>
    <x v="125"/>
    <x v="147"/>
    <x v="54"/>
    <x v="199"/>
    <x v="39"/>
    <x v="39"/>
    <x v="0"/>
  </r>
  <r>
    <x v="0"/>
    <x v="12"/>
    <x v="12"/>
    <x v="31"/>
    <x v="31"/>
    <x v="31"/>
    <x v="5"/>
    <x v="126"/>
    <x v="148"/>
    <x v="56"/>
    <x v="198"/>
    <x v="39"/>
    <x v="39"/>
    <x v="0"/>
  </r>
  <r>
    <x v="0"/>
    <x v="12"/>
    <x v="12"/>
    <x v="5"/>
    <x v="5"/>
    <x v="5"/>
    <x v="18"/>
    <x v="127"/>
    <x v="149"/>
    <x v="85"/>
    <x v="200"/>
    <x v="39"/>
    <x v="39"/>
    <x v="4"/>
  </r>
  <r>
    <x v="0"/>
    <x v="12"/>
    <x v="12"/>
    <x v="36"/>
    <x v="36"/>
    <x v="36"/>
    <x v="6"/>
    <x v="128"/>
    <x v="150"/>
    <x v="91"/>
    <x v="201"/>
    <x v="39"/>
    <x v="39"/>
    <x v="1"/>
  </r>
  <r>
    <x v="0"/>
    <x v="12"/>
    <x v="12"/>
    <x v="27"/>
    <x v="27"/>
    <x v="27"/>
    <x v="6"/>
    <x v="128"/>
    <x v="150"/>
    <x v="76"/>
    <x v="202"/>
    <x v="39"/>
    <x v="39"/>
    <x v="0"/>
  </r>
  <r>
    <x v="0"/>
    <x v="12"/>
    <x v="12"/>
    <x v="8"/>
    <x v="8"/>
    <x v="8"/>
    <x v="6"/>
    <x v="128"/>
    <x v="150"/>
    <x v="76"/>
    <x v="202"/>
    <x v="39"/>
    <x v="39"/>
    <x v="0"/>
  </r>
  <r>
    <x v="0"/>
    <x v="12"/>
    <x v="12"/>
    <x v="34"/>
    <x v="34"/>
    <x v="34"/>
    <x v="9"/>
    <x v="129"/>
    <x v="151"/>
    <x v="91"/>
    <x v="201"/>
    <x v="39"/>
    <x v="39"/>
    <x v="0"/>
  </r>
  <r>
    <x v="0"/>
    <x v="12"/>
    <x v="12"/>
    <x v="9"/>
    <x v="9"/>
    <x v="9"/>
    <x v="9"/>
    <x v="129"/>
    <x v="151"/>
    <x v="91"/>
    <x v="201"/>
    <x v="39"/>
    <x v="39"/>
    <x v="0"/>
  </r>
  <r>
    <x v="0"/>
    <x v="12"/>
    <x v="12"/>
    <x v="28"/>
    <x v="28"/>
    <x v="28"/>
    <x v="9"/>
    <x v="129"/>
    <x v="151"/>
    <x v="122"/>
    <x v="203"/>
    <x v="43"/>
    <x v="144"/>
    <x v="1"/>
  </r>
  <r>
    <x v="0"/>
    <x v="12"/>
    <x v="12"/>
    <x v="3"/>
    <x v="3"/>
    <x v="3"/>
    <x v="9"/>
    <x v="129"/>
    <x v="151"/>
    <x v="91"/>
    <x v="201"/>
    <x v="39"/>
    <x v="39"/>
    <x v="0"/>
  </r>
  <r>
    <x v="0"/>
    <x v="12"/>
    <x v="12"/>
    <x v="24"/>
    <x v="24"/>
    <x v="24"/>
    <x v="13"/>
    <x v="130"/>
    <x v="152"/>
    <x v="85"/>
    <x v="200"/>
    <x v="39"/>
    <x v="39"/>
    <x v="0"/>
  </r>
  <r>
    <x v="0"/>
    <x v="12"/>
    <x v="12"/>
    <x v="37"/>
    <x v="37"/>
    <x v="37"/>
    <x v="13"/>
    <x v="130"/>
    <x v="152"/>
    <x v="85"/>
    <x v="200"/>
    <x v="39"/>
    <x v="39"/>
    <x v="0"/>
  </r>
  <r>
    <x v="0"/>
    <x v="12"/>
    <x v="12"/>
    <x v="38"/>
    <x v="38"/>
    <x v="38"/>
    <x v="13"/>
    <x v="130"/>
    <x v="152"/>
    <x v="93"/>
    <x v="114"/>
    <x v="51"/>
    <x v="145"/>
    <x v="0"/>
  </r>
  <r>
    <x v="0"/>
    <x v="12"/>
    <x v="12"/>
    <x v="14"/>
    <x v="14"/>
    <x v="14"/>
    <x v="13"/>
    <x v="130"/>
    <x v="152"/>
    <x v="85"/>
    <x v="200"/>
    <x v="39"/>
    <x v="39"/>
    <x v="0"/>
  </r>
  <r>
    <x v="0"/>
    <x v="12"/>
    <x v="12"/>
    <x v="39"/>
    <x v="39"/>
    <x v="39"/>
    <x v="13"/>
    <x v="130"/>
    <x v="152"/>
    <x v="85"/>
    <x v="200"/>
    <x v="39"/>
    <x v="39"/>
    <x v="0"/>
  </r>
  <r>
    <x v="0"/>
    <x v="12"/>
    <x v="12"/>
    <x v="4"/>
    <x v="4"/>
    <x v="4"/>
    <x v="13"/>
    <x v="130"/>
    <x v="152"/>
    <x v="122"/>
    <x v="203"/>
    <x v="43"/>
    <x v="144"/>
    <x v="0"/>
  </r>
  <r>
    <x v="0"/>
    <x v="13"/>
    <x v="13"/>
    <x v="31"/>
    <x v="31"/>
    <x v="31"/>
    <x v="0"/>
    <x v="131"/>
    <x v="153"/>
    <x v="79"/>
    <x v="204"/>
    <x v="39"/>
    <x v="39"/>
    <x v="0"/>
  </r>
  <r>
    <x v="0"/>
    <x v="13"/>
    <x v="13"/>
    <x v="40"/>
    <x v="40"/>
    <x v="40"/>
    <x v="1"/>
    <x v="125"/>
    <x v="154"/>
    <x v="56"/>
    <x v="205"/>
    <x v="43"/>
    <x v="146"/>
    <x v="0"/>
  </r>
  <r>
    <x v="0"/>
    <x v="13"/>
    <x v="13"/>
    <x v="5"/>
    <x v="5"/>
    <x v="5"/>
    <x v="2"/>
    <x v="128"/>
    <x v="155"/>
    <x v="76"/>
    <x v="206"/>
    <x v="39"/>
    <x v="39"/>
    <x v="0"/>
  </r>
  <r>
    <x v="0"/>
    <x v="13"/>
    <x v="13"/>
    <x v="41"/>
    <x v="41"/>
    <x v="41"/>
    <x v="2"/>
    <x v="128"/>
    <x v="155"/>
    <x v="120"/>
    <x v="189"/>
    <x v="39"/>
    <x v="39"/>
    <x v="2"/>
  </r>
  <r>
    <x v="0"/>
    <x v="13"/>
    <x v="13"/>
    <x v="42"/>
    <x v="42"/>
    <x v="42"/>
    <x v="4"/>
    <x v="129"/>
    <x v="156"/>
    <x v="120"/>
    <x v="189"/>
    <x v="39"/>
    <x v="39"/>
    <x v="3"/>
  </r>
  <r>
    <x v="0"/>
    <x v="13"/>
    <x v="13"/>
    <x v="12"/>
    <x v="12"/>
    <x v="12"/>
    <x v="5"/>
    <x v="130"/>
    <x v="157"/>
    <x v="120"/>
    <x v="189"/>
    <x v="40"/>
    <x v="147"/>
    <x v="0"/>
  </r>
  <r>
    <x v="0"/>
    <x v="13"/>
    <x v="13"/>
    <x v="29"/>
    <x v="29"/>
    <x v="29"/>
    <x v="5"/>
    <x v="130"/>
    <x v="157"/>
    <x v="93"/>
    <x v="96"/>
    <x v="51"/>
    <x v="148"/>
    <x v="0"/>
  </r>
  <r>
    <x v="0"/>
    <x v="13"/>
    <x v="13"/>
    <x v="33"/>
    <x v="33"/>
    <x v="33"/>
    <x v="5"/>
    <x v="130"/>
    <x v="157"/>
    <x v="85"/>
    <x v="207"/>
    <x v="39"/>
    <x v="39"/>
    <x v="0"/>
  </r>
  <r>
    <x v="0"/>
    <x v="13"/>
    <x v="13"/>
    <x v="34"/>
    <x v="34"/>
    <x v="34"/>
    <x v="5"/>
    <x v="130"/>
    <x v="157"/>
    <x v="122"/>
    <x v="202"/>
    <x v="39"/>
    <x v="39"/>
    <x v="1"/>
  </r>
  <r>
    <x v="0"/>
    <x v="13"/>
    <x v="13"/>
    <x v="37"/>
    <x v="37"/>
    <x v="37"/>
    <x v="5"/>
    <x v="130"/>
    <x v="157"/>
    <x v="85"/>
    <x v="207"/>
    <x v="39"/>
    <x v="39"/>
    <x v="0"/>
  </r>
  <r>
    <x v="0"/>
    <x v="13"/>
    <x v="13"/>
    <x v="6"/>
    <x v="6"/>
    <x v="6"/>
    <x v="5"/>
    <x v="130"/>
    <x v="157"/>
    <x v="93"/>
    <x v="96"/>
    <x v="43"/>
    <x v="146"/>
    <x v="1"/>
  </r>
  <r>
    <x v="0"/>
    <x v="13"/>
    <x v="13"/>
    <x v="7"/>
    <x v="7"/>
    <x v="7"/>
    <x v="5"/>
    <x v="130"/>
    <x v="157"/>
    <x v="85"/>
    <x v="207"/>
    <x v="39"/>
    <x v="39"/>
    <x v="0"/>
  </r>
  <r>
    <x v="0"/>
    <x v="13"/>
    <x v="13"/>
    <x v="2"/>
    <x v="2"/>
    <x v="2"/>
    <x v="5"/>
    <x v="130"/>
    <x v="157"/>
    <x v="85"/>
    <x v="207"/>
    <x v="39"/>
    <x v="39"/>
    <x v="0"/>
  </r>
  <r>
    <x v="0"/>
    <x v="13"/>
    <x v="13"/>
    <x v="43"/>
    <x v="43"/>
    <x v="43"/>
    <x v="12"/>
    <x v="132"/>
    <x v="158"/>
    <x v="120"/>
    <x v="189"/>
    <x v="51"/>
    <x v="148"/>
    <x v="0"/>
  </r>
  <r>
    <x v="0"/>
    <x v="13"/>
    <x v="13"/>
    <x v="18"/>
    <x v="18"/>
    <x v="18"/>
    <x v="12"/>
    <x v="132"/>
    <x v="158"/>
    <x v="122"/>
    <x v="202"/>
    <x v="39"/>
    <x v="39"/>
    <x v="0"/>
  </r>
  <r>
    <x v="0"/>
    <x v="13"/>
    <x v="13"/>
    <x v="28"/>
    <x v="28"/>
    <x v="28"/>
    <x v="12"/>
    <x v="132"/>
    <x v="158"/>
    <x v="93"/>
    <x v="96"/>
    <x v="43"/>
    <x v="146"/>
    <x v="0"/>
  </r>
  <r>
    <x v="0"/>
    <x v="13"/>
    <x v="13"/>
    <x v="44"/>
    <x v="44"/>
    <x v="44"/>
    <x v="12"/>
    <x v="132"/>
    <x v="158"/>
    <x v="120"/>
    <x v="189"/>
    <x v="51"/>
    <x v="148"/>
    <x v="0"/>
  </r>
  <r>
    <x v="0"/>
    <x v="13"/>
    <x v="13"/>
    <x v="45"/>
    <x v="45"/>
    <x v="45"/>
    <x v="16"/>
    <x v="133"/>
    <x v="159"/>
    <x v="120"/>
    <x v="189"/>
    <x v="43"/>
    <x v="146"/>
    <x v="0"/>
  </r>
  <r>
    <x v="0"/>
    <x v="13"/>
    <x v="13"/>
    <x v="24"/>
    <x v="24"/>
    <x v="24"/>
    <x v="16"/>
    <x v="133"/>
    <x v="159"/>
    <x v="93"/>
    <x v="96"/>
    <x v="39"/>
    <x v="39"/>
    <x v="0"/>
  </r>
  <r>
    <x v="0"/>
    <x v="13"/>
    <x v="13"/>
    <x v="46"/>
    <x v="46"/>
    <x v="46"/>
    <x v="16"/>
    <x v="133"/>
    <x v="159"/>
    <x v="93"/>
    <x v="96"/>
    <x v="39"/>
    <x v="39"/>
    <x v="0"/>
  </r>
  <r>
    <x v="0"/>
    <x v="13"/>
    <x v="13"/>
    <x v="47"/>
    <x v="47"/>
    <x v="47"/>
    <x v="16"/>
    <x v="133"/>
    <x v="159"/>
    <x v="120"/>
    <x v="189"/>
    <x v="43"/>
    <x v="146"/>
    <x v="0"/>
  </r>
  <r>
    <x v="0"/>
    <x v="13"/>
    <x v="13"/>
    <x v="48"/>
    <x v="48"/>
    <x v="48"/>
    <x v="16"/>
    <x v="133"/>
    <x v="159"/>
    <x v="120"/>
    <x v="189"/>
    <x v="43"/>
    <x v="146"/>
    <x v="0"/>
  </r>
  <r>
    <x v="0"/>
    <x v="13"/>
    <x v="13"/>
    <x v="49"/>
    <x v="49"/>
    <x v="49"/>
    <x v="16"/>
    <x v="133"/>
    <x v="159"/>
    <x v="120"/>
    <x v="189"/>
    <x v="43"/>
    <x v="146"/>
    <x v="0"/>
  </r>
  <r>
    <x v="0"/>
    <x v="13"/>
    <x v="13"/>
    <x v="50"/>
    <x v="50"/>
    <x v="50"/>
    <x v="16"/>
    <x v="133"/>
    <x v="159"/>
    <x v="93"/>
    <x v="96"/>
    <x v="39"/>
    <x v="39"/>
    <x v="0"/>
  </r>
  <r>
    <x v="0"/>
    <x v="13"/>
    <x v="13"/>
    <x v="51"/>
    <x v="51"/>
    <x v="51"/>
    <x v="16"/>
    <x v="133"/>
    <x v="159"/>
    <x v="93"/>
    <x v="96"/>
    <x v="39"/>
    <x v="39"/>
    <x v="0"/>
  </r>
  <r>
    <x v="0"/>
    <x v="13"/>
    <x v="13"/>
    <x v="52"/>
    <x v="52"/>
    <x v="52"/>
    <x v="16"/>
    <x v="133"/>
    <x v="159"/>
    <x v="120"/>
    <x v="189"/>
    <x v="43"/>
    <x v="146"/>
    <x v="0"/>
  </r>
  <r>
    <x v="0"/>
    <x v="13"/>
    <x v="13"/>
    <x v="53"/>
    <x v="53"/>
    <x v="53"/>
    <x v="16"/>
    <x v="133"/>
    <x v="159"/>
    <x v="120"/>
    <x v="189"/>
    <x v="39"/>
    <x v="39"/>
    <x v="0"/>
  </r>
  <r>
    <x v="0"/>
    <x v="13"/>
    <x v="13"/>
    <x v="54"/>
    <x v="54"/>
    <x v="54"/>
    <x v="16"/>
    <x v="133"/>
    <x v="159"/>
    <x v="120"/>
    <x v="189"/>
    <x v="39"/>
    <x v="39"/>
    <x v="0"/>
  </r>
  <r>
    <x v="0"/>
    <x v="13"/>
    <x v="13"/>
    <x v="35"/>
    <x v="35"/>
    <x v="35"/>
    <x v="16"/>
    <x v="133"/>
    <x v="159"/>
    <x v="93"/>
    <x v="96"/>
    <x v="39"/>
    <x v="39"/>
    <x v="0"/>
  </r>
  <r>
    <x v="0"/>
    <x v="13"/>
    <x v="13"/>
    <x v="55"/>
    <x v="55"/>
    <x v="55"/>
    <x v="16"/>
    <x v="133"/>
    <x v="159"/>
    <x v="93"/>
    <x v="96"/>
    <x v="39"/>
    <x v="39"/>
    <x v="0"/>
  </r>
  <r>
    <x v="0"/>
    <x v="13"/>
    <x v="13"/>
    <x v="56"/>
    <x v="56"/>
    <x v="56"/>
    <x v="16"/>
    <x v="133"/>
    <x v="159"/>
    <x v="93"/>
    <x v="96"/>
    <x v="39"/>
    <x v="39"/>
    <x v="0"/>
  </r>
  <r>
    <x v="0"/>
    <x v="13"/>
    <x v="13"/>
    <x v="57"/>
    <x v="57"/>
    <x v="57"/>
    <x v="16"/>
    <x v="133"/>
    <x v="159"/>
    <x v="93"/>
    <x v="96"/>
    <x v="39"/>
    <x v="39"/>
    <x v="0"/>
  </r>
  <r>
    <x v="0"/>
    <x v="13"/>
    <x v="13"/>
    <x v="38"/>
    <x v="38"/>
    <x v="38"/>
    <x v="16"/>
    <x v="133"/>
    <x v="159"/>
    <x v="93"/>
    <x v="96"/>
    <x v="39"/>
    <x v="39"/>
    <x v="0"/>
  </r>
  <r>
    <x v="0"/>
    <x v="13"/>
    <x v="13"/>
    <x v="58"/>
    <x v="58"/>
    <x v="58"/>
    <x v="16"/>
    <x v="133"/>
    <x v="159"/>
    <x v="93"/>
    <x v="96"/>
    <x v="39"/>
    <x v="39"/>
    <x v="0"/>
  </r>
  <r>
    <x v="0"/>
    <x v="13"/>
    <x v="13"/>
    <x v="59"/>
    <x v="59"/>
    <x v="59"/>
    <x v="16"/>
    <x v="133"/>
    <x v="159"/>
    <x v="93"/>
    <x v="96"/>
    <x v="39"/>
    <x v="39"/>
    <x v="0"/>
  </r>
  <r>
    <x v="0"/>
    <x v="13"/>
    <x v="13"/>
    <x v="11"/>
    <x v="11"/>
    <x v="11"/>
    <x v="16"/>
    <x v="133"/>
    <x v="159"/>
    <x v="120"/>
    <x v="189"/>
    <x v="43"/>
    <x v="146"/>
    <x v="0"/>
  </r>
  <r>
    <x v="0"/>
    <x v="13"/>
    <x v="13"/>
    <x v="60"/>
    <x v="60"/>
    <x v="60"/>
    <x v="16"/>
    <x v="133"/>
    <x v="159"/>
    <x v="120"/>
    <x v="189"/>
    <x v="43"/>
    <x v="146"/>
    <x v="0"/>
  </r>
  <r>
    <x v="0"/>
    <x v="13"/>
    <x v="13"/>
    <x v="27"/>
    <x v="27"/>
    <x v="27"/>
    <x v="16"/>
    <x v="133"/>
    <x v="159"/>
    <x v="93"/>
    <x v="96"/>
    <x v="39"/>
    <x v="39"/>
    <x v="0"/>
  </r>
  <r>
    <x v="0"/>
    <x v="13"/>
    <x v="13"/>
    <x v="61"/>
    <x v="61"/>
    <x v="61"/>
    <x v="16"/>
    <x v="133"/>
    <x v="159"/>
    <x v="120"/>
    <x v="189"/>
    <x v="43"/>
    <x v="146"/>
    <x v="0"/>
  </r>
  <r>
    <x v="0"/>
    <x v="13"/>
    <x v="13"/>
    <x v="62"/>
    <x v="62"/>
    <x v="62"/>
    <x v="16"/>
    <x v="133"/>
    <x v="159"/>
    <x v="120"/>
    <x v="189"/>
    <x v="43"/>
    <x v="146"/>
    <x v="0"/>
  </r>
  <r>
    <x v="0"/>
    <x v="13"/>
    <x v="13"/>
    <x v="26"/>
    <x v="26"/>
    <x v="26"/>
    <x v="16"/>
    <x v="133"/>
    <x v="159"/>
    <x v="93"/>
    <x v="96"/>
    <x v="39"/>
    <x v="39"/>
    <x v="0"/>
  </r>
  <r>
    <x v="0"/>
    <x v="13"/>
    <x v="13"/>
    <x v="4"/>
    <x v="4"/>
    <x v="4"/>
    <x v="16"/>
    <x v="133"/>
    <x v="159"/>
    <x v="120"/>
    <x v="189"/>
    <x v="43"/>
    <x v="146"/>
    <x v="0"/>
  </r>
  <r>
    <x v="0"/>
    <x v="13"/>
    <x v="13"/>
    <x v="63"/>
    <x v="63"/>
    <x v="63"/>
    <x v="16"/>
    <x v="133"/>
    <x v="159"/>
    <x v="120"/>
    <x v="189"/>
    <x v="43"/>
    <x v="146"/>
    <x v="0"/>
  </r>
  <r>
    <x v="0"/>
    <x v="14"/>
    <x v="14"/>
    <x v="31"/>
    <x v="31"/>
    <x v="31"/>
    <x v="0"/>
    <x v="125"/>
    <x v="160"/>
    <x v="54"/>
    <x v="208"/>
    <x v="39"/>
    <x v="39"/>
    <x v="0"/>
  </r>
  <r>
    <x v="0"/>
    <x v="14"/>
    <x v="14"/>
    <x v="34"/>
    <x v="34"/>
    <x v="34"/>
    <x v="1"/>
    <x v="128"/>
    <x v="161"/>
    <x v="91"/>
    <x v="209"/>
    <x v="39"/>
    <x v="39"/>
    <x v="1"/>
  </r>
  <r>
    <x v="0"/>
    <x v="14"/>
    <x v="14"/>
    <x v="15"/>
    <x v="15"/>
    <x v="15"/>
    <x v="2"/>
    <x v="130"/>
    <x v="162"/>
    <x v="93"/>
    <x v="210"/>
    <x v="51"/>
    <x v="149"/>
    <x v="0"/>
  </r>
  <r>
    <x v="0"/>
    <x v="14"/>
    <x v="14"/>
    <x v="12"/>
    <x v="12"/>
    <x v="12"/>
    <x v="3"/>
    <x v="132"/>
    <x v="156"/>
    <x v="120"/>
    <x v="189"/>
    <x v="51"/>
    <x v="149"/>
    <x v="0"/>
  </r>
  <r>
    <x v="0"/>
    <x v="14"/>
    <x v="14"/>
    <x v="64"/>
    <x v="64"/>
    <x v="64"/>
    <x v="3"/>
    <x v="132"/>
    <x v="156"/>
    <x v="122"/>
    <x v="211"/>
    <x v="39"/>
    <x v="39"/>
    <x v="0"/>
  </r>
  <r>
    <x v="0"/>
    <x v="14"/>
    <x v="14"/>
    <x v="51"/>
    <x v="51"/>
    <x v="51"/>
    <x v="3"/>
    <x v="132"/>
    <x v="156"/>
    <x v="122"/>
    <x v="211"/>
    <x v="39"/>
    <x v="39"/>
    <x v="0"/>
  </r>
  <r>
    <x v="0"/>
    <x v="14"/>
    <x v="14"/>
    <x v="9"/>
    <x v="9"/>
    <x v="9"/>
    <x v="3"/>
    <x v="132"/>
    <x v="156"/>
    <x v="93"/>
    <x v="210"/>
    <x v="39"/>
    <x v="39"/>
    <x v="1"/>
  </r>
  <r>
    <x v="0"/>
    <x v="14"/>
    <x v="14"/>
    <x v="14"/>
    <x v="14"/>
    <x v="14"/>
    <x v="3"/>
    <x v="132"/>
    <x v="156"/>
    <x v="122"/>
    <x v="211"/>
    <x v="39"/>
    <x v="39"/>
    <x v="0"/>
  </r>
  <r>
    <x v="0"/>
    <x v="14"/>
    <x v="14"/>
    <x v="65"/>
    <x v="65"/>
    <x v="65"/>
    <x v="7"/>
    <x v="133"/>
    <x v="158"/>
    <x v="93"/>
    <x v="210"/>
    <x v="39"/>
    <x v="39"/>
    <x v="0"/>
  </r>
  <r>
    <x v="0"/>
    <x v="14"/>
    <x v="14"/>
    <x v="66"/>
    <x v="66"/>
    <x v="66"/>
    <x v="7"/>
    <x v="133"/>
    <x v="158"/>
    <x v="120"/>
    <x v="189"/>
    <x v="43"/>
    <x v="145"/>
    <x v="0"/>
  </r>
  <r>
    <x v="0"/>
    <x v="14"/>
    <x v="14"/>
    <x v="67"/>
    <x v="67"/>
    <x v="67"/>
    <x v="7"/>
    <x v="133"/>
    <x v="158"/>
    <x v="93"/>
    <x v="210"/>
    <x v="39"/>
    <x v="39"/>
    <x v="0"/>
  </r>
  <r>
    <x v="0"/>
    <x v="14"/>
    <x v="14"/>
    <x v="68"/>
    <x v="68"/>
    <x v="68"/>
    <x v="7"/>
    <x v="133"/>
    <x v="158"/>
    <x v="120"/>
    <x v="189"/>
    <x v="43"/>
    <x v="145"/>
    <x v="0"/>
  </r>
  <r>
    <x v="0"/>
    <x v="14"/>
    <x v="14"/>
    <x v="33"/>
    <x v="33"/>
    <x v="33"/>
    <x v="7"/>
    <x v="133"/>
    <x v="158"/>
    <x v="93"/>
    <x v="210"/>
    <x v="39"/>
    <x v="39"/>
    <x v="0"/>
  </r>
  <r>
    <x v="0"/>
    <x v="14"/>
    <x v="14"/>
    <x v="69"/>
    <x v="69"/>
    <x v="69"/>
    <x v="7"/>
    <x v="133"/>
    <x v="158"/>
    <x v="120"/>
    <x v="189"/>
    <x v="43"/>
    <x v="145"/>
    <x v="0"/>
  </r>
  <r>
    <x v="0"/>
    <x v="14"/>
    <x v="14"/>
    <x v="5"/>
    <x v="5"/>
    <x v="5"/>
    <x v="7"/>
    <x v="133"/>
    <x v="158"/>
    <x v="93"/>
    <x v="210"/>
    <x v="39"/>
    <x v="39"/>
    <x v="0"/>
  </r>
  <r>
    <x v="0"/>
    <x v="14"/>
    <x v="14"/>
    <x v="10"/>
    <x v="10"/>
    <x v="10"/>
    <x v="7"/>
    <x v="133"/>
    <x v="158"/>
    <x v="93"/>
    <x v="210"/>
    <x v="39"/>
    <x v="39"/>
    <x v="0"/>
  </r>
  <r>
    <x v="0"/>
    <x v="14"/>
    <x v="14"/>
    <x v="38"/>
    <x v="38"/>
    <x v="38"/>
    <x v="7"/>
    <x v="133"/>
    <x v="158"/>
    <x v="120"/>
    <x v="189"/>
    <x v="43"/>
    <x v="145"/>
    <x v="0"/>
  </r>
  <r>
    <x v="0"/>
    <x v="14"/>
    <x v="14"/>
    <x v="70"/>
    <x v="70"/>
    <x v="70"/>
    <x v="7"/>
    <x v="133"/>
    <x v="158"/>
    <x v="120"/>
    <x v="189"/>
    <x v="43"/>
    <x v="145"/>
    <x v="0"/>
  </r>
  <r>
    <x v="0"/>
    <x v="14"/>
    <x v="14"/>
    <x v="71"/>
    <x v="71"/>
    <x v="71"/>
    <x v="7"/>
    <x v="133"/>
    <x v="158"/>
    <x v="120"/>
    <x v="189"/>
    <x v="43"/>
    <x v="145"/>
    <x v="0"/>
  </r>
  <r>
    <x v="0"/>
    <x v="14"/>
    <x v="14"/>
    <x v="27"/>
    <x v="27"/>
    <x v="27"/>
    <x v="7"/>
    <x v="133"/>
    <x v="158"/>
    <x v="93"/>
    <x v="210"/>
    <x v="39"/>
    <x v="39"/>
    <x v="0"/>
  </r>
  <r>
    <x v="0"/>
    <x v="14"/>
    <x v="14"/>
    <x v="6"/>
    <x v="6"/>
    <x v="6"/>
    <x v="7"/>
    <x v="133"/>
    <x v="158"/>
    <x v="93"/>
    <x v="210"/>
    <x v="39"/>
    <x v="39"/>
    <x v="0"/>
  </r>
  <r>
    <x v="0"/>
    <x v="14"/>
    <x v="14"/>
    <x v="3"/>
    <x v="3"/>
    <x v="3"/>
    <x v="7"/>
    <x v="133"/>
    <x v="158"/>
    <x v="93"/>
    <x v="210"/>
    <x v="39"/>
    <x v="39"/>
    <x v="0"/>
  </r>
  <r>
    <x v="0"/>
    <x v="14"/>
    <x v="14"/>
    <x v="72"/>
    <x v="72"/>
    <x v="72"/>
    <x v="7"/>
    <x v="133"/>
    <x v="158"/>
    <x v="120"/>
    <x v="189"/>
    <x v="43"/>
    <x v="145"/>
    <x v="0"/>
  </r>
  <r>
    <x v="0"/>
    <x v="14"/>
    <x v="14"/>
    <x v="73"/>
    <x v="73"/>
    <x v="73"/>
    <x v="7"/>
    <x v="133"/>
    <x v="158"/>
    <x v="120"/>
    <x v="189"/>
    <x v="43"/>
    <x v="145"/>
    <x v="0"/>
  </r>
  <r>
    <x v="0"/>
    <x v="14"/>
    <x v="14"/>
    <x v="26"/>
    <x v="26"/>
    <x v="26"/>
    <x v="7"/>
    <x v="133"/>
    <x v="158"/>
    <x v="120"/>
    <x v="189"/>
    <x v="43"/>
    <x v="145"/>
    <x v="0"/>
  </r>
  <r>
    <x v="0"/>
    <x v="14"/>
    <x v="14"/>
    <x v="41"/>
    <x v="41"/>
    <x v="41"/>
    <x v="7"/>
    <x v="133"/>
    <x v="158"/>
    <x v="120"/>
    <x v="189"/>
    <x v="39"/>
    <x v="39"/>
    <x v="1"/>
  </r>
  <r>
    <x v="0"/>
    <x v="14"/>
    <x v="14"/>
    <x v="74"/>
    <x v="74"/>
    <x v="74"/>
    <x v="7"/>
    <x v="133"/>
    <x v="158"/>
    <x v="120"/>
    <x v="189"/>
    <x v="39"/>
    <x v="39"/>
    <x v="0"/>
  </r>
  <r>
    <x v="0"/>
    <x v="14"/>
    <x v="14"/>
    <x v="8"/>
    <x v="8"/>
    <x v="8"/>
    <x v="7"/>
    <x v="133"/>
    <x v="158"/>
    <x v="93"/>
    <x v="210"/>
    <x v="39"/>
    <x v="39"/>
    <x v="0"/>
  </r>
  <r>
    <x v="0"/>
    <x v="15"/>
    <x v="15"/>
    <x v="31"/>
    <x v="31"/>
    <x v="31"/>
    <x v="0"/>
    <x v="85"/>
    <x v="163"/>
    <x v="77"/>
    <x v="212"/>
    <x v="39"/>
    <x v="39"/>
    <x v="0"/>
  </r>
  <r>
    <x v="0"/>
    <x v="15"/>
    <x v="15"/>
    <x v="15"/>
    <x v="15"/>
    <x v="15"/>
    <x v="1"/>
    <x v="105"/>
    <x v="164"/>
    <x v="121"/>
    <x v="213"/>
    <x v="53"/>
    <x v="150"/>
    <x v="0"/>
  </r>
  <r>
    <x v="0"/>
    <x v="15"/>
    <x v="15"/>
    <x v="28"/>
    <x v="28"/>
    <x v="28"/>
    <x v="2"/>
    <x v="120"/>
    <x v="165"/>
    <x v="79"/>
    <x v="214"/>
    <x v="41"/>
    <x v="151"/>
    <x v="0"/>
  </r>
  <r>
    <x v="0"/>
    <x v="15"/>
    <x v="15"/>
    <x v="2"/>
    <x v="2"/>
    <x v="2"/>
    <x v="2"/>
    <x v="120"/>
    <x v="165"/>
    <x v="92"/>
    <x v="215"/>
    <x v="39"/>
    <x v="39"/>
    <x v="0"/>
  </r>
  <r>
    <x v="0"/>
    <x v="15"/>
    <x v="15"/>
    <x v="0"/>
    <x v="0"/>
    <x v="0"/>
    <x v="4"/>
    <x v="134"/>
    <x v="166"/>
    <x v="62"/>
    <x v="216"/>
    <x v="43"/>
    <x v="25"/>
    <x v="0"/>
  </r>
  <r>
    <x v="0"/>
    <x v="15"/>
    <x v="15"/>
    <x v="6"/>
    <x v="6"/>
    <x v="6"/>
    <x v="4"/>
    <x v="134"/>
    <x v="166"/>
    <x v="62"/>
    <x v="216"/>
    <x v="43"/>
    <x v="25"/>
    <x v="0"/>
  </r>
  <r>
    <x v="0"/>
    <x v="15"/>
    <x v="15"/>
    <x v="5"/>
    <x v="5"/>
    <x v="5"/>
    <x v="18"/>
    <x v="123"/>
    <x v="167"/>
    <x v="55"/>
    <x v="217"/>
    <x v="43"/>
    <x v="25"/>
    <x v="0"/>
  </r>
  <r>
    <x v="0"/>
    <x v="15"/>
    <x v="15"/>
    <x v="14"/>
    <x v="14"/>
    <x v="14"/>
    <x v="18"/>
    <x v="123"/>
    <x v="167"/>
    <x v="54"/>
    <x v="218"/>
    <x v="51"/>
    <x v="152"/>
    <x v="0"/>
  </r>
  <r>
    <x v="0"/>
    <x v="15"/>
    <x v="15"/>
    <x v="27"/>
    <x v="27"/>
    <x v="27"/>
    <x v="7"/>
    <x v="125"/>
    <x v="168"/>
    <x v="56"/>
    <x v="219"/>
    <x v="43"/>
    <x v="25"/>
    <x v="0"/>
  </r>
  <r>
    <x v="0"/>
    <x v="15"/>
    <x v="15"/>
    <x v="3"/>
    <x v="3"/>
    <x v="3"/>
    <x v="7"/>
    <x v="125"/>
    <x v="168"/>
    <x v="54"/>
    <x v="218"/>
    <x v="39"/>
    <x v="39"/>
    <x v="0"/>
  </r>
  <r>
    <x v="0"/>
    <x v="15"/>
    <x v="15"/>
    <x v="1"/>
    <x v="1"/>
    <x v="1"/>
    <x v="9"/>
    <x v="126"/>
    <x v="169"/>
    <x v="56"/>
    <x v="219"/>
    <x v="39"/>
    <x v="39"/>
    <x v="0"/>
  </r>
  <r>
    <x v="0"/>
    <x v="15"/>
    <x v="15"/>
    <x v="8"/>
    <x v="8"/>
    <x v="8"/>
    <x v="9"/>
    <x v="126"/>
    <x v="169"/>
    <x v="56"/>
    <x v="219"/>
    <x v="39"/>
    <x v="39"/>
    <x v="0"/>
  </r>
  <r>
    <x v="0"/>
    <x v="15"/>
    <x v="15"/>
    <x v="12"/>
    <x v="12"/>
    <x v="12"/>
    <x v="11"/>
    <x v="127"/>
    <x v="170"/>
    <x v="120"/>
    <x v="189"/>
    <x v="30"/>
    <x v="153"/>
    <x v="0"/>
  </r>
  <r>
    <x v="0"/>
    <x v="15"/>
    <x v="15"/>
    <x v="23"/>
    <x v="23"/>
    <x v="23"/>
    <x v="12"/>
    <x v="128"/>
    <x v="44"/>
    <x v="76"/>
    <x v="48"/>
    <x v="39"/>
    <x v="39"/>
    <x v="0"/>
  </r>
  <r>
    <x v="0"/>
    <x v="15"/>
    <x v="15"/>
    <x v="7"/>
    <x v="7"/>
    <x v="7"/>
    <x v="12"/>
    <x v="128"/>
    <x v="44"/>
    <x v="76"/>
    <x v="48"/>
    <x v="39"/>
    <x v="39"/>
    <x v="0"/>
  </r>
  <r>
    <x v="0"/>
    <x v="15"/>
    <x v="15"/>
    <x v="42"/>
    <x v="42"/>
    <x v="42"/>
    <x v="12"/>
    <x v="128"/>
    <x v="44"/>
    <x v="120"/>
    <x v="189"/>
    <x v="39"/>
    <x v="39"/>
    <x v="2"/>
  </r>
  <r>
    <x v="0"/>
    <x v="15"/>
    <x v="15"/>
    <x v="75"/>
    <x v="75"/>
    <x v="75"/>
    <x v="15"/>
    <x v="129"/>
    <x v="15"/>
    <x v="120"/>
    <x v="189"/>
    <x v="41"/>
    <x v="151"/>
    <x v="0"/>
  </r>
  <r>
    <x v="0"/>
    <x v="15"/>
    <x v="15"/>
    <x v="76"/>
    <x v="76"/>
    <x v="76"/>
    <x v="15"/>
    <x v="129"/>
    <x v="15"/>
    <x v="85"/>
    <x v="220"/>
    <x v="43"/>
    <x v="25"/>
    <x v="0"/>
  </r>
  <r>
    <x v="0"/>
    <x v="15"/>
    <x v="15"/>
    <x v="34"/>
    <x v="34"/>
    <x v="34"/>
    <x v="15"/>
    <x v="129"/>
    <x v="15"/>
    <x v="91"/>
    <x v="221"/>
    <x v="39"/>
    <x v="39"/>
    <x v="0"/>
  </r>
  <r>
    <x v="0"/>
    <x v="15"/>
    <x v="15"/>
    <x v="10"/>
    <x v="10"/>
    <x v="10"/>
    <x v="15"/>
    <x v="129"/>
    <x v="15"/>
    <x v="85"/>
    <x v="220"/>
    <x v="43"/>
    <x v="25"/>
    <x v="0"/>
  </r>
  <r>
    <x v="0"/>
    <x v="15"/>
    <x v="15"/>
    <x v="26"/>
    <x v="26"/>
    <x v="26"/>
    <x v="15"/>
    <x v="129"/>
    <x v="15"/>
    <x v="85"/>
    <x v="220"/>
    <x v="43"/>
    <x v="25"/>
    <x v="0"/>
  </r>
  <r>
    <x v="0"/>
    <x v="15"/>
    <x v="15"/>
    <x v="16"/>
    <x v="16"/>
    <x v="16"/>
    <x v="15"/>
    <x v="129"/>
    <x v="15"/>
    <x v="91"/>
    <x v="221"/>
    <x v="39"/>
    <x v="39"/>
    <x v="0"/>
  </r>
  <r>
    <x v="0"/>
    <x v="15"/>
    <x v="15"/>
    <x v="4"/>
    <x v="4"/>
    <x v="4"/>
    <x v="15"/>
    <x v="129"/>
    <x v="15"/>
    <x v="91"/>
    <x v="221"/>
    <x v="39"/>
    <x v="39"/>
    <x v="0"/>
  </r>
  <r>
    <x v="0"/>
    <x v="16"/>
    <x v="16"/>
    <x v="6"/>
    <x v="6"/>
    <x v="6"/>
    <x v="0"/>
    <x v="63"/>
    <x v="171"/>
    <x v="74"/>
    <x v="41"/>
    <x v="53"/>
    <x v="154"/>
    <x v="0"/>
  </r>
  <r>
    <x v="0"/>
    <x v="16"/>
    <x v="16"/>
    <x v="14"/>
    <x v="14"/>
    <x v="14"/>
    <x v="1"/>
    <x v="118"/>
    <x v="172"/>
    <x v="50"/>
    <x v="222"/>
    <x v="39"/>
    <x v="39"/>
    <x v="0"/>
  </r>
  <r>
    <x v="0"/>
    <x v="16"/>
    <x v="16"/>
    <x v="1"/>
    <x v="1"/>
    <x v="1"/>
    <x v="2"/>
    <x v="52"/>
    <x v="173"/>
    <x v="84"/>
    <x v="223"/>
    <x v="39"/>
    <x v="39"/>
    <x v="1"/>
  </r>
  <r>
    <x v="0"/>
    <x v="16"/>
    <x v="16"/>
    <x v="15"/>
    <x v="15"/>
    <x v="15"/>
    <x v="3"/>
    <x v="104"/>
    <x v="174"/>
    <x v="77"/>
    <x v="213"/>
    <x v="48"/>
    <x v="155"/>
    <x v="0"/>
  </r>
  <r>
    <x v="0"/>
    <x v="16"/>
    <x v="16"/>
    <x v="2"/>
    <x v="2"/>
    <x v="2"/>
    <x v="4"/>
    <x v="83"/>
    <x v="175"/>
    <x v="119"/>
    <x v="224"/>
    <x v="39"/>
    <x v="39"/>
    <x v="0"/>
  </r>
  <r>
    <x v="0"/>
    <x v="16"/>
    <x v="16"/>
    <x v="5"/>
    <x v="5"/>
    <x v="5"/>
    <x v="5"/>
    <x v="89"/>
    <x v="176"/>
    <x v="104"/>
    <x v="225"/>
    <x v="39"/>
    <x v="39"/>
    <x v="0"/>
  </r>
  <r>
    <x v="0"/>
    <x v="16"/>
    <x v="16"/>
    <x v="9"/>
    <x v="9"/>
    <x v="9"/>
    <x v="18"/>
    <x v="121"/>
    <x v="124"/>
    <x v="112"/>
    <x v="226"/>
    <x v="51"/>
    <x v="156"/>
    <x v="0"/>
  </r>
  <r>
    <x v="0"/>
    <x v="16"/>
    <x v="16"/>
    <x v="3"/>
    <x v="3"/>
    <x v="3"/>
    <x v="18"/>
    <x v="121"/>
    <x v="124"/>
    <x v="53"/>
    <x v="185"/>
    <x v="43"/>
    <x v="157"/>
    <x v="0"/>
  </r>
  <r>
    <x v="0"/>
    <x v="16"/>
    <x v="16"/>
    <x v="34"/>
    <x v="34"/>
    <x v="34"/>
    <x v="7"/>
    <x v="122"/>
    <x v="23"/>
    <x v="53"/>
    <x v="185"/>
    <x v="39"/>
    <x v="39"/>
    <x v="0"/>
  </r>
  <r>
    <x v="0"/>
    <x v="16"/>
    <x v="16"/>
    <x v="0"/>
    <x v="0"/>
    <x v="0"/>
    <x v="8"/>
    <x v="135"/>
    <x v="177"/>
    <x v="54"/>
    <x v="227"/>
    <x v="48"/>
    <x v="155"/>
    <x v="0"/>
  </r>
  <r>
    <x v="0"/>
    <x v="16"/>
    <x v="16"/>
    <x v="27"/>
    <x v="27"/>
    <x v="27"/>
    <x v="8"/>
    <x v="135"/>
    <x v="177"/>
    <x v="112"/>
    <x v="226"/>
    <x v="39"/>
    <x v="39"/>
    <x v="0"/>
  </r>
  <r>
    <x v="0"/>
    <x v="16"/>
    <x v="16"/>
    <x v="7"/>
    <x v="7"/>
    <x v="7"/>
    <x v="10"/>
    <x v="131"/>
    <x v="178"/>
    <x v="79"/>
    <x v="91"/>
    <x v="39"/>
    <x v="39"/>
    <x v="0"/>
  </r>
  <r>
    <x v="0"/>
    <x v="16"/>
    <x v="16"/>
    <x v="4"/>
    <x v="4"/>
    <x v="4"/>
    <x v="11"/>
    <x v="134"/>
    <x v="179"/>
    <x v="121"/>
    <x v="76"/>
    <x v="39"/>
    <x v="39"/>
    <x v="0"/>
  </r>
  <r>
    <x v="0"/>
    <x v="16"/>
    <x v="16"/>
    <x v="77"/>
    <x v="77"/>
    <x v="77"/>
    <x v="12"/>
    <x v="123"/>
    <x v="105"/>
    <x v="62"/>
    <x v="170"/>
    <x v="39"/>
    <x v="39"/>
    <x v="0"/>
  </r>
  <r>
    <x v="0"/>
    <x v="16"/>
    <x v="16"/>
    <x v="46"/>
    <x v="46"/>
    <x v="46"/>
    <x v="13"/>
    <x v="124"/>
    <x v="180"/>
    <x v="86"/>
    <x v="160"/>
    <x v="40"/>
    <x v="152"/>
    <x v="0"/>
  </r>
  <r>
    <x v="0"/>
    <x v="16"/>
    <x v="16"/>
    <x v="31"/>
    <x v="31"/>
    <x v="31"/>
    <x v="13"/>
    <x v="124"/>
    <x v="180"/>
    <x v="55"/>
    <x v="228"/>
    <x v="39"/>
    <x v="39"/>
    <x v="0"/>
  </r>
  <r>
    <x v="0"/>
    <x v="16"/>
    <x v="16"/>
    <x v="26"/>
    <x v="26"/>
    <x v="26"/>
    <x v="15"/>
    <x v="125"/>
    <x v="93"/>
    <x v="91"/>
    <x v="229"/>
    <x v="41"/>
    <x v="158"/>
    <x v="0"/>
  </r>
  <r>
    <x v="0"/>
    <x v="16"/>
    <x v="16"/>
    <x v="23"/>
    <x v="23"/>
    <x v="23"/>
    <x v="16"/>
    <x v="126"/>
    <x v="94"/>
    <x v="56"/>
    <x v="230"/>
    <x v="39"/>
    <x v="39"/>
    <x v="0"/>
  </r>
  <r>
    <x v="0"/>
    <x v="16"/>
    <x v="16"/>
    <x v="18"/>
    <x v="18"/>
    <x v="18"/>
    <x v="16"/>
    <x v="126"/>
    <x v="94"/>
    <x v="91"/>
    <x v="229"/>
    <x v="40"/>
    <x v="152"/>
    <x v="0"/>
  </r>
  <r>
    <x v="0"/>
    <x v="16"/>
    <x v="16"/>
    <x v="28"/>
    <x v="28"/>
    <x v="28"/>
    <x v="16"/>
    <x v="126"/>
    <x v="94"/>
    <x v="76"/>
    <x v="231"/>
    <x v="51"/>
    <x v="156"/>
    <x v="0"/>
  </r>
  <r>
    <x v="0"/>
    <x v="16"/>
    <x v="16"/>
    <x v="78"/>
    <x v="78"/>
    <x v="78"/>
    <x v="16"/>
    <x v="126"/>
    <x v="94"/>
    <x v="76"/>
    <x v="231"/>
    <x v="51"/>
    <x v="156"/>
    <x v="0"/>
  </r>
  <r>
    <x v="0"/>
    <x v="17"/>
    <x v="17"/>
    <x v="26"/>
    <x v="26"/>
    <x v="26"/>
    <x v="0"/>
    <x v="106"/>
    <x v="181"/>
    <x v="86"/>
    <x v="232"/>
    <x v="55"/>
    <x v="159"/>
    <x v="0"/>
  </r>
  <r>
    <x v="0"/>
    <x v="17"/>
    <x v="17"/>
    <x v="0"/>
    <x v="0"/>
    <x v="0"/>
    <x v="1"/>
    <x v="131"/>
    <x v="182"/>
    <x v="54"/>
    <x v="233"/>
    <x v="41"/>
    <x v="160"/>
    <x v="0"/>
  </r>
  <r>
    <x v="0"/>
    <x v="17"/>
    <x v="17"/>
    <x v="12"/>
    <x v="12"/>
    <x v="12"/>
    <x v="2"/>
    <x v="134"/>
    <x v="183"/>
    <x v="120"/>
    <x v="189"/>
    <x v="55"/>
    <x v="159"/>
    <x v="0"/>
  </r>
  <r>
    <x v="0"/>
    <x v="17"/>
    <x v="17"/>
    <x v="31"/>
    <x v="31"/>
    <x v="31"/>
    <x v="2"/>
    <x v="134"/>
    <x v="183"/>
    <x v="121"/>
    <x v="234"/>
    <x v="39"/>
    <x v="39"/>
    <x v="0"/>
  </r>
  <r>
    <x v="0"/>
    <x v="17"/>
    <x v="17"/>
    <x v="15"/>
    <x v="15"/>
    <x v="15"/>
    <x v="4"/>
    <x v="123"/>
    <x v="184"/>
    <x v="76"/>
    <x v="235"/>
    <x v="48"/>
    <x v="161"/>
    <x v="0"/>
  </r>
  <r>
    <x v="0"/>
    <x v="17"/>
    <x v="17"/>
    <x v="5"/>
    <x v="5"/>
    <x v="5"/>
    <x v="5"/>
    <x v="125"/>
    <x v="185"/>
    <x v="76"/>
    <x v="235"/>
    <x v="40"/>
    <x v="162"/>
    <x v="0"/>
  </r>
  <r>
    <x v="0"/>
    <x v="17"/>
    <x v="17"/>
    <x v="9"/>
    <x v="9"/>
    <x v="9"/>
    <x v="18"/>
    <x v="127"/>
    <x v="186"/>
    <x v="122"/>
    <x v="177"/>
    <x v="41"/>
    <x v="160"/>
    <x v="0"/>
  </r>
  <r>
    <x v="0"/>
    <x v="17"/>
    <x v="17"/>
    <x v="6"/>
    <x v="6"/>
    <x v="6"/>
    <x v="18"/>
    <x v="127"/>
    <x v="186"/>
    <x v="91"/>
    <x v="120"/>
    <x v="51"/>
    <x v="163"/>
    <x v="0"/>
  </r>
  <r>
    <x v="0"/>
    <x v="17"/>
    <x v="17"/>
    <x v="4"/>
    <x v="4"/>
    <x v="4"/>
    <x v="18"/>
    <x v="127"/>
    <x v="186"/>
    <x v="76"/>
    <x v="235"/>
    <x v="43"/>
    <x v="132"/>
    <x v="0"/>
  </r>
  <r>
    <x v="0"/>
    <x v="17"/>
    <x v="17"/>
    <x v="34"/>
    <x v="34"/>
    <x v="34"/>
    <x v="8"/>
    <x v="128"/>
    <x v="187"/>
    <x v="76"/>
    <x v="235"/>
    <x v="39"/>
    <x v="39"/>
    <x v="0"/>
  </r>
  <r>
    <x v="0"/>
    <x v="17"/>
    <x v="17"/>
    <x v="2"/>
    <x v="2"/>
    <x v="2"/>
    <x v="8"/>
    <x v="128"/>
    <x v="187"/>
    <x v="76"/>
    <x v="235"/>
    <x v="39"/>
    <x v="39"/>
    <x v="0"/>
  </r>
  <r>
    <x v="0"/>
    <x v="17"/>
    <x v="17"/>
    <x v="72"/>
    <x v="72"/>
    <x v="72"/>
    <x v="8"/>
    <x v="128"/>
    <x v="187"/>
    <x v="85"/>
    <x v="236"/>
    <x v="51"/>
    <x v="163"/>
    <x v="0"/>
  </r>
  <r>
    <x v="0"/>
    <x v="17"/>
    <x v="17"/>
    <x v="24"/>
    <x v="24"/>
    <x v="24"/>
    <x v="11"/>
    <x v="129"/>
    <x v="82"/>
    <x v="120"/>
    <x v="189"/>
    <x v="41"/>
    <x v="160"/>
    <x v="0"/>
  </r>
  <r>
    <x v="0"/>
    <x v="17"/>
    <x v="17"/>
    <x v="40"/>
    <x v="40"/>
    <x v="40"/>
    <x v="11"/>
    <x v="129"/>
    <x v="82"/>
    <x v="91"/>
    <x v="120"/>
    <x v="39"/>
    <x v="39"/>
    <x v="0"/>
  </r>
  <r>
    <x v="0"/>
    <x v="17"/>
    <x v="17"/>
    <x v="36"/>
    <x v="36"/>
    <x v="36"/>
    <x v="11"/>
    <x v="129"/>
    <x v="82"/>
    <x v="91"/>
    <x v="120"/>
    <x v="39"/>
    <x v="39"/>
    <x v="0"/>
  </r>
  <r>
    <x v="0"/>
    <x v="17"/>
    <x v="17"/>
    <x v="8"/>
    <x v="8"/>
    <x v="8"/>
    <x v="11"/>
    <x v="129"/>
    <x v="82"/>
    <x v="91"/>
    <x v="120"/>
    <x v="39"/>
    <x v="39"/>
    <x v="0"/>
  </r>
  <r>
    <x v="0"/>
    <x v="17"/>
    <x v="17"/>
    <x v="20"/>
    <x v="20"/>
    <x v="20"/>
    <x v="15"/>
    <x v="130"/>
    <x v="11"/>
    <x v="120"/>
    <x v="189"/>
    <x v="40"/>
    <x v="162"/>
    <x v="0"/>
  </r>
  <r>
    <x v="0"/>
    <x v="17"/>
    <x v="17"/>
    <x v="7"/>
    <x v="7"/>
    <x v="7"/>
    <x v="15"/>
    <x v="130"/>
    <x v="11"/>
    <x v="85"/>
    <x v="236"/>
    <x v="39"/>
    <x v="39"/>
    <x v="0"/>
  </r>
  <r>
    <x v="0"/>
    <x v="17"/>
    <x v="17"/>
    <x v="75"/>
    <x v="75"/>
    <x v="75"/>
    <x v="17"/>
    <x v="132"/>
    <x v="188"/>
    <x v="120"/>
    <x v="189"/>
    <x v="51"/>
    <x v="163"/>
    <x v="0"/>
  </r>
  <r>
    <x v="0"/>
    <x v="17"/>
    <x v="17"/>
    <x v="46"/>
    <x v="46"/>
    <x v="46"/>
    <x v="17"/>
    <x v="132"/>
    <x v="188"/>
    <x v="122"/>
    <x v="177"/>
    <x v="39"/>
    <x v="39"/>
    <x v="0"/>
  </r>
  <r>
    <x v="0"/>
    <x v="17"/>
    <x v="17"/>
    <x v="79"/>
    <x v="79"/>
    <x v="79"/>
    <x v="17"/>
    <x v="132"/>
    <x v="188"/>
    <x v="93"/>
    <x v="193"/>
    <x v="43"/>
    <x v="132"/>
    <x v="0"/>
  </r>
  <r>
    <x v="0"/>
    <x v="17"/>
    <x v="17"/>
    <x v="80"/>
    <x v="80"/>
    <x v="80"/>
    <x v="17"/>
    <x v="132"/>
    <x v="188"/>
    <x v="122"/>
    <x v="177"/>
    <x v="39"/>
    <x v="39"/>
    <x v="0"/>
  </r>
  <r>
    <x v="0"/>
    <x v="17"/>
    <x v="17"/>
    <x v="22"/>
    <x v="22"/>
    <x v="22"/>
    <x v="17"/>
    <x v="132"/>
    <x v="188"/>
    <x v="93"/>
    <x v="193"/>
    <x v="43"/>
    <x v="132"/>
    <x v="0"/>
  </r>
  <r>
    <x v="0"/>
    <x v="17"/>
    <x v="17"/>
    <x v="55"/>
    <x v="55"/>
    <x v="55"/>
    <x v="17"/>
    <x v="132"/>
    <x v="188"/>
    <x v="122"/>
    <x v="177"/>
    <x v="39"/>
    <x v="39"/>
    <x v="0"/>
  </r>
  <r>
    <x v="0"/>
    <x v="17"/>
    <x v="17"/>
    <x v="23"/>
    <x v="23"/>
    <x v="23"/>
    <x v="17"/>
    <x v="132"/>
    <x v="188"/>
    <x v="93"/>
    <x v="193"/>
    <x v="43"/>
    <x v="132"/>
    <x v="0"/>
  </r>
  <r>
    <x v="0"/>
    <x v="17"/>
    <x v="17"/>
    <x v="37"/>
    <x v="37"/>
    <x v="37"/>
    <x v="17"/>
    <x v="132"/>
    <x v="188"/>
    <x v="122"/>
    <x v="177"/>
    <x v="39"/>
    <x v="39"/>
    <x v="0"/>
  </r>
  <r>
    <x v="0"/>
    <x v="17"/>
    <x v="17"/>
    <x v="18"/>
    <x v="18"/>
    <x v="18"/>
    <x v="17"/>
    <x v="132"/>
    <x v="188"/>
    <x v="93"/>
    <x v="193"/>
    <x v="43"/>
    <x v="132"/>
    <x v="0"/>
  </r>
  <r>
    <x v="0"/>
    <x v="17"/>
    <x v="17"/>
    <x v="38"/>
    <x v="38"/>
    <x v="38"/>
    <x v="17"/>
    <x v="132"/>
    <x v="188"/>
    <x v="120"/>
    <x v="189"/>
    <x v="51"/>
    <x v="163"/>
    <x v="0"/>
  </r>
  <r>
    <x v="0"/>
    <x v="17"/>
    <x v="17"/>
    <x v="19"/>
    <x v="19"/>
    <x v="19"/>
    <x v="17"/>
    <x v="132"/>
    <x v="188"/>
    <x v="120"/>
    <x v="189"/>
    <x v="51"/>
    <x v="163"/>
    <x v="0"/>
  </r>
  <r>
    <x v="0"/>
    <x v="17"/>
    <x v="17"/>
    <x v="27"/>
    <x v="27"/>
    <x v="27"/>
    <x v="17"/>
    <x v="132"/>
    <x v="188"/>
    <x v="122"/>
    <x v="177"/>
    <x v="39"/>
    <x v="39"/>
    <x v="0"/>
  </r>
  <r>
    <x v="0"/>
    <x v="17"/>
    <x v="17"/>
    <x v="78"/>
    <x v="78"/>
    <x v="78"/>
    <x v="17"/>
    <x v="132"/>
    <x v="188"/>
    <x v="122"/>
    <x v="177"/>
    <x v="39"/>
    <x v="39"/>
    <x v="0"/>
  </r>
  <r>
    <x v="0"/>
    <x v="17"/>
    <x v="17"/>
    <x v="3"/>
    <x v="3"/>
    <x v="3"/>
    <x v="17"/>
    <x v="132"/>
    <x v="188"/>
    <x v="122"/>
    <x v="177"/>
    <x v="39"/>
    <x v="39"/>
    <x v="0"/>
  </r>
  <r>
    <x v="0"/>
    <x v="17"/>
    <x v="17"/>
    <x v="13"/>
    <x v="13"/>
    <x v="13"/>
    <x v="17"/>
    <x v="132"/>
    <x v="188"/>
    <x v="122"/>
    <x v="177"/>
    <x v="39"/>
    <x v="39"/>
    <x v="0"/>
  </r>
  <r>
    <x v="0"/>
    <x v="17"/>
    <x v="17"/>
    <x v="81"/>
    <x v="81"/>
    <x v="81"/>
    <x v="17"/>
    <x v="132"/>
    <x v="188"/>
    <x v="120"/>
    <x v="189"/>
    <x v="43"/>
    <x v="132"/>
    <x v="0"/>
  </r>
  <r>
    <x v="0"/>
    <x v="17"/>
    <x v="17"/>
    <x v="82"/>
    <x v="82"/>
    <x v="82"/>
    <x v="17"/>
    <x v="132"/>
    <x v="188"/>
    <x v="93"/>
    <x v="193"/>
    <x v="43"/>
    <x v="132"/>
    <x v="0"/>
  </r>
  <r>
    <x v="0"/>
    <x v="18"/>
    <x v="18"/>
    <x v="0"/>
    <x v="0"/>
    <x v="0"/>
    <x v="0"/>
    <x v="123"/>
    <x v="189"/>
    <x v="55"/>
    <x v="237"/>
    <x v="43"/>
    <x v="164"/>
    <x v="0"/>
  </r>
  <r>
    <x v="0"/>
    <x v="18"/>
    <x v="18"/>
    <x v="12"/>
    <x v="12"/>
    <x v="12"/>
    <x v="1"/>
    <x v="125"/>
    <x v="190"/>
    <x v="93"/>
    <x v="238"/>
    <x v="53"/>
    <x v="165"/>
    <x v="0"/>
  </r>
  <r>
    <x v="0"/>
    <x v="18"/>
    <x v="18"/>
    <x v="3"/>
    <x v="3"/>
    <x v="3"/>
    <x v="2"/>
    <x v="126"/>
    <x v="191"/>
    <x v="56"/>
    <x v="196"/>
    <x v="39"/>
    <x v="39"/>
    <x v="0"/>
  </r>
  <r>
    <x v="0"/>
    <x v="18"/>
    <x v="18"/>
    <x v="25"/>
    <x v="25"/>
    <x v="25"/>
    <x v="3"/>
    <x v="127"/>
    <x v="123"/>
    <x v="76"/>
    <x v="239"/>
    <x v="43"/>
    <x v="164"/>
    <x v="0"/>
  </r>
  <r>
    <x v="0"/>
    <x v="18"/>
    <x v="18"/>
    <x v="2"/>
    <x v="2"/>
    <x v="2"/>
    <x v="3"/>
    <x v="127"/>
    <x v="123"/>
    <x v="86"/>
    <x v="240"/>
    <x v="39"/>
    <x v="39"/>
    <x v="0"/>
  </r>
  <r>
    <x v="0"/>
    <x v="18"/>
    <x v="18"/>
    <x v="73"/>
    <x v="73"/>
    <x v="73"/>
    <x v="3"/>
    <x v="127"/>
    <x v="123"/>
    <x v="120"/>
    <x v="189"/>
    <x v="39"/>
    <x v="39"/>
    <x v="1"/>
  </r>
  <r>
    <x v="0"/>
    <x v="18"/>
    <x v="18"/>
    <x v="4"/>
    <x v="4"/>
    <x v="4"/>
    <x v="3"/>
    <x v="127"/>
    <x v="123"/>
    <x v="86"/>
    <x v="240"/>
    <x v="39"/>
    <x v="39"/>
    <x v="0"/>
  </r>
  <r>
    <x v="0"/>
    <x v="18"/>
    <x v="18"/>
    <x v="80"/>
    <x v="80"/>
    <x v="80"/>
    <x v="6"/>
    <x v="129"/>
    <x v="103"/>
    <x v="91"/>
    <x v="241"/>
    <x v="39"/>
    <x v="39"/>
    <x v="0"/>
  </r>
  <r>
    <x v="0"/>
    <x v="18"/>
    <x v="18"/>
    <x v="5"/>
    <x v="5"/>
    <x v="5"/>
    <x v="6"/>
    <x v="129"/>
    <x v="103"/>
    <x v="91"/>
    <x v="241"/>
    <x v="39"/>
    <x v="39"/>
    <x v="0"/>
  </r>
  <r>
    <x v="0"/>
    <x v="18"/>
    <x v="18"/>
    <x v="31"/>
    <x v="31"/>
    <x v="31"/>
    <x v="6"/>
    <x v="129"/>
    <x v="103"/>
    <x v="91"/>
    <x v="241"/>
    <x v="39"/>
    <x v="39"/>
    <x v="0"/>
  </r>
  <r>
    <x v="0"/>
    <x v="18"/>
    <x v="18"/>
    <x v="26"/>
    <x v="26"/>
    <x v="26"/>
    <x v="6"/>
    <x v="129"/>
    <x v="103"/>
    <x v="91"/>
    <x v="241"/>
    <x v="39"/>
    <x v="39"/>
    <x v="0"/>
  </r>
  <r>
    <x v="0"/>
    <x v="18"/>
    <x v="18"/>
    <x v="30"/>
    <x v="30"/>
    <x v="30"/>
    <x v="6"/>
    <x v="129"/>
    <x v="103"/>
    <x v="93"/>
    <x v="238"/>
    <x v="51"/>
    <x v="166"/>
    <x v="0"/>
  </r>
  <r>
    <x v="0"/>
    <x v="18"/>
    <x v="18"/>
    <x v="34"/>
    <x v="34"/>
    <x v="34"/>
    <x v="11"/>
    <x v="130"/>
    <x v="192"/>
    <x v="85"/>
    <x v="122"/>
    <x v="39"/>
    <x v="39"/>
    <x v="0"/>
  </r>
  <r>
    <x v="0"/>
    <x v="18"/>
    <x v="18"/>
    <x v="32"/>
    <x v="32"/>
    <x v="32"/>
    <x v="11"/>
    <x v="130"/>
    <x v="192"/>
    <x v="85"/>
    <x v="122"/>
    <x v="39"/>
    <x v="39"/>
    <x v="0"/>
  </r>
  <r>
    <x v="0"/>
    <x v="18"/>
    <x v="18"/>
    <x v="15"/>
    <x v="15"/>
    <x v="15"/>
    <x v="11"/>
    <x v="130"/>
    <x v="192"/>
    <x v="122"/>
    <x v="242"/>
    <x v="43"/>
    <x v="164"/>
    <x v="0"/>
  </r>
  <r>
    <x v="0"/>
    <x v="18"/>
    <x v="18"/>
    <x v="61"/>
    <x v="61"/>
    <x v="61"/>
    <x v="11"/>
    <x v="130"/>
    <x v="192"/>
    <x v="122"/>
    <x v="242"/>
    <x v="43"/>
    <x v="164"/>
    <x v="0"/>
  </r>
  <r>
    <x v="0"/>
    <x v="18"/>
    <x v="18"/>
    <x v="7"/>
    <x v="7"/>
    <x v="7"/>
    <x v="11"/>
    <x v="130"/>
    <x v="192"/>
    <x v="85"/>
    <x v="122"/>
    <x v="39"/>
    <x v="39"/>
    <x v="0"/>
  </r>
  <r>
    <x v="0"/>
    <x v="18"/>
    <x v="18"/>
    <x v="72"/>
    <x v="72"/>
    <x v="72"/>
    <x v="11"/>
    <x v="130"/>
    <x v="192"/>
    <x v="122"/>
    <x v="242"/>
    <x v="39"/>
    <x v="39"/>
    <x v="1"/>
  </r>
  <r>
    <x v="0"/>
    <x v="18"/>
    <x v="18"/>
    <x v="8"/>
    <x v="8"/>
    <x v="8"/>
    <x v="11"/>
    <x v="130"/>
    <x v="192"/>
    <x v="122"/>
    <x v="242"/>
    <x v="43"/>
    <x v="164"/>
    <x v="0"/>
  </r>
  <r>
    <x v="0"/>
    <x v="18"/>
    <x v="18"/>
    <x v="24"/>
    <x v="24"/>
    <x v="24"/>
    <x v="19"/>
    <x v="132"/>
    <x v="193"/>
    <x v="93"/>
    <x v="238"/>
    <x v="43"/>
    <x v="164"/>
    <x v="0"/>
  </r>
  <r>
    <x v="0"/>
    <x v="18"/>
    <x v="18"/>
    <x v="33"/>
    <x v="33"/>
    <x v="33"/>
    <x v="19"/>
    <x v="132"/>
    <x v="193"/>
    <x v="93"/>
    <x v="238"/>
    <x v="43"/>
    <x v="164"/>
    <x v="0"/>
  </r>
  <r>
    <x v="0"/>
    <x v="18"/>
    <x v="18"/>
    <x v="23"/>
    <x v="23"/>
    <x v="23"/>
    <x v="19"/>
    <x v="132"/>
    <x v="193"/>
    <x v="122"/>
    <x v="242"/>
    <x v="39"/>
    <x v="39"/>
    <x v="0"/>
  </r>
  <r>
    <x v="0"/>
    <x v="18"/>
    <x v="18"/>
    <x v="56"/>
    <x v="56"/>
    <x v="56"/>
    <x v="19"/>
    <x v="132"/>
    <x v="193"/>
    <x v="122"/>
    <x v="242"/>
    <x v="39"/>
    <x v="39"/>
    <x v="0"/>
  </r>
  <r>
    <x v="0"/>
    <x v="18"/>
    <x v="18"/>
    <x v="83"/>
    <x v="83"/>
    <x v="83"/>
    <x v="19"/>
    <x v="132"/>
    <x v="193"/>
    <x v="93"/>
    <x v="238"/>
    <x v="43"/>
    <x v="164"/>
    <x v="0"/>
  </r>
  <r>
    <x v="0"/>
    <x v="18"/>
    <x v="18"/>
    <x v="27"/>
    <x v="27"/>
    <x v="27"/>
    <x v="19"/>
    <x v="132"/>
    <x v="193"/>
    <x v="122"/>
    <x v="242"/>
    <x v="39"/>
    <x v="39"/>
    <x v="0"/>
  </r>
  <r>
    <x v="0"/>
    <x v="18"/>
    <x v="18"/>
    <x v="1"/>
    <x v="1"/>
    <x v="1"/>
    <x v="19"/>
    <x v="132"/>
    <x v="193"/>
    <x v="122"/>
    <x v="242"/>
    <x v="39"/>
    <x v="39"/>
    <x v="0"/>
  </r>
  <r>
    <x v="0"/>
    <x v="18"/>
    <x v="18"/>
    <x v="84"/>
    <x v="84"/>
    <x v="84"/>
    <x v="19"/>
    <x v="132"/>
    <x v="193"/>
    <x v="122"/>
    <x v="242"/>
    <x v="39"/>
    <x v="39"/>
    <x v="0"/>
  </r>
  <r>
    <x v="0"/>
    <x v="18"/>
    <x v="18"/>
    <x v="74"/>
    <x v="74"/>
    <x v="74"/>
    <x v="19"/>
    <x v="132"/>
    <x v="193"/>
    <x v="120"/>
    <x v="189"/>
    <x v="51"/>
    <x v="166"/>
    <x v="0"/>
  </r>
  <r>
    <x v="0"/>
    <x v="18"/>
    <x v="18"/>
    <x v="44"/>
    <x v="44"/>
    <x v="44"/>
    <x v="19"/>
    <x v="132"/>
    <x v="193"/>
    <x v="120"/>
    <x v="189"/>
    <x v="51"/>
    <x v="166"/>
    <x v="0"/>
  </r>
  <r>
    <x v="0"/>
    <x v="18"/>
    <x v="18"/>
    <x v="81"/>
    <x v="81"/>
    <x v="81"/>
    <x v="19"/>
    <x v="132"/>
    <x v="193"/>
    <x v="120"/>
    <x v="189"/>
    <x v="43"/>
    <x v="164"/>
    <x v="0"/>
  </r>
  <r>
    <x v="0"/>
    <x v="19"/>
    <x v="19"/>
    <x v="1"/>
    <x v="1"/>
    <x v="1"/>
    <x v="0"/>
    <x v="81"/>
    <x v="194"/>
    <x v="117"/>
    <x v="243"/>
    <x v="39"/>
    <x v="39"/>
    <x v="0"/>
  </r>
  <r>
    <x v="0"/>
    <x v="19"/>
    <x v="19"/>
    <x v="0"/>
    <x v="0"/>
    <x v="0"/>
    <x v="1"/>
    <x v="63"/>
    <x v="195"/>
    <x v="65"/>
    <x v="244"/>
    <x v="30"/>
    <x v="167"/>
    <x v="0"/>
  </r>
  <r>
    <x v="0"/>
    <x v="19"/>
    <x v="19"/>
    <x v="27"/>
    <x v="27"/>
    <x v="27"/>
    <x v="2"/>
    <x v="123"/>
    <x v="196"/>
    <x v="55"/>
    <x v="245"/>
    <x v="43"/>
    <x v="168"/>
    <x v="0"/>
  </r>
  <r>
    <x v="0"/>
    <x v="19"/>
    <x v="19"/>
    <x v="6"/>
    <x v="6"/>
    <x v="6"/>
    <x v="2"/>
    <x v="123"/>
    <x v="196"/>
    <x v="62"/>
    <x v="246"/>
    <x v="39"/>
    <x v="39"/>
    <x v="0"/>
  </r>
  <r>
    <x v="0"/>
    <x v="19"/>
    <x v="19"/>
    <x v="4"/>
    <x v="4"/>
    <x v="4"/>
    <x v="2"/>
    <x v="123"/>
    <x v="196"/>
    <x v="62"/>
    <x v="246"/>
    <x v="39"/>
    <x v="39"/>
    <x v="0"/>
  </r>
  <r>
    <x v="0"/>
    <x v="19"/>
    <x v="19"/>
    <x v="5"/>
    <x v="5"/>
    <x v="5"/>
    <x v="5"/>
    <x v="124"/>
    <x v="197"/>
    <x v="55"/>
    <x v="245"/>
    <x v="39"/>
    <x v="39"/>
    <x v="0"/>
  </r>
  <r>
    <x v="0"/>
    <x v="19"/>
    <x v="19"/>
    <x v="25"/>
    <x v="25"/>
    <x v="25"/>
    <x v="18"/>
    <x v="125"/>
    <x v="103"/>
    <x v="122"/>
    <x v="247"/>
    <x v="30"/>
    <x v="167"/>
    <x v="0"/>
  </r>
  <r>
    <x v="0"/>
    <x v="19"/>
    <x v="19"/>
    <x v="7"/>
    <x v="7"/>
    <x v="7"/>
    <x v="18"/>
    <x v="125"/>
    <x v="103"/>
    <x v="54"/>
    <x v="248"/>
    <x v="39"/>
    <x v="39"/>
    <x v="0"/>
  </r>
  <r>
    <x v="0"/>
    <x v="19"/>
    <x v="19"/>
    <x v="2"/>
    <x v="2"/>
    <x v="2"/>
    <x v="18"/>
    <x v="125"/>
    <x v="103"/>
    <x v="54"/>
    <x v="248"/>
    <x v="39"/>
    <x v="39"/>
    <x v="0"/>
  </r>
  <r>
    <x v="0"/>
    <x v="19"/>
    <x v="19"/>
    <x v="8"/>
    <x v="8"/>
    <x v="8"/>
    <x v="8"/>
    <x v="126"/>
    <x v="179"/>
    <x v="56"/>
    <x v="93"/>
    <x v="39"/>
    <x v="39"/>
    <x v="0"/>
  </r>
  <r>
    <x v="0"/>
    <x v="19"/>
    <x v="19"/>
    <x v="29"/>
    <x v="29"/>
    <x v="29"/>
    <x v="9"/>
    <x v="127"/>
    <x v="192"/>
    <x v="122"/>
    <x v="247"/>
    <x v="41"/>
    <x v="169"/>
    <x v="0"/>
  </r>
  <r>
    <x v="0"/>
    <x v="19"/>
    <x v="19"/>
    <x v="18"/>
    <x v="18"/>
    <x v="18"/>
    <x v="9"/>
    <x v="127"/>
    <x v="192"/>
    <x v="91"/>
    <x v="65"/>
    <x v="51"/>
    <x v="170"/>
    <x v="0"/>
  </r>
  <r>
    <x v="0"/>
    <x v="19"/>
    <x v="19"/>
    <x v="3"/>
    <x v="3"/>
    <x v="3"/>
    <x v="9"/>
    <x v="127"/>
    <x v="192"/>
    <x v="86"/>
    <x v="79"/>
    <x v="39"/>
    <x v="39"/>
    <x v="0"/>
  </r>
  <r>
    <x v="0"/>
    <x v="19"/>
    <x v="19"/>
    <x v="12"/>
    <x v="12"/>
    <x v="12"/>
    <x v="12"/>
    <x v="128"/>
    <x v="127"/>
    <x v="120"/>
    <x v="189"/>
    <x v="48"/>
    <x v="171"/>
    <x v="0"/>
  </r>
  <r>
    <x v="0"/>
    <x v="19"/>
    <x v="19"/>
    <x v="31"/>
    <x v="31"/>
    <x v="31"/>
    <x v="12"/>
    <x v="128"/>
    <x v="127"/>
    <x v="76"/>
    <x v="94"/>
    <x v="39"/>
    <x v="39"/>
    <x v="0"/>
  </r>
  <r>
    <x v="0"/>
    <x v="19"/>
    <x v="19"/>
    <x v="11"/>
    <x v="11"/>
    <x v="11"/>
    <x v="12"/>
    <x v="128"/>
    <x v="127"/>
    <x v="85"/>
    <x v="249"/>
    <x v="51"/>
    <x v="170"/>
    <x v="0"/>
  </r>
  <r>
    <x v="0"/>
    <x v="19"/>
    <x v="19"/>
    <x v="9"/>
    <x v="9"/>
    <x v="9"/>
    <x v="15"/>
    <x v="129"/>
    <x v="193"/>
    <x v="91"/>
    <x v="65"/>
    <x v="39"/>
    <x v="39"/>
    <x v="0"/>
  </r>
  <r>
    <x v="0"/>
    <x v="19"/>
    <x v="19"/>
    <x v="70"/>
    <x v="70"/>
    <x v="70"/>
    <x v="15"/>
    <x v="129"/>
    <x v="193"/>
    <x v="122"/>
    <x v="247"/>
    <x v="51"/>
    <x v="170"/>
    <x v="0"/>
  </r>
  <r>
    <x v="0"/>
    <x v="19"/>
    <x v="19"/>
    <x v="39"/>
    <x v="39"/>
    <x v="39"/>
    <x v="15"/>
    <x v="129"/>
    <x v="193"/>
    <x v="91"/>
    <x v="65"/>
    <x v="39"/>
    <x v="39"/>
    <x v="0"/>
  </r>
  <r>
    <x v="0"/>
    <x v="19"/>
    <x v="19"/>
    <x v="17"/>
    <x v="17"/>
    <x v="17"/>
    <x v="15"/>
    <x v="129"/>
    <x v="193"/>
    <x v="91"/>
    <x v="65"/>
    <x v="39"/>
    <x v="39"/>
    <x v="0"/>
  </r>
  <r>
    <x v="0"/>
    <x v="19"/>
    <x v="19"/>
    <x v="73"/>
    <x v="73"/>
    <x v="73"/>
    <x v="15"/>
    <x v="129"/>
    <x v="193"/>
    <x v="120"/>
    <x v="189"/>
    <x v="39"/>
    <x v="39"/>
    <x v="0"/>
  </r>
  <r>
    <x v="0"/>
    <x v="20"/>
    <x v="20"/>
    <x v="1"/>
    <x v="1"/>
    <x v="1"/>
    <x v="0"/>
    <x v="84"/>
    <x v="198"/>
    <x v="106"/>
    <x v="250"/>
    <x v="39"/>
    <x v="39"/>
    <x v="0"/>
  </r>
  <r>
    <x v="0"/>
    <x v="20"/>
    <x v="20"/>
    <x v="5"/>
    <x v="5"/>
    <x v="5"/>
    <x v="1"/>
    <x v="131"/>
    <x v="199"/>
    <x v="121"/>
    <x v="251"/>
    <x v="43"/>
    <x v="172"/>
    <x v="0"/>
  </r>
  <r>
    <x v="0"/>
    <x v="20"/>
    <x v="20"/>
    <x v="0"/>
    <x v="0"/>
    <x v="0"/>
    <x v="1"/>
    <x v="131"/>
    <x v="199"/>
    <x v="79"/>
    <x v="252"/>
    <x v="39"/>
    <x v="39"/>
    <x v="0"/>
  </r>
  <r>
    <x v="0"/>
    <x v="20"/>
    <x v="20"/>
    <x v="3"/>
    <x v="3"/>
    <x v="3"/>
    <x v="1"/>
    <x v="131"/>
    <x v="199"/>
    <x v="79"/>
    <x v="252"/>
    <x v="39"/>
    <x v="39"/>
    <x v="0"/>
  </r>
  <r>
    <x v="0"/>
    <x v="20"/>
    <x v="20"/>
    <x v="15"/>
    <x v="15"/>
    <x v="15"/>
    <x v="4"/>
    <x v="124"/>
    <x v="140"/>
    <x v="55"/>
    <x v="253"/>
    <x v="39"/>
    <x v="39"/>
    <x v="0"/>
  </r>
  <r>
    <x v="0"/>
    <x v="20"/>
    <x v="20"/>
    <x v="2"/>
    <x v="2"/>
    <x v="2"/>
    <x v="5"/>
    <x v="125"/>
    <x v="200"/>
    <x v="54"/>
    <x v="22"/>
    <x v="39"/>
    <x v="39"/>
    <x v="0"/>
  </r>
  <r>
    <x v="0"/>
    <x v="20"/>
    <x v="20"/>
    <x v="34"/>
    <x v="34"/>
    <x v="34"/>
    <x v="18"/>
    <x v="127"/>
    <x v="201"/>
    <x v="86"/>
    <x v="254"/>
    <x v="39"/>
    <x v="39"/>
    <x v="0"/>
  </r>
  <r>
    <x v="0"/>
    <x v="20"/>
    <x v="20"/>
    <x v="24"/>
    <x v="24"/>
    <x v="24"/>
    <x v="6"/>
    <x v="128"/>
    <x v="5"/>
    <x v="91"/>
    <x v="175"/>
    <x v="43"/>
    <x v="172"/>
    <x v="0"/>
  </r>
  <r>
    <x v="0"/>
    <x v="20"/>
    <x v="20"/>
    <x v="28"/>
    <x v="28"/>
    <x v="28"/>
    <x v="6"/>
    <x v="128"/>
    <x v="5"/>
    <x v="76"/>
    <x v="255"/>
    <x v="39"/>
    <x v="39"/>
    <x v="0"/>
  </r>
  <r>
    <x v="0"/>
    <x v="20"/>
    <x v="20"/>
    <x v="27"/>
    <x v="27"/>
    <x v="27"/>
    <x v="6"/>
    <x v="128"/>
    <x v="5"/>
    <x v="91"/>
    <x v="175"/>
    <x v="43"/>
    <x v="172"/>
    <x v="0"/>
  </r>
  <r>
    <x v="0"/>
    <x v="20"/>
    <x v="20"/>
    <x v="12"/>
    <x v="12"/>
    <x v="12"/>
    <x v="9"/>
    <x v="129"/>
    <x v="202"/>
    <x v="120"/>
    <x v="189"/>
    <x v="41"/>
    <x v="173"/>
    <x v="0"/>
  </r>
  <r>
    <x v="0"/>
    <x v="20"/>
    <x v="20"/>
    <x v="46"/>
    <x v="46"/>
    <x v="46"/>
    <x v="9"/>
    <x v="129"/>
    <x v="202"/>
    <x v="93"/>
    <x v="256"/>
    <x v="40"/>
    <x v="174"/>
    <x v="0"/>
  </r>
  <r>
    <x v="0"/>
    <x v="20"/>
    <x v="20"/>
    <x v="23"/>
    <x v="23"/>
    <x v="23"/>
    <x v="9"/>
    <x v="129"/>
    <x v="202"/>
    <x v="85"/>
    <x v="221"/>
    <x v="43"/>
    <x v="172"/>
    <x v="0"/>
  </r>
  <r>
    <x v="0"/>
    <x v="20"/>
    <x v="20"/>
    <x v="6"/>
    <x v="6"/>
    <x v="6"/>
    <x v="9"/>
    <x v="129"/>
    <x v="202"/>
    <x v="91"/>
    <x v="175"/>
    <x v="39"/>
    <x v="39"/>
    <x v="0"/>
  </r>
  <r>
    <x v="0"/>
    <x v="20"/>
    <x v="20"/>
    <x v="85"/>
    <x v="85"/>
    <x v="85"/>
    <x v="9"/>
    <x v="129"/>
    <x v="202"/>
    <x v="91"/>
    <x v="175"/>
    <x v="39"/>
    <x v="39"/>
    <x v="0"/>
  </r>
  <r>
    <x v="0"/>
    <x v="20"/>
    <x v="20"/>
    <x v="7"/>
    <x v="7"/>
    <x v="7"/>
    <x v="9"/>
    <x v="129"/>
    <x v="202"/>
    <x v="91"/>
    <x v="175"/>
    <x v="39"/>
    <x v="39"/>
    <x v="0"/>
  </r>
  <r>
    <x v="0"/>
    <x v="20"/>
    <x v="20"/>
    <x v="29"/>
    <x v="29"/>
    <x v="29"/>
    <x v="15"/>
    <x v="130"/>
    <x v="95"/>
    <x v="93"/>
    <x v="256"/>
    <x v="51"/>
    <x v="175"/>
    <x v="0"/>
  </r>
  <r>
    <x v="0"/>
    <x v="20"/>
    <x v="20"/>
    <x v="43"/>
    <x v="43"/>
    <x v="43"/>
    <x v="15"/>
    <x v="130"/>
    <x v="95"/>
    <x v="85"/>
    <x v="221"/>
    <x v="39"/>
    <x v="39"/>
    <x v="0"/>
  </r>
  <r>
    <x v="0"/>
    <x v="20"/>
    <x v="20"/>
    <x v="56"/>
    <x v="56"/>
    <x v="56"/>
    <x v="15"/>
    <x v="130"/>
    <x v="95"/>
    <x v="85"/>
    <x v="221"/>
    <x v="39"/>
    <x v="39"/>
    <x v="0"/>
  </r>
  <r>
    <x v="0"/>
    <x v="20"/>
    <x v="20"/>
    <x v="39"/>
    <x v="39"/>
    <x v="39"/>
    <x v="15"/>
    <x v="130"/>
    <x v="95"/>
    <x v="85"/>
    <x v="221"/>
    <x v="39"/>
    <x v="39"/>
    <x v="0"/>
  </r>
  <r>
    <x v="0"/>
    <x v="20"/>
    <x v="20"/>
    <x v="26"/>
    <x v="26"/>
    <x v="26"/>
    <x v="15"/>
    <x v="130"/>
    <x v="95"/>
    <x v="85"/>
    <x v="221"/>
    <x v="39"/>
    <x v="39"/>
    <x v="0"/>
  </r>
  <r>
    <x v="0"/>
    <x v="20"/>
    <x v="20"/>
    <x v="4"/>
    <x v="4"/>
    <x v="4"/>
    <x v="15"/>
    <x v="130"/>
    <x v="95"/>
    <x v="85"/>
    <x v="221"/>
    <x v="39"/>
    <x v="39"/>
    <x v="0"/>
  </r>
  <r>
    <x v="0"/>
    <x v="20"/>
    <x v="20"/>
    <x v="81"/>
    <x v="81"/>
    <x v="81"/>
    <x v="15"/>
    <x v="130"/>
    <x v="95"/>
    <x v="93"/>
    <x v="256"/>
    <x v="39"/>
    <x v="39"/>
    <x v="0"/>
  </r>
  <r>
    <x v="0"/>
    <x v="21"/>
    <x v="21"/>
    <x v="50"/>
    <x v="50"/>
    <x v="50"/>
    <x v="0"/>
    <x v="117"/>
    <x v="203"/>
    <x v="100"/>
    <x v="257"/>
    <x v="39"/>
    <x v="39"/>
    <x v="0"/>
  </r>
  <r>
    <x v="0"/>
    <x v="21"/>
    <x v="21"/>
    <x v="2"/>
    <x v="2"/>
    <x v="2"/>
    <x v="1"/>
    <x v="81"/>
    <x v="204"/>
    <x v="51"/>
    <x v="258"/>
    <x v="51"/>
    <x v="176"/>
    <x v="0"/>
  </r>
  <r>
    <x v="0"/>
    <x v="21"/>
    <x v="21"/>
    <x v="0"/>
    <x v="0"/>
    <x v="0"/>
    <x v="2"/>
    <x v="50"/>
    <x v="205"/>
    <x v="119"/>
    <x v="259"/>
    <x v="42"/>
    <x v="177"/>
    <x v="0"/>
  </r>
  <r>
    <x v="0"/>
    <x v="21"/>
    <x v="21"/>
    <x v="40"/>
    <x v="40"/>
    <x v="40"/>
    <x v="3"/>
    <x v="51"/>
    <x v="206"/>
    <x v="78"/>
    <x v="260"/>
    <x v="43"/>
    <x v="86"/>
    <x v="0"/>
  </r>
  <r>
    <x v="0"/>
    <x v="21"/>
    <x v="21"/>
    <x v="7"/>
    <x v="7"/>
    <x v="7"/>
    <x v="4"/>
    <x v="65"/>
    <x v="64"/>
    <x v="50"/>
    <x v="261"/>
    <x v="43"/>
    <x v="86"/>
    <x v="0"/>
  </r>
  <r>
    <x v="0"/>
    <x v="21"/>
    <x v="21"/>
    <x v="1"/>
    <x v="1"/>
    <x v="1"/>
    <x v="5"/>
    <x v="52"/>
    <x v="207"/>
    <x v="64"/>
    <x v="262"/>
    <x v="39"/>
    <x v="39"/>
    <x v="0"/>
  </r>
  <r>
    <x v="0"/>
    <x v="21"/>
    <x v="21"/>
    <x v="4"/>
    <x v="4"/>
    <x v="4"/>
    <x v="18"/>
    <x v="53"/>
    <x v="208"/>
    <x v="74"/>
    <x v="263"/>
    <x v="51"/>
    <x v="176"/>
    <x v="0"/>
  </r>
  <r>
    <x v="0"/>
    <x v="21"/>
    <x v="21"/>
    <x v="3"/>
    <x v="3"/>
    <x v="3"/>
    <x v="6"/>
    <x v="88"/>
    <x v="209"/>
    <x v="66"/>
    <x v="43"/>
    <x v="39"/>
    <x v="39"/>
    <x v="0"/>
  </r>
  <r>
    <x v="0"/>
    <x v="21"/>
    <x v="21"/>
    <x v="8"/>
    <x v="8"/>
    <x v="8"/>
    <x v="6"/>
    <x v="88"/>
    <x v="209"/>
    <x v="77"/>
    <x v="136"/>
    <x v="40"/>
    <x v="178"/>
    <x v="0"/>
  </r>
  <r>
    <x v="0"/>
    <x v="21"/>
    <x v="21"/>
    <x v="6"/>
    <x v="6"/>
    <x v="6"/>
    <x v="8"/>
    <x v="84"/>
    <x v="210"/>
    <x v="104"/>
    <x v="264"/>
    <x v="43"/>
    <x v="86"/>
    <x v="0"/>
  </r>
  <r>
    <x v="0"/>
    <x v="21"/>
    <x v="21"/>
    <x v="24"/>
    <x v="24"/>
    <x v="24"/>
    <x v="9"/>
    <x v="121"/>
    <x v="67"/>
    <x v="86"/>
    <x v="265"/>
    <x v="46"/>
    <x v="179"/>
    <x v="0"/>
  </r>
  <r>
    <x v="0"/>
    <x v="21"/>
    <x v="21"/>
    <x v="16"/>
    <x v="16"/>
    <x v="16"/>
    <x v="9"/>
    <x v="121"/>
    <x v="67"/>
    <x v="53"/>
    <x v="266"/>
    <x v="43"/>
    <x v="86"/>
    <x v="0"/>
  </r>
  <r>
    <x v="0"/>
    <x v="21"/>
    <x v="21"/>
    <x v="31"/>
    <x v="31"/>
    <x v="31"/>
    <x v="11"/>
    <x v="135"/>
    <x v="109"/>
    <x v="79"/>
    <x v="50"/>
    <x v="43"/>
    <x v="86"/>
    <x v="0"/>
  </r>
  <r>
    <x v="0"/>
    <x v="21"/>
    <x v="21"/>
    <x v="17"/>
    <x v="17"/>
    <x v="17"/>
    <x v="12"/>
    <x v="131"/>
    <x v="93"/>
    <x v="121"/>
    <x v="9"/>
    <x v="43"/>
    <x v="86"/>
    <x v="0"/>
  </r>
  <r>
    <x v="0"/>
    <x v="21"/>
    <x v="21"/>
    <x v="13"/>
    <x v="13"/>
    <x v="13"/>
    <x v="12"/>
    <x v="131"/>
    <x v="93"/>
    <x v="62"/>
    <x v="267"/>
    <x v="51"/>
    <x v="176"/>
    <x v="0"/>
  </r>
  <r>
    <x v="0"/>
    <x v="21"/>
    <x v="21"/>
    <x v="12"/>
    <x v="12"/>
    <x v="12"/>
    <x v="14"/>
    <x v="134"/>
    <x v="211"/>
    <x v="85"/>
    <x v="99"/>
    <x v="50"/>
    <x v="52"/>
    <x v="0"/>
  </r>
  <r>
    <x v="0"/>
    <x v="21"/>
    <x v="21"/>
    <x v="86"/>
    <x v="86"/>
    <x v="86"/>
    <x v="14"/>
    <x v="134"/>
    <x v="211"/>
    <x v="121"/>
    <x v="9"/>
    <x v="39"/>
    <x v="39"/>
    <x v="0"/>
  </r>
  <r>
    <x v="0"/>
    <x v="21"/>
    <x v="21"/>
    <x v="10"/>
    <x v="10"/>
    <x v="10"/>
    <x v="14"/>
    <x v="134"/>
    <x v="211"/>
    <x v="55"/>
    <x v="80"/>
    <x v="51"/>
    <x v="176"/>
    <x v="0"/>
  </r>
  <r>
    <x v="0"/>
    <x v="21"/>
    <x v="21"/>
    <x v="29"/>
    <x v="29"/>
    <x v="29"/>
    <x v="17"/>
    <x v="123"/>
    <x v="212"/>
    <x v="91"/>
    <x v="268"/>
    <x v="30"/>
    <x v="180"/>
    <x v="0"/>
  </r>
  <r>
    <x v="0"/>
    <x v="21"/>
    <x v="21"/>
    <x v="5"/>
    <x v="5"/>
    <x v="5"/>
    <x v="17"/>
    <x v="123"/>
    <x v="212"/>
    <x v="55"/>
    <x v="80"/>
    <x v="43"/>
    <x v="86"/>
    <x v="0"/>
  </r>
  <r>
    <x v="0"/>
    <x v="21"/>
    <x v="21"/>
    <x v="37"/>
    <x v="37"/>
    <x v="37"/>
    <x v="17"/>
    <x v="123"/>
    <x v="212"/>
    <x v="54"/>
    <x v="159"/>
    <x v="51"/>
    <x v="176"/>
    <x v="0"/>
  </r>
  <r>
    <x v="0"/>
    <x v="22"/>
    <x v="22"/>
    <x v="2"/>
    <x v="2"/>
    <x v="2"/>
    <x v="0"/>
    <x v="53"/>
    <x v="213"/>
    <x v="84"/>
    <x v="269"/>
    <x v="39"/>
    <x v="39"/>
    <x v="0"/>
  </r>
  <r>
    <x v="0"/>
    <x v="22"/>
    <x v="22"/>
    <x v="1"/>
    <x v="1"/>
    <x v="1"/>
    <x v="1"/>
    <x v="104"/>
    <x v="214"/>
    <x v="119"/>
    <x v="270"/>
    <x v="43"/>
    <x v="181"/>
    <x v="0"/>
  </r>
  <r>
    <x v="0"/>
    <x v="22"/>
    <x v="22"/>
    <x v="4"/>
    <x v="4"/>
    <x v="4"/>
    <x v="2"/>
    <x v="89"/>
    <x v="215"/>
    <x v="57"/>
    <x v="271"/>
    <x v="51"/>
    <x v="182"/>
    <x v="0"/>
  </r>
  <r>
    <x v="0"/>
    <x v="22"/>
    <x v="22"/>
    <x v="3"/>
    <x v="3"/>
    <x v="3"/>
    <x v="3"/>
    <x v="105"/>
    <x v="205"/>
    <x v="67"/>
    <x v="272"/>
    <x v="43"/>
    <x v="181"/>
    <x v="0"/>
  </r>
  <r>
    <x v="0"/>
    <x v="22"/>
    <x v="22"/>
    <x v="5"/>
    <x v="5"/>
    <x v="5"/>
    <x v="4"/>
    <x v="122"/>
    <x v="216"/>
    <x v="112"/>
    <x v="273"/>
    <x v="43"/>
    <x v="181"/>
    <x v="0"/>
  </r>
  <r>
    <x v="0"/>
    <x v="22"/>
    <x v="22"/>
    <x v="0"/>
    <x v="0"/>
    <x v="0"/>
    <x v="4"/>
    <x v="122"/>
    <x v="216"/>
    <x v="85"/>
    <x v="274"/>
    <x v="54"/>
    <x v="183"/>
    <x v="0"/>
  </r>
  <r>
    <x v="0"/>
    <x v="22"/>
    <x v="22"/>
    <x v="8"/>
    <x v="8"/>
    <x v="8"/>
    <x v="18"/>
    <x v="131"/>
    <x v="217"/>
    <x v="79"/>
    <x v="275"/>
    <x v="39"/>
    <x v="39"/>
    <x v="0"/>
  </r>
  <r>
    <x v="0"/>
    <x v="22"/>
    <x v="22"/>
    <x v="17"/>
    <x v="17"/>
    <x v="17"/>
    <x v="6"/>
    <x v="134"/>
    <x v="209"/>
    <x v="121"/>
    <x v="276"/>
    <x v="39"/>
    <x v="39"/>
    <x v="0"/>
  </r>
  <r>
    <x v="0"/>
    <x v="22"/>
    <x v="22"/>
    <x v="9"/>
    <x v="9"/>
    <x v="9"/>
    <x v="7"/>
    <x v="125"/>
    <x v="218"/>
    <x v="56"/>
    <x v="46"/>
    <x v="43"/>
    <x v="181"/>
    <x v="0"/>
  </r>
  <r>
    <x v="0"/>
    <x v="22"/>
    <x v="22"/>
    <x v="25"/>
    <x v="25"/>
    <x v="25"/>
    <x v="8"/>
    <x v="126"/>
    <x v="219"/>
    <x v="120"/>
    <x v="189"/>
    <x v="53"/>
    <x v="184"/>
    <x v="0"/>
  </r>
  <r>
    <x v="0"/>
    <x v="22"/>
    <x v="22"/>
    <x v="14"/>
    <x v="14"/>
    <x v="14"/>
    <x v="8"/>
    <x v="126"/>
    <x v="219"/>
    <x v="56"/>
    <x v="46"/>
    <x v="39"/>
    <x v="39"/>
    <x v="0"/>
  </r>
  <r>
    <x v="0"/>
    <x v="22"/>
    <x v="22"/>
    <x v="7"/>
    <x v="7"/>
    <x v="7"/>
    <x v="8"/>
    <x v="126"/>
    <x v="219"/>
    <x v="56"/>
    <x v="46"/>
    <x v="39"/>
    <x v="39"/>
    <x v="0"/>
  </r>
  <r>
    <x v="0"/>
    <x v="22"/>
    <x v="22"/>
    <x v="21"/>
    <x v="21"/>
    <x v="21"/>
    <x v="11"/>
    <x v="127"/>
    <x v="93"/>
    <x v="91"/>
    <x v="160"/>
    <x v="51"/>
    <x v="182"/>
    <x v="0"/>
  </r>
  <r>
    <x v="0"/>
    <x v="22"/>
    <x v="22"/>
    <x v="23"/>
    <x v="23"/>
    <x v="23"/>
    <x v="11"/>
    <x v="127"/>
    <x v="93"/>
    <x v="76"/>
    <x v="277"/>
    <x v="43"/>
    <x v="181"/>
    <x v="0"/>
  </r>
  <r>
    <x v="0"/>
    <x v="22"/>
    <x v="22"/>
    <x v="11"/>
    <x v="11"/>
    <x v="11"/>
    <x v="11"/>
    <x v="127"/>
    <x v="93"/>
    <x v="120"/>
    <x v="189"/>
    <x v="30"/>
    <x v="185"/>
    <x v="0"/>
  </r>
  <r>
    <x v="0"/>
    <x v="22"/>
    <x v="22"/>
    <x v="16"/>
    <x v="16"/>
    <x v="16"/>
    <x v="11"/>
    <x v="127"/>
    <x v="93"/>
    <x v="122"/>
    <x v="278"/>
    <x v="41"/>
    <x v="186"/>
    <x v="0"/>
  </r>
  <r>
    <x v="0"/>
    <x v="22"/>
    <x v="22"/>
    <x v="24"/>
    <x v="24"/>
    <x v="24"/>
    <x v="15"/>
    <x v="128"/>
    <x v="212"/>
    <x v="93"/>
    <x v="110"/>
    <x v="41"/>
    <x v="186"/>
    <x v="0"/>
  </r>
  <r>
    <x v="0"/>
    <x v="22"/>
    <x v="22"/>
    <x v="87"/>
    <x v="87"/>
    <x v="87"/>
    <x v="15"/>
    <x v="128"/>
    <x v="212"/>
    <x v="85"/>
    <x v="274"/>
    <x v="51"/>
    <x v="182"/>
    <x v="0"/>
  </r>
  <r>
    <x v="0"/>
    <x v="22"/>
    <x v="22"/>
    <x v="10"/>
    <x v="10"/>
    <x v="10"/>
    <x v="15"/>
    <x v="128"/>
    <x v="212"/>
    <x v="76"/>
    <x v="277"/>
    <x v="39"/>
    <x v="39"/>
    <x v="0"/>
  </r>
  <r>
    <x v="0"/>
    <x v="22"/>
    <x v="22"/>
    <x v="27"/>
    <x v="27"/>
    <x v="27"/>
    <x v="15"/>
    <x v="128"/>
    <x v="212"/>
    <x v="76"/>
    <x v="277"/>
    <x v="39"/>
    <x v="39"/>
    <x v="0"/>
  </r>
  <r>
    <x v="0"/>
    <x v="23"/>
    <x v="23"/>
    <x v="0"/>
    <x v="0"/>
    <x v="0"/>
    <x v="0"/>
    <x v="136"/>
    <x v="220"/>
    <x v="78"/>
    <x v="279"/>
    <x v="67"/>
    <x v="187"/>
    <x v="0"/>
  </r>
  <r>
    <x v="0"/>
    <x v="23"/>
    <x v="23"/>
    <x v="2"/>
    <x v="2"/>
    <x v="2"/>
    <x v="1"/>
    <x v="80"/>
    <x v="221"/>
    <x v="31"/>
    <x v="280"/>
    <x v="46"/>
    <x v="188"/>
    <x v="0"/>
  </r>
  <r>
    <x v="0"/>
    <x v="23"/>
    <x v="23"/>
    <x v="4"/>
    <x v="4"/>
    <x v="4"/>
    <x v="2"/>
    <x v="52"/>
    <x v="166"/>
    <x v="65"/>
    <x v="281"/>
    <x v="51"/>
    <x v="48"/>
    <x v="0"/>
  </r>
  <r>
    <x v="0"/>
    <x v="23"/>
    <x v="23"/>
    <x v="3"/>
    <x v="3"/>
    <x v="3"/>
    <x v="3"/>
    <x v="104"/>
    <x v="222"/>
    <x v="104"/>
    <x v="282"/>
    <x v="41"/>
    <x v="168"/>
    <x v="0"/>
  </r>
  <r>
    <x v="0"/>
    <x v="23"/>
    <x v="23"/>
    <x v="17"/>
    <x v="17"/>
    <x v="17"/>
    <x v="3"/>
    <x v="104"/>
    <x v="222"/>
    <x v="106"/>
    <x v="102"/>
    <x v="40"/>
    <x v="123"/>
    <x v="0"/>
  </r>
  <r>
    <x v="0"/>
    <x v="23"/>
    <x v="23"/>
    <x v="6"/>
    <x v="6"/>
    <x v="6"/>
    <x v="5"/>
    <x v="88"/>
    <x v="136"/>
    <x v="79"/>
    <x v="219"/>
    <x v="54"/>
    <x v="189"/>
    <x v="0"/>
  </r>
  <r>
    <x v="0"/>
    <x v="23"/>
    <x v="23"/>
    <x v="9"/>
    <x v="9"/>
    <x v="9"/>
    <x v="18"/>
    <x v="84"/>
    <x v="223"/>
    <x v="112"/>
    <x v="283"/>
    <x v="50"/>
    <x v="190"/>
    <x v="0"/>
  </r>
  <r>
    <x v="0"/>
    <x v="23"/>
    <x v="23"/>
    <x v="7"/>
    <x v="7"/>
    <x v="7"/>
    <x v="6"/>
    <x v="106"/>
    <x v="224"/>
    <x v="67"/>
    <x v="284"/>
    <x v="39"/>
    <x v="39"/>
    <x v="0"/>
  </r>
  <r>
    <x v="0"/>
    <x v="23"/>
    <x v="23"/>
    <x v="22"/>
    <x v="22"/>
    <x v="22"/>
    <x v="7"/>
    <x v="121"/>
    <x v="225"/>
    <x v="86"/>
    <x v="111"/>
    <x v="46"/>
    <x v="188"/>
    <x v="0"/>
  </r>
  <r>
    <x v="0"/>
    <x v="23"/>
    <x v="23"/>
    <x v="19"/>
    <x v="19"/>
    <x v="19"/>
    <x v="7"/>
    <x v="121"/>
    <x v="225"/>
    <x v="93"/>
    <x v="12"/>
    <x v="42"/>
    <x v="191"/>
    <x v="0"/>
  </r>
  <r>
    <x v="0"/>
    <x v="23"/>
    <x v="23"/>
    <x v="5"/>
    <x v="5"/>
    <x v="5"/>
    <x v="9"/>
    <x v="122"/>
    <x v="26"/>
    <x v="55"/>
    <x v="109"/>
    <x v="48"/>
    <x v="128"/>
    <x v="0"/>
  </r>
  <r>
    <x v="0"/>
    <x v="23"/>
    <x v="23"/>
    <x v="20"/>
    <x v="20"/>
    <x v="20"/>
    <x v="9"/>
    <x v="122"/>
    <x v="26"/>
    <x v="91"/>
    <x v="47"/>
    <x v="54"/>
    <x v="189"/>
    <x v="0"/>
  </r>
  <r>
    <x v="0"/>
    <x v="23"/>
    <x v="23"/>
    <x v="11"/>
    <x v="11"/>
    <x v="11"/>
    <x v="9"/>
    <x v="122"/>
    <x v="26"/>
    <x v="76"/>
    <x v="285"/>
    <x v="50"/>
    <x v="190"/>
    <x v="0"/>
  </r>
  <r>
    <x v="0"/>
    <x v="23"/>
    <x v="23"/>
    <x v="23"/>
    <x v="23"/>
    <x v="23"/>
    <x v="12"/>
    <x v="135"/>
    <x v="109"/>
    <x v="56"/>
    <x v="65"/>
    <x v="30"/>
    <x v="192"/>
    <x v="0"/>
  </r>
  <r>
    <x v="0"/>
    <x v="23"/>
    <x v="23"/>
    <x v="24"/>
    <x v="24"/>
    <x v="24"/>
    <x v="13"/>
    <x v="134"/>
    <x v="60"/>
    <x v="85"/>
    <x v="144"/>
    <x v="50"/>
    <x v="190"/>
    <x v="0"/>
  </r>
  <r>
    <x v="0"/>
    <x v="23"/>
    <x v="23"/>
    <x v="21"/>
    <x v="21"/>
    <x v="21"/>
    <x v="13"/>
    <x v="134"/>
    <x v="60"/>
    <x v="54"/>
    <x v="286"/>
    <x v="40"/>
    <x v="123"/>
    <x v="0"/>
  </r>
  <r>
    <x v="0"/>
    <x v="23"/>
    <x v="23"/>
    <x v="10"/>
    <x v="10"/>
    <x v="10"/>
    <x v="13"/>
    <x v="134"/>
    <x v="60"/>
    <x v="86"/>
    <x v="111"/>
    <x v="41"/>
    <x v="168"/>
    <x v="1"/>
  </r>
  <r>
    <x v="0"/>
    <x v="23"/>
    <x v="23"/>
    <x v="39"/>
    <x v="39"/>
    <x v="39"/>
    <x v="13"/>
    <x v="134"/>
    <x v="60"/>
    <x v="91"/>
    <x v="47"/>
    <x v="53"/>
    <x v="54"/>
    <x v="0"/>
  </r>
  <r>
    <x v="0"/>
    <x v="23"/>
    <x v="23"/>
    <x v="41"/>
    <x v="41"/>
    <x v="41"/>
    <x v="13"/>
    <x v="134"/>
    <x v="60"/>
    <x v="120"/>
    <x v="189"/>
    <x v="39"/>
    <x v="39"/>
    <x v="0"/>
  </r>
  <r>
    <x v="0"/>
    <x v="23"/>
    <x v="23"/>
    <x v="29"/>
    <x v="29"/>
    <x v="29"/>
    <x v="19"/>
    <x v="123"/>
    <x v="95"/>
    <x v="93"/>
    <x v="12"/>
    <x v="46"/>
    <x v="188"/>
    <x v="0"/>
  </r>
  <r>
    <x v="0"/>
    <x v="23"/>
    <x v="23"/>
    <x v="18"/>
    <x v="18"/>
    <x v="18"/>
    <x v="19"/>
    <x v="123"/>
    <x v="95"/>
    <x v="86"/>
    <x v="111"/>
    <x v="41"/>
    <x v="168"/>
    <x v="0"/>
  </r>
  <r>
    <x v="0"/>
    <x v="23"/>
    <x v="23"/>
    <x v="15"/>
    <x v="15"/>
    <x v="15"/>
    <x v="19"/>
    <x v="123"/>
    <x v="95"/>
    <x v="76"/>
    <x v="285"/>
    <x v="48"/>
    <x v="128"/>
    <x v="0"/>
  </r>
  <r>
    <x v="0"/>
    <x v="23"/>
    <x v="23"/>
    <x v="1"/>
    <x v="1"/>
    <x v="1"/>
    <x v="19"/>
    <x v="123"/>
    <x v="95"/>
    <x v="56"/>
    <x v="65"/>
    <x v="40"/>
    <x v="123"/>
    <x v="0"/>
  </r>
  <r>
    <x v="0"/>
    <x v="23"/>
    <x v="23"/>
    <x v="14"/>
    <x v="14"/>
    <x v="14"/>
    <x v="19"/>
    <x v="123"/>
    <x v="95"/>
    <x v="91"/>
    <x v="47"/>
    <x v="30"/>
    <x v="192"/>
    <x v="0"/>
  </r>
  <r>
    <x v="0"/>
    <x v="24"/>
    <x v="24"/>
    <x v="0"/>
    <x v="0"/>
    <x v="0"/>
    <x v="0"/>
    <x v="82"/>
    <x v="226"/>
    <x v="56"/>
    <x v="287"/>
    <x v="32"/>
    <x v="193"/>
    <x v="0"/>
  </r>
  <r>
    <x v="0"/>
    <x v="24"/>
    <x v="24"/>
    <x v="2"/>
    <x v="2"/>
    <x v="2"/>
    <x v="1"/>
    <x v="84"/>
    <x v="227"/>
    <x v="104"/>
    <x v="288"/>
    <x v="43"/>
    <x v="33"/>
    <x v="0"/>
  </r>
  <r>
    <x v="0"/>
    <x v="24"/>
    <x v="24"/>
    <x v="10"/>
    <x v="10"/>
    <x v="10"/>
    <x v="2"/>
    <x v="106"/>
    <x v="140"/>
    <x v="67"/>
    <x v="251"/>
    <x v="39"/>
    <x v="39"/>
    <x v="0"/>
  </r>
  <r>
    <x v="0"/>
    <x v="24"/>
    <x v="24"/>
    <x v="4"/>
    <x v="4"/>
    <x v="4"/>
    <x v="3"/>
    <x v="121"/>
    <x v="228"/>
    <x v="53"/>
    <x v="289"/>
    <x v="43"/>
    <x v="33"/>
    <x v="0"/>
  </r>
  <r>
    <x v="0"/>
    <x v="24"/>
    <x v="24"/>
    <x v="17"/>
    <x v="17"/>
    <x v="17"/>
    <x v="4"/>
    <x v="122"/>
    <x v="229"/>
    <x v="79"/>
    <x v="290"/>
    <x v="51"/>
    <x v="194"/>
    <x v="0"/>
  </r>
  <r>
    <x v="0"/>
    <x v="24"/>
    <x v="24"/>
    <x v="8"/>
    <x v="8"/>
    <x v="8"/>
    <x v="4"/>
    <x v="122"/>
    <x v="229"/>
    <x v="79"/>
    <x v="290"/>
    <x v="51"/>
    <x v="194"/>
    <x v="0"/>
  </r>
  <r>
    <x v="0"/>
    <x v="24"/>
    <x v="24"/>
    <x v="6"/>
    <x v="6"/>
    <x v="6"/>
    <x v="18"/>
    <x v="135"/>
    <x v="230"/>
    <x v="55"/>
    <x v="202"/>
    <x v="41"/>
    <x v="195"/>
    <x v="0"/>
  </r>
  <r>
    <x v="0"/>
    <x v="24"/>
    <x v="24"/>
    <x v="22"/>
    <x v="22"/>
    <x v="22"/>
    <x v="6"/>
    <x v="131"/>
    <x v="186"/>
    <x v="93"/>
    <x v="110"/>
    <x v="55"/>
    <x v="196"/>
    <x v="0"/>
  </r>
  <r>
    <x v="0"/>
    <x v="24"/>
    <x v="24"/>
    <x v="9"/>
    <x v="9"/>
    <x v="9"/>
    <x v="6"/>
    <x v="131"/>
    <x v="186"/>
    <x v="121"/>
    <x v="291"/>
    <x v="43"/>
    <x v="33"/>
    <x v="0"/>
  </r>
  <r>
    <x v="0"/>
    <x v="24"/>
    <x v="24"/>
    <x v="13"/>
    <x v="13"/>
    <x v="13"/>
    <x v="6"/>
    <x v="131"/>
    <x v="186"/>
    <x v="62"/>
    <x v="292"/>
    <x v="51"/>
    <x v="194"/>
    <x v="0"/>
  </r>
  <r>
    <x v="0"/>
    <x v="24"/>
    <x v="24"/>
    <x v="5"/>
    <x v="5"/>
    <x v="5"/>
    <x v="9"/>
    <x v="134"/>
    <x v="231"/>
    <x v="121"/>
    <x v="291"/>
    <x v="39"/>
    <x v="39"/>
    <x v="0"/>
  </r>
  <r>
    <x v="0"/>
    <x v="24"/>
    <x v="24"/>
    <x v="18"/>
    <x v="18"/>
    <x v="18"/>
    <x v="10"/>
    <x v="123"/>
    <x v="187"/>
    <x v="122"/>
    <x v="293"/>
    <x v="50"/>
    <x v="197"/>
    <x v="0"/>
  </r>
  <r>
    <x v="0"/>
    <x v="24"/>
    <x v="24"/>
    <x v="3"/>
    <x v="3"/>
    <x v="3"/>
    <x v="10"/>
    <x v="123"/>
    <x v="187"/>
    <x v="62"/>
    <x v="292"/>
    <x v="39"/>
    <x v="39"/>
    <x v="0"/>
  </r>
  <r>
    <x v="0"/>
    <x v="24"/>
    <x v="24"/>
    <x v="14"/>
    <x v="14"/>
    <x v="14"/>
    <x v="10"/>
    <x v="123"/>
    <x v="187"/>
    <x v="54"/>
    <x v="294"/>
    <x v="51"/>
    <x v="194"/>
    <x v="0"/>
  </r>
  <r>
    <x v="0"/>
    <x v="24"/>
    <x v="24"/>
    <x v="7"/>
    <x v="7"/>
    <x v="7"/>
    <x v="10"/>
    <x v="123"/>
    <x v="187"/>
    <x v="55"/>
    <x v="202"/>
    <x v="43"/>
    <x v="33"/>
    <x v="0"/>
  </r>
  <r>
    <x v="0"/>
    <x v="24"/>
    <x v="24"/>
    <x v="23"/>
    <x v="23"/>
    <x v="23"/>
    <x v="14"/>
    <x v="125"/>
    <x v="82"/>
    <x v="86"/>
    <x v="295"/>
    <x v="51"/>
    <x v="194"/>
    <x v="0"/>
  </r>
  <r>
    <x v="0"/>
    <x v="24"/>
    <x v="24"/>
    <x v="11"/>
    <x v="11"/>
    <x v="11"/>
    <x v="14"/>
    <x v="125"/>
    <x v="82"/>
    <x v="86"/>
    <x v="295"/>
    <x v="51"/>
    <x v="194"/>
    <x v="0"/>
  </r>
  <r>
    <x v="0"/>
    <x v="24"/>
    <x v="24"/>
    <x v="35"/>
    <x v="35"/>
    <x v="35"/>
    <x v="16"/>
    <x v="126"/>
    <x v="28"/>
    <x v="86"/>
    <x v="295"/>
    <x v="43"/>
    <x v="33"/>
    <x v="0"/>
  </r>
  <r>
    <x v="0"/>
    <x v="24"/>
    <x v="24"/>
    <x v="24"/>
    <x v="24"/>
    <x v="24"/>
    <x v="17"/>
    <x v="127"/>
    <x v="11"/>
    <x v="85"/>
    <x v="296"/>
    <x v="40"/>
    <x v="198"/>
    <x v="0"/>
  </r>
  <r>
    <x v="0"/>
    <x v="24"/>
    <x v="24"/>
    <x v="25"/>
    <x v="25"/>
    <x v="25"/>
    <x v="17"/>
    <x v="127"/>
    <x v="11"/>
    <x v="76"/>
    <x v="297"/>
    <x v="43"/>
    <x v="33"/>
    <x v="0"/>
  </r>
  <r>
    <x v="0"/>
    <x v="24"/>
    <x v="24"/>
    <x v="88"/>
    <x v="88"/>
    <x v="88"/>
    <x v="17"/>
    <x v="127"/>
    <x v="11"/>
    <x v="91"/>
    <x v="17"/>
    <x v="51"/>
    <x v="194"/>
    <x v="0"/>
  </r>
  <r>
    <x v="0"/>
    <x v="24"/>
    <x v="24"/>
    <x v="31"/>
    <x v="31"/>
    <x v="31"/>
    <x v="17"/>
    <x v="127"/>
    <x v="11"/>
    <x v="76"/>
    <x v="297"/>
    <x v="43"/>
    <x v="33"/>
    <x v="0"/>
  </r>
  <r>
    <x v="0"/>
    <x v="24"/>
    <x v="24"/>
    <x v="30"/>
    <x v="30"/>
    <x v="30"/>
    <x v="17"/>
    <x v="127"/>
    <x v="11"/>
    <x v="122"/>
    <x v="293"/>
    <x v="43"/>
    <x v="33"/>
    <x v="0"/>
  </r>
  <r>
    <x v="0"/>
    <x v="25"/>
    <x v="25"/>
    <x v="8"/>
    <x v="8"/>
    <x v="8"/>
    <x v="0"/>
    <x v="62"/>
    <x v="232"/>
    <x v="78"/>
    <x v="298"/>
    <x v="39"/>
    <x v="39"/>
    <x v="0"/>
  </r>
  <r>
    <x v="0"/>
    <x v="25"/>
    <x v="25"/>
    <x v="0"/>
    <x v="0"/>
    <x v="0"/>
    <x v="1"/>
    <x v="84"/>
    <x v="233"/>
    <x v="92"/>
    <x v="196"/>
    <x v="48"/>
    <x v="199"/>
    <x v="0"/>
  </r>
  <r>
    <x v="0"/>
    <x v="25"/>
    <x v="25"/>
    <x v="2"/>
    <x v="2"/>
    <x v="2"/>
    <x v="2"/>
    <x v="106"/>
    <x v="234"/>
    <x v="92"/>
    <x v="196"/>
    <x v="43"/>
    <x v="200"/>
    <x v="0"/>
  </r>
  <r>
    <x v="0"/>
    <x v="25"/>
    <x v="25"/>
    <x v="10"/>
    <x v="10"/>
    <x v="10"/>
    <x v="3"/>
    <x v="135"/>
    <x v="235"/>
    <x v="121"/>
    <x v="22"/>
    <x v="51"/>
    <x v="201"/>
    <x v="0"/>
  </r>
  <r>
    <x v="0"/>
    <x v="25"/>
    <x v="25"/>
    <x v="4"/>
    <x v="4"/>
    <x v="4"/>
    <x v="4"/>
    <x v="131"/>
    <x v="236"/>
    <x v="79"/>
    <x v="207"/>
    <x v="39"/>
    <x v="39"/>
    <x v="0"/>
  </r>
  <r>
    <x v="0"/>
    <x v="25"/>
    <x v="25"/>
    <x v="25"/>
    <x v="25"/>
    <x v="25"/>
    <x v="5"/>
    <x v="123"/>
    <x v="237"/>
    <x v="122"/>
    <x v="299"/>
    <x v="50"/>
    <x v="202"/>
    <x v="0"/>
  </r>
  <r>
    <x v="0"/>
    <x v="25"/>
    <x v="25"/>
    <x v="31"/>
    <x v="31"/>
    <x v="31"/>
    <x v="5"/>
    <x v="123"/>
    <x v="237"/>
    <x v="62"/>
    <x v="300"/>
    <x v="39"/>
    <x v="39"/>
    <x v="0"/>
  </r>
  <r>
    <x v="0"/>
    <x v="25"/>
    <x v="25"/>
    <x v="12"/>
    <x v="12"/>
    <x v="12"/>
    <x v="6"/>
    <x v="125"/>
    <x v="218"/>
    <x v="93"/>
    <x v="301"/>
    <x v="53"/>
    <x v="203"/>
    <x v="0"/>
  </r>
  <r>
    <x v="0"/>
    <x v="25"/>
    <x v="25"/>
    <x v="29"/>
    <x v="29"/>
    <x v="29"/>
    <x v="6"/>
    <x v="125"/>
    <x v="218"/>
    <x v="85"/>
    <x v="285"/>
    <x v="48"/>
    <x v="199"/>
    <x v="0"/>
  </r>
  <r>
    <x v="0"/>
    <x v="25"/>
    <x v="25"/>
    <x v="66"/>
    <x v="66"/>
    <x v="66"/>
    <x v="6"/>
    <x v="125"/>
    <x v="218"/>
    <x v="93"/>
    <x v="301"/>
    <x v="53"/>
    <x v="203"/>
    <x v="0"/>
  </r>
  <r>
    <x v="0"/>
    <x v="25"/>
    <x v="25"/>
    <x v="89"/>
    <x v="89"/>
    <x v="89"/>
    <x v="6"/>
    <x v="125"/>
    <x v="218"/>
    <x v="85"/>
    <x v="285"/>
    <x v="48"/>
    <x v="199"/>
    <x v="0"/>
  </r>
  <r>
    <x v="0"/>
    <x v="25"/>
    <x v="25"/>
    <x v="24"/>
    <x v="24"/>
    <x v="24"/>
    <x v="6"/>
    <x v="125"/>
    <x v="218"/>
    <x v="91"/>
    <x v="96"/>
    <x v="41"/>
    <x v="204"/>
    <x v="0"/>
  </r>
  <r>
    <x v="0"/>
    <x v="25"/>
    <x v="25"/>
    <x v="5"/>
    <x v="5"/>
    <x v="5"/>
    <x v="6"/>
    <x v="125"/>
    <x v="218"/>
    <x v="86"/>
    <x v="302"/>
    <x v="51"/>
    <x v="201"/>
    <x v="0"/>
  </r>
  <r>
    <x v="0"/>
    <x v="25"/>
    <x v="25"/>
    <x v="90"/>
    <x v="90"/>
    <x v="90"/>
    <x v="12"/>
    <x v="126"/>
    <x v="106"/>
    <x v="85"/>
    <x v="285"/>
    <x v="41"/>
    <x v="204"/>
    <x v="0"/>
  </r>
  <r>
    <x v="0"/>
    <x v="25"/>
    <x v="25"/>
    <x v="30"/>
    <x v="30"/>
    <x v="30"/>
    <x v="13"/>
    <x v="127"/>
    <x v="93"/>
    <x v="85"/>
    <x v="285"/>
    <x v="43"/>
    <x v="200"/>
    <x v="0"/>
  </r>
  <r>
    <x v="0"/>
    <x v="25"/>
    <x v="25"/>
    <x v="79"/>
    <x v="79"/>
    <x v="79"/>
    <x v="14"/>
    <x v="128"/>
    <x v="212"/>
    <x v="122"/>
    <x v="299"/>
    <x v="40"/>
    <x v="71"/>
    <x v="0"/>
  </r>
  <r>
    <x v="0"/>
    <x v="25"/>
    <x v="25"/>
    <x v="35"/>
    <x v="35"/>
    <x v="35"/>
    <x v="14"/>
    <x v="128"/>
    <x v="212"/>
    <x v="76"/>
    <x v="50"/>
    <x v="39"/>
    <x v="39"/>
    <x v="0"/>
  </r>
  <r>
    <x v="0"/>
    <x v="25"/>
    <x v="25"/>
    <x v="80"/>
    <x v="80"/>
    <x v="80"/>
    <x v="14"/>
    <x v="128"/>
    <x v="212"/>
    <x v="93"/>
    <x v="301"/>
    <x v="41"/>
    <x v="204"/>
    <x v="0"/>
  </r>
  <r>
    <x v="0"/>
    <x v="25"/>
    <x v="25"/>
    <x v="9"/>
    <x v="9"/>
    <x v="9"/>
    <x v="14"/>
    <x v="128"/>
    <x v="212"/>
    <x v="76"/>
    <x v="50"/>
    <x v="39"/>
    <x v="39"/>
    <x v="0"/>
  </r>
  <r>
    <x v="0"/>
    <x v="25"/>
    <x v="25"/>
    <x v="7"/>
    <x v="7"/>
    <x v="7"/>
    <x v="14"/>
    <x v="128"/>
    <x v="212"/>
    <x v="76"/>
    <x v="50"/>
    <x v="39"/>
    <x v="39"/>
    <x v="0"/>
  </r>
  <r>
    <x v="0"/>
    <x v="26"/>
    <x v="26"/>
    <x v="4"/>
    <x v="4"/>
    <x v="4"/>
    <x v="0"/>
    <x v="76"/>
    <x v="238"/>
    <x v="45"/>
    <x v="303"/>
    <x v="39"/>
    <x v="39"/>
    <x v="0"/>
  </r>
  <r>
    <x v="0"/>
    <x v="26"/>
    <x v="26"/>
    <x v="10"/>
    <x v="10"/>
    <x v="10"/>
    <x v="1"/>
    <x v="81"/>
    <x v="239"/>
    <x v="83"/>
    <x v="304"/>
    <x v="50"/>
    <x v="205"/>
    <x v="0"/>
  </r>
  <r>
    <x v="0"/>
    <x v="26"/>
    <x v="26"/>
    <x v="2"/>
    <x v="2"/>
    <x v="2"/>
    <x v="2"/>
    <x v="51"/>
    <x v="240"/>
    <x v="105"/>
    <x v="305"/>
    <x v="51"/>
    <x v="23"/>
    <x v="0"/>
  </r>
  <r>
    <x v="0"/>
    <x v="26"/>
    <x v="26"/>
    <x v="0"/>
    <x v="0"/>
    <x v="0"/>
    <x v="3"/>
    <x v="65"/>
    <x v="207"/>
    <x v="56"/>
    <x v="306"/>
    <x v="63"/>
    <x v="145"/>
    <x v="0"/>
  </r>
  <r>
    <x v="0"/>
    <x v="26"/>
    <x v="26"/>
    <x v="3"/>
    <x v="3"/>
    <x v="3"/>
    <x v="4"/>
    <x v="118"/>
    <x v="241"/>
    <x v="74"/>
    <x v="307"/>
    <x v="41"/>
    <x v="35"/>
    <x v="0"/>
  </r>
  <r>
    <x v="0"/>
    <x v="26"/>
    <x v="26"/>
    <x v="8"/>
    <x v="8"/>
    <x v="8"/>
    <x v="5"/>
    <x v="52"/>
    <x v="242"/>
    <x v="84"/>
    <x v="308"/>
    <x v="43"/>
    <x v="53"/>
    <x v="0"/>
  </r>
  <r>
    <x v="0"/>
    <x v="26"/>
    <x v="26"/>
    <x v="7"/>
    <x v="7"/>
    <x v="7"/>
    <x v="18"/>
    <x v="88"/>
    <x v="243"/>
    <x v="66"/>
    <x v="4"/>
    <x v="39"/>
    <x v="39"/>
    <x v="0"/>
  </r>
  <r>
    <x v="0"/>
    <x v="26"/>
    <x v="26"/>
    <x v="24"/>
    <x v="24"/>
    <x v="24"/>
    <x v="6"/>
    <x v="89"/>
    <x v="90"/>
    <x v="79"/>
    <x v="309"/>
    <x v="50"/>
    <x v="205"/>
    <x v="0"/>
  </r>
  <r>
    <x v="0"/>
    <x v="26"/>
    <x v="26"/>
    <x v="79"/>
    <x v="79"/>
    <x v="79"/>
    <x v="6"/>
    <x v="89"/>
    <x v="90"/>
    <x v="79"/>
    <x v="309"/>
    <x v="50"/>
    <x v="205"/>
    <x v="0"/>
  </r>
  <r>
    <x v="0"/>
    <x v="26"/>
    <x v="26"/>
    <x v="29"/>
    <x v="29"/>
    <x v="29"/>
    <x v="8"/>
    <x v="85"/>
    <x v="56"/>
    <x v="86"/>
    <x v="310"/>
    <x v="42"/>
    <x v="206"/>
    <x v="0"/>
  </r>
  <r>
    <x v="0"/>
    <x v="26"/>
    <x v="26"/>
    <x v="1"/>
    <x v="1"/>
    <x v="1"/>
    <x v="9"/>
    <x v="120"/>
    <x v="105"/>
    <x v="92"/>
    <x v="121"/>
    <x v="39"/>
    <x v="39"/>
    <x v="0"/>
  </r>
  <r>
    <x v="0"/>
    <x v="26"/>
    <x v="26"/>
    <x v="66"/>
    <x v="66"/>
    <x v="66"/>
    <x v="10"/>
    <x v="122"/>
    <x v="109"/>
    <x v="76"/>
    <x v="311"/>
    <x v="46"/>
    <x v="207"/>
    <x v="0"/>
  </r>
  <r>
    <x v="0"/>
    <x v="26"/>
    <x v="26"/>
    <x v="5"/>
    <x v="5"/>
    <x v="5"/>
    <x v="11"/>
    <x v="131"/>
    <x v="30"/>
    <x v="55"/>
    <x v="312"/>
    <x v="40"/>
    <x v="36"/>
    <x v="0"/>
  </r>
  <r>
    <x v="0"/>
    <x v="26"/>
    <x v="26"/>
    <x v="9"/>
    <x v="9"/>
    <x v="9"/>
    <x v="11"/>
    <x v="131"/>
    <x v="30"/>
    <x v="55"/>
    <x v="312"/>
    <x v="40"/>
    <x v="36"/>
    <x v="0"/>
  </r>
  <r>
    <x v="0"/>
    <x v="26"/>
    <x v="26"/>
    <x v="12"/>
    <x v="12"/>
    <x v="12"/>
    <x v="13"/>
    <x v="134"/>
    <x v="110"/>
    <x v="85"/>
    <x v="313"/>
    <x v="50"/>
    <x v="205"/>
    <x v="0"/>
  </r>
  <r>
    <x v="0"/>
    <x v="26"/>
    <x v="26"/>
    <x v="18"/>
    <x v="18"/>
    <x v="18"/>
    <x v="13"/>
    <x v="134"/>
    <x v="110"/>
    <x v="86"/>
    <x v="310"/>
    <x v="48"/>
    <x v="208"/>
    <x v="0"/>
  </r>
  <r>
    <x v="0"/>
    <x v="26"/>
    <x v="26"/>
    <x v="6"/>
    <x v="6"/>
    <x v="6"/>
    <x v="13"/>
    <x v="134"/>
    <x v="110"/>
    <x v="121"/>
    <x v="67"/>
    <x v="39"/>
    <x v="39"/>
    <x v="0"/>
  </r>
  <r>
    <x v="0"/>
    <x v="26"/>
    <x v="26"/>
    <x v="30"/>
    <x v="30"/>
    <x v="30"/>
    <x v="13"/>
    <x v="134"/>
    <x v="110"/>
    <x v="85"/>
    <x v="313"/>
    <x v="41"/>
    <x v="35"/>
    <x v="0"/>
  </r>
  <r>
    <x v="0"/>
    <x v="26"/>
    <x v="26"/>
    <x v="56"/>
    <x v="56"/>
    <x v="56"/>
    <x v="17"/>
    <x v="123"/>
    <x v="129"/>
    <x v="56"/>
    <x v="306"/>
    <x v="40"/>
    <x v="36"/>
    <x v="0"/>
  </r>
  <r>
    <x v="0"/>
    <x v="26"/>
    <x v="26"/>
    <x v="20"/>
    <x v="20"/>
    <x v="20"/>
    <x v="17"/>
    <x v="123"/>
    <x v="129"/>
    <x v="93"/>
    <x v="314"/>
    <x v="46"/>
    <x v="207"/>
    <x v="0"/>
  </r>
  <r>
    <x v="0"/>
    <x v="26"/>
    <x v="26"/>
    <x v="16"/>
    <x v="16"/>
    <x v="16"/>
    <x v="17"/>
    <x v="123"/>
    <x v="129"/>
    <x v="62"/>
    <x v="315"/>
    <x v="39"/>
    <x v="39"/>
    <x v="0"/>
  </r>
  <r>
    <x v="0"/>
    <x v="27"/>
    <x v="27"/>
    <x v="1"/>
    <x v="1"/>
    <x v="1"/>
    <x v="0"/>
    <x v="51"/>
    <x v="244"/>
    <x v="51"/>
    <x v="316"/>
    <x v="39"/>
    <x v="39"/>
    <x v="0"/>
  </r>
  <r>
    <x v="0"/>
    <x v="27"/>
    <x v="27"/>
    <x v="0"/>
    <x v="0"/>
    <x v="0"/>
    <x v="1"/>
    <x v="63"/>
    <x v="245"/>
    <x v="66"/>
    <x v="317"/>
    <x v="46"/>
    <x v="209"/>
    <x v="0"/>
  </r>
  <r>
    <x v="0"/>
    <x v="27"/>
    <x v="27"/>
    <x v="2"/>
    <x v="2"/>
    <x v="2"/>
    <x v="2"/>
    <x v="83"/>
    <x v="246"/>
    <x v="119"/>
    <x v="318"/>
    <x v="39"/>
    <x v="39"/>
    <x v="0"/>
  </r>
  <r>
    <x v="0"/>
    <x v="27"/>
    <x v="27"/>
    <x v="4"/>
    <x v="4"/>
    <x v="4"/>
    <x v="3"/>
    <x v="88"/>
    <x v="247"/>
    <x v="106"/>
    <x v="319"/>
    <x v="43"/>
    <x v="33"/>
    <x v="0"/>
  </r>
  <r>
    <x v="0"/>
    <x v="27"/>
    <x v="27"/>
    <x v="3"/>
    <x v="3"/>
    <x v="3"/>
    <x v="4"/>
    <x v="120"/>
    <x v="200"/>
    <x v="92"/>
    <x v="181"/>
    <x v="39"/>
    <x v="39"/>
    <x v="0"/>
  </r>
  <r>
    <x v="0"/>
    <x v="27"/>
    <x v="27"/>
    <x v="8"/>
    <x v="8"/>
    <x v="8"/>
    <x v="5"/>
    <x v="122"/>
    <x v="22"/>
    <x v="53"/>
    <x v="320"/>
    <x v="39"/>
    <x v="39"/>
    <x v="0"/>
  </r>
  <r>
    <x v="0"/>
    <x v="27"/>
    <x v="27"/>
    <x v="9"/>
    <x v="9"/>
    <x v="9"/>
    <x v="18"/>
    <x v="123"/>
    <x v="5"/>
    <x v="91"/>
    <x v="143"/>
    <x v="30"/>
    <x v="210"/>
    <x v="0"/>
  </r>
  <r>
    <x v="0"/>
    <x v="27"/>
    <x v="27"/>
    <x v="13"/>
    <x v="13"/>
    <x v="13"/>
    <x v="18"/>
    <x v="123"/>
    <x v="5"/>
    <x v="55"/>
    <x v="321"/>
    <x v="43"/>
    <x v="33"/>
    <x v="0"/>
  </r>
  <r>
    <x v="0"/>
    <x v="27"/>
    <x v="27"/>
    <x v="12"/>
    <x v="12"/>
    <x v="12"/>
    <x v="7"/>
    <x v="125"/>
    <x v="202"/>
    <x v="93"/>
    <x v="322"/>
    <x v="53"/>
    <x v="211"/>
    <x v="0"/>
  </r>
  <r>
    <x v="0"/>
    <x v="27"/>
    <x v="27"/>
    <x v="10"/>
    <x v="10"/>
    <x v="10"/>
    <x v="7"/>
    <x v="125"/>
    <x v="202"/>
    <x v="56"/>
    <x v="323"/>
    <x v="43"/>
    <x v="33"/>
    <x v="0"/>
  </r>
  <r>
    <x v="0"/>
    <x v="27"/>
    <x v="27"/>
    <x v="7"/>
    <x v="7"/>
    <x v="7"/>
    <x v="7"/>
    <x v="125"/>
    <x v="202"/>
    <x v="54"/>
    <x v="124"/>
    <x v="39"/>
    <x v="39"/>
    <x v="0"/>
  </r>
  <r>
    <x v="0"/>
    <x v="27"/>
    <x v="27"/>
    <x v="18"/>
    <x v="18"/>
    <x v="18"/>
    <x v="10"/>
    <x v="126"/>
    <x v="127"/>
    <x v="76"/>
    <x v="16"/>
    <x v="51"/>
    <x v="194"/>
    <x v="0"/>
  </r>
  <r>
    <x v="0"/>
    <x v="27"/>
    <x v="27"/>
    <x v="17"/>
    <x v="17"/>
    <x v="17"/>
    <x v="10"/>
    <x v="126"/>
    <x v="127"/>
    <x v="76"/>
    <x v="16"/>
    <x v="51"/>
    <x v="194"/>
    <x v="0"/>
  </r>
  <r>
    <x v="0"/>
    <x v="27"/>
    <x v="27"/>
    <x v="29"/>
    <x v="29"/>
    <x v="29"/>
    <x v="12"/>
    <x v="127"/>
    <x v="95"/>
    <x v="93"/>
    <x v="322"/>
    <x v="48"/>
    <x v="212"/>
    <x v="0"/>
  </r>
  <r>
    <x v="0"/>
    <x v="27"/>
    <x v="27"/>
    <x v="56"/>
    <x v="56"/>
    <x v="56"/>
    <x v="12"/>
    <x v="127"/>
    <x v="95"/>
    <x v="122"/>
    <x v="324"/>
    <x v="41"/>
    <x v="195"/>
    <x v="0"/>
  </r>
  <r>
    <x v="0"/>
    <x v="27"/>
    <x v="27"/>
    <x v="19"/>
    <x v="19"/>
    <x v="19"/>
    <x v="12"/>
    <x v="127"/>
    <x v="95"/>
    <x v="120"/>
    <x v="189"/>
    <x v="30"/>
    <x v="210"/>
    <x v="0"/>
  </r>
  <r>
    <x v="0"/>
    <x v="27"/>
    <x v="27"/>
    <x v="30"/>
    <x v="30"/>
    <x v="30"/>
    <x v="12"/>
    <x v="127"/>
    <x v="95"/>
    <x v="93"/>
    <x v="322"/>
    <x v="40"/>
    <x v="198"/>
    <x v="0"/>
  </r>
  <r>
    <x v="0"/>
    <x v="27"/>
    <x v="27"/>
    <x v="5"/>
    <x v="5"/>
    <x v="5"/>
    <x v="16"/>
    <x v="128"/>
    <x v="111"/>
    <x v="91"/>
    <x v="143"/>
    <x v="43"/>
    <x v="33"/>
    <x v="0"/>
  </r>
  <r>
    <x v="0"/>
    <x v="27"/>
    <x v="27"/>
    <x v="57"/>
    <x v="57"/>
    <x v="57"/>
    <x v="16"/>
    <x v="128"/>
    <x v="111"/>
    <x v="91"/>
    <x v="143"/>
    <x v="43"/>
    <x v="33"/>
    <x v="0"/>
  </r>
  <r>
    <x v="0"/>
    <x v="27"/>
    <x v="27"/>
    <x v="83"/>
    <x v="83"/>
    <x v="83"/>
    <x v="16"/>
    <x v="128"/>
    <x v="111"/>
    <x v="120"/>
    <x v="189"/>
    <x v="48"/>
    <x v="212"/>
    <x v="0"/>
  </r>
  <r>
    <x v="0"/>
    <x v="27"/>
    <x v="27"/>
    <x v="58"/>
    <x v="58"/>
    <x v="58"/>
    <x v="16"/>
    <x v="128"/>
    <x v="111"/>
    <x v="76"/>
    <x v="16"/>
    <x v="39"/>
    <x v="39"/>
    <x v="0"/>
  </r>
  <r>
    <x v="0"/>
    <x v="27"/>
    <x v="27"/>
    <x v="16"/>
    <x v="16"/>
    <x v="16"/>
    <x v="16"/>
    <x v="128"/>
    <x v="111"/>
    <x v="76"/>
    <x v="16"/>
    <x v="39"/>
    <x v="39"/>
    <x v="0"/>
  </r>
  <r>
    <x v="0"/>
    <x v="28"/>
    <x v="28"/>
    <x v="0"/>
    <x v="0"/>
    <x v="0"/>
    <x v="0"/>
    <x v="137"/>
    <x v="248"/>
    <x v="123"/>
    <x v="325"/>
    <x v="60"/>
    <x v="213"/>
    <x v="0"/>
  </r>
  <r>
    <x v="0"/>
    <x v="28"/>
    <x v="28"/>
    <x v="2"/>
    <x v="2"/>
    <x v="2"/>
    <x v="1"/>
    <x v="101"/>
    <x v="239"/>
    <x v="90"/>
    <x v="326"/>
    <x v="30"/>
    <x v="214"/>
    <x v="0"/>
  </r>
  <r>
    <x v="0"/>
    <x v="28"/>
    <x v="28"/>
    <x v="4"/>
    <x v="4"/>
    <x v="4"/>
    <x v="2"/>
    <x v="61"/>
    <x v="249"/>
    <x v="47"/>
    <x v="327"/>
    <x v="39"/>
    <x v="39"/>
    <x v="0"/>
  </r>
  <r>
    <x v="0"/>
    <x v="28"/>
    <x v="28"/>
    <x v="3"/>
    <x v="3"/>
    <x v="3"/>
    <x v="3"/>
    <x v="62"/>
    <x v="228"/>
    <x v="52"/>
    <x v="328"/>
    <x v="40"/>
    <x v="77"/>
    <x v="0"/>
  </r>
  <r>
    <x v="0"/>
    <x v="28"/>
    <x v="28"/>
    <x v="7"/>
    <x v="7"/>
    <x v="7"/>
    <x v="4"/>
    <x v="53"/>
    <x v="250"/>
    <x v="84"/>
    <x v="329"/>
    <x v="39"/>
    <x v="39"/>
    <x v="0"/>
  </r>
  <r>
    <x v="0"/>
    <x v="28"/>
    <x v="28"/>
    <x v="19"/>
    <x v="19"/>
    <x v="19"/>
    <x v="5"/>
    <x v="83"/>
    <x v="251"/>
    <x v="53"/>
    <x v="330"/>
    <x v="46"/>
    <x v="215"/>
    <x v="0"/>
  </r>
  <r>
    <x v="0"/>
    <x v="28"/>
    <x v="28"/>
    <x v="10"/>
    <x v="10"/>
    <x v="10"/>
    <x v="18"/>
    <x v="88"/>
    <x v="169"/>
    <x v="57"/>
    <x v="331"/>
    <x v="41"/>
    <x v="216"/>
    <x v="0"/>
  </r>
  <r>
    <x v="0"/>
    <x v="28"/>
    <x v="28"/>
    <x v="12"/>
    <x v="12"/>
    <x v="12"/>
    <x v="6"/>
    <x v="89"/>
    <x v="252"/>
    <x v="85"/>
    <x v="332"/>
    <x v="21"/>
    <x v="217"/>
    <x v="0"/>
  </r>
  <r>
    <x v="0"/>
    <x v="28"/>
    <x v="28"/>
    <x v="16"/>
    <x v="16"/>
    <x v="16"/>
    <x v="7"/>
    <x v="105"/>
    <x v="26"/>
    <x v="53"/>
    <x v="330"/>
    <x v="41"/>
    <x v="216"/>
    <x v="0"/>
  </r>
  <r>
    <x v="0"/>
    <x v="28"/>
    <x v="28"/>
    <x v="25"/>
    <x v="25"/>
    <x v="25"/>
    <x v="8"/>
    <x v="106"/>
    <x v="7"/>
    <x v="54"/>
    <x v="36"/>
    <x v="46"/>
    <x v="215"/>
    <x v="0"/>
  </r>
  <r>
    <x v="0"/>
    <x v="28"/>
    <x v="28"/>
    <x v="29"/>
    <x v="29"/>
    <x v="29"/>
    <x v="9"/>
    <x v="120"/>
    <x v="58"/>
    <x v="91"/>
    <x v="333"/>
    <x v="47"/>
    <x v="218"/>
    <x v="0"/>
  </r>
  <r>
    <x v="0"/>
    <x v="28"/>
    <x v="28"/>
    <x v="50"/>
    <x v="50"/>
    <x v="50"/>
    <x v="9"/>
    <x v="120"/>
    <x v="58"/>
    <x v="48"/>
    <x v="334"/>
    <x v="43"/>
    <x v="69"/>
    <x v="0"/>
  </r>
  <r>
    <x v="0"/>
    <x v="28"/>
    <x v="28"/>
    <x v="13"/>
    <x v="13"/>
    <x v="13"/>
    <x v="9"/>
    <x v="120"/>
    <x v="58"/>
    <x v="48"/>
    <x v="334"/>
    <x v="43"/>
    <x v="69"/>
    <x v="0"/>
  </r>
  <r>
    <x v="0"/>
    <x v="28"/>
    <x v="28"/>
    <x v="11"/>
    <x v="11"/>
    <x v="11"/>
    <x v="12"/>
    <x v="121"/>
    <x v="127"/>
    <x v="86"/>
    <x v="84"/>
    <x v="46"/>
    <x v="215"/>
    <x v="0"/>
  </r>
  <r>
    <x v="0"/>
    <x v="28"/>
    <x v="28"/>
    <x v="24"/>
    <x v="24"/>
    <x v="24"/>
    <x v="13"/>
    <x v="122"/>
    <x v="211"/>
    <x v="85"/>
    <x v="332"/>
    <x v="55"/>
    <x v="219"/>
    <x v="0"/>
  </r>
  <r>
    <x v="0"/>
    <x v="28"/>
    <x v="28"/>
    <x v="87"/>
    <x v="87"/>
    <x v="87"/>
    <x v="13"/>
    <x v="122"/>
    <x v="211"/>
    <x v="86"/>
    <x v="84"/>
    <x v="50"/>
    <x v="55"/>
    <x v="0"/>
  </r>
  <r>
    <x v="0"/>
    <x v="28"/>
    <x v="28"/>
    <x v="79"/>
    <x v="79"/>
    <x v="79"/>
    <x v="13"/>
    <x v="122"/>
    <x v="211"/>
    <x v="121"/>
    <x v="65"/>
    <x v="40"/>
    <x v="77"/>
    <x v="0"/>
  </r>
  <r>
    <x v="0"/>
    <x v="28"/>
    <x v="28"/>
    <x v="5"/>
    <x v="5"/>
    <x v="5"/>
    <x v="13"/>
    <x v="122"/>
    <x v="211"/>
    <x v="62"/>
    <x v="15"/>
    <x v="41"/>
    <x v="216"/>
    <x v="0"/>
  </r>
  <r>
    <x v="0"/>
    <x v="28"/>
    <x v="28"/>
    <x v="91"/>
    <x v="91"/>
    <x v="91"/>
    <x v="17"/>
    <x v="135"/>
    <x v="13"/>
    <x v="76"/>
    <x v="101"/>
    <x v="50"/>
    <x v="55"/>
    <x v="0"/>
  </r>
  <r>
    <x v="0"/>
    <x v="28"/>
    <x v="28"/>
    <x v="1"/>
    <x v="1"/>
    <x v="1"/>
    <x v="17"/>
    <x v="135"/>
    <x v="13"/>
    <x v="112"/>
    <x v="127"/>
    <x v="39"/>
    <x v="39"/>
    <x v="0"/>
  </r>
  <r>
    <x v="0"/>
    <x v="28"/>
    <x v="28"/>
    <x v="8"/>
    <x v="8"/>
    <x v="8"/>
    <x v="17"/>
    <x v="135"/>
    <x v="13"/>
    <x v="79"/>
    <x v="9"/>
    <x v="43"/>
    <x v="69"/>
    <x v="0"/>
  </r>
  <r>
    <x v="0"/>
    <x v="29"/>
    <x v="29"/>
    <x v="26"/>
    <x v="26"/>
    <x v="26"/>
    <x v="0"/>
    <x v="121"/>
    <x v="253"/>
    <x v="112"/>
    <x v="335"/>
    <x v="51"/>
    <x v="220"/>
    <x v="0"/>
  </r>
  <r>
    <x v="0"/>
    <x v="29"/>
    <x v="29"/>
    <x v="15"/>
    <x v="15"/>
    <x v="15"/>
    <x v="1"/>
    <x v="131"/>
    <x v="254"/>
    <x v="121"/>
    <x v="336"/>
    <x v="43"/>
    <x v="221"/>
    <x v="0"/>
  </r>
  <r>
    <x v="0"/>
    <x v="29"/>
    <x v="29"/>
    <x v="3"/>
    <x v="3"/>
    <x v="3"/>
    <x v="2"/>
    <x v="129"/>
    <x v="255"/>
    <x v="91"/>
    <x v="337"/>
    <x v="39"/>
    <x v="39"/>
    <x v="0"/>
  </r>
  <r>
    <x v="0"/>
    <x v="29"/>
    <x v="29"/>
    <x v="12"/>
    <x v="12"/>
    <x v="12"/>
    <x v="3"/>
    <x v="130"/>
    <x v="256"/>
    <x v="122"/>
    <x v="338"/>
    <x v="43"/>
    <x v="221"/>
    <x v="0"/>
  </r>
  <r>
    <x v="0"/>
    <x v="29"/>
    <x v="29"/>
    <x v="34"/>
    <x v="34"/>
    <x v="34"/>
    <x v="4"/>
    <x v="132"/>
    <x v="257"/>
    <x v="93"/>
    <x v="339"/>
    <x v="43"/>
    <x v="221"/>
    <x v="0"/>
  </r>
  <r>
    <x v="0"/>
    <x v="29"/>
    <x v="29"/>
    <x v="5"/>
    <x v="5"/>
    <x v="5"/>
    <x v="4"/>
    <x v="132"/>
    <x v="257"/>
    <x v="122"/>
    <x v="338"/>
    <x v="39"/>
    <x v="39"/>
    <x v="0"/>
  </r>
  <r>
    <x v="0"/>
    <x v="29"/>
    <x v="29"/>
    <x v="92"/>
    <x v="92"/>
    <x v="92"/>
    <x v="4"/>
    <x v="132"/>
    <x v="257"/>
    <x v="122"/>
    <x v="338"/>
    <x v="39"/>
    <x v="39"/>
    <x v="0"/>
  </r>
  <r>
    <x v="0"/>
    <x v="29"/>
    <x v="29"/>
    <x v="27"/>
    <x v="27"/>
    <x v="27"/>
    <x v="4"/>
    <x v="132"/>
    <x v="257"/>
    <x v="122"/>
    <x v="338"/>
    <x v="39"/>
    <x v="39"/>
    <x v="0"/>
  </r>
  <r>
    <x v="0"/>
    <x v="29"/>
    <x v="29"/>
    <x v="1"/>
    <x v="1"/>
    <x v="1"/>
    <x v="4"/>
    <x v="132"/>
    <x v="257"/>
    <x v="93"/>
    <x v="339"/>
    <x v="43"/>
    <x v="221"/>
    <x v="0"/>
  </r>
  <r>
    <x v="0"/>
    <x v="29"/>
    <x v="29"/>
    <x v="84"/>
    <x v="84"/>
    <x v="84"/>
    <x v="4"/>
    <x v="132"/>
    <x v="257"/>
    <x v="122"/>
    <x v="338"/>
    <x v="39"/>
    <x v="39"/>
    <x v="0"/>
  </r>
  <r>
    <x v="0"/>
    <x v="29"/>
    <x v="29"/>
    <x v="72"/>
    <x v="72"/>
    <x v="72"/>
    <x v="4"/>
    <x v="132"/>
    <x v="257"/>
    <x v="122"/>
    <x v="338"/>
    <x v="39"/>
    <x v="39"/>
    <x v="0"/>
  </r>
  <r>
    <x v="0"/>
    <x v="29"/>
    <x v="29"/>
    <x v="44"/>
    <x v="44"/>
    <x v="44"/>
    <x v="4"/>
    <x v="132"/>
    <x v="257"/>
    <x v="120"/>
    <x v="189"/>
    <x v="39"/>
    <x v="39"/>
    <x v="0"/>
  </r>
  <r>
    <x v="0"/>
    <x v="29"/>
    <x v="29"/>
    <x v="82"/>
    <x v="82"/>
    <x v="82"/>
    <x v="4"/>
    <x v="132"/>
    <x v="257"/>
    <x v="93"/>
    <x v="339"/>
    <x v="43"/>
    <x v="221"/>
    <x v="0"/>
  </r>
  <r>
    <x v="0"/>
    <x v="29"/>
    <x v="29"/>
    <x v="24"/>
    <x v="24"/>
    <x v="24"/>
    <x v="12"/>
    <x v="133"/>
    <x v="70"/>
    <x v="93"/>
    <x v="339"/>
    <x v="39"/>
    <x v="39"/>
    <x v="0"/>
  </r>
  <r>
    <x v="0"/>
    <x v="29"/>
    <x v="29"/>
    <x v="93"/>
    <x v="93"/>
    <x v="93"/>
    <x v="12"/>
    <x v="133"/>
    <x v="70"/>
    <x v="93"/>
    <x v="339"/>
    <x v="39"/>
    <x v="39"/>
    <x v="0"/>
  </r>
  <r>
    <x v="0"/>
    <x v="29"/>
    <x v="29"/>
    <x v="53"/>
    <x v="53"/>
    <x v="53"/>
    <x v="12"/>
    <x v="133"/>
    <x v="70"/>
    <x v="120"/>
    <x v="189"/>
    <x v="39"/>
    <x v="39"/>
    <x v="0"/>
  </r>
  <r>
    <x v="0"/>
    <x v="29"/>
    <x v="29"/>
    <x v="94"/>
    <x v="94"/>
    <x v="94"/>
    <x v="12"/>
    <x v="133"/>
    <x v="70"/>
    <x v="93"/>
    <x v="339"/>
    <x v="39"/>
    <x v="39"/>
    <x v="0"/>
  </r>
  <r>
    <x v="0"/>
    <x v="29"/>
    <x v="29"/>
    <x v="35"/>
    <x v="35"/>
    <x v="35"/>
    <x v="12"/>
    <x v="133"/>
    <x v="70"/>
    <x v="93"/>
    <x v="339"/>
    <x v="39"/>
    <x v="39"/>
    <x v="0"/>
  </r>
  <r>
    <x v="0"/>
    <x v="29"/>
    <x v="29"/>
    <x v="33"/>
    <x v="33"/>
    <x v="33"/>
    <x v="12"/>
    <x v="133"/>
    <x v="70"/>
    <x v="93"/>
    <x v="339"/>
    <x v="39"/>
    <x v="39"/>
    <x v="0"/>
  </r>
  <r>
    <x v="0"/>
    <x v="29"/>
    <x v="29"/>
    <x v="95"/>
    <x v="95"/>
    <x v="95"/>
    <x v="12"/>
    <x v="133"/>
    <x v="70"/>
    <x v="120"/>
    <x v="189"/>
    <x v="43"/>
    <x v="221"/>
    <x v="0"/>
  </r>
  <r>
    <x v="0"/>
    <x v="29"/>
    <x v="29"/>
    <x v="0"/>
    <x v="0"/>
    <x v="0"/>
    <x v="12"/>
    <x v="133"/>
    <x v="70"/>
    <x v="120"/>
    <x v="189"/>
    <x v="43"/>
    <x v="221"/>
    <x v="0"/>
  </r>
  <r>
    <x v="0"/>
    <x v="29"/>
    <x v="29"/>
    <x v="91"/>
    <x v="91"/>
    <x v="91"/>
    <x v="12"/>
    <x v="133"/>
    <x v="70"/>
    <x v="120"/>
    <x v="189"/>
    <x v="43"/>
    <x v="221"/>
    <x v="0"/>
  </r>
  <r>
    <x v="0"/>
    <x v="29"/>
    <x v="29"/>
    <x v="96"/>
    <x v="96"/>
    <x v="96"/>
    <x v="12"/>
    <x v="133"/>
    <x v="70"/>
    <x v="93"/>
    <x v="339"/>
    <x v="39"/>
    <x v="39"/>
    <x v="0"/>
  </r>
  <r>
    <x v="0"/>
    <x v="29"/>
    <x v="29"/>
    <x v="97"/>
    <x v="97"/>
    <x v="97"/>
    <x v="12"/>
    <x v="133"/>
    <x v="70"/>
    <x v="93"/>
    <x v="339"/>
    <x v="39"/>
    <x v="39"/>
    <x v="0"/>
  </r>
  <r>
    <x v="0"/>
    <x v="29"/>
    <x v="29"/>
    <x v="6"/>
    <x v="6"/>
    <x v="6"/>
    <x v="12"/>
    <x v="133"/>
    <x v="70"/>
    <x v="120"/>
    <x v="189"/>
    <x v="43"/>
    <x v="221"/>
    <x v="0"/>
  </r>
  <r>
    <x v="0"/>
    <x v="29"/>
    <x v="29"/>
    <x v="61"/>
    <x v="61"/>
    <x v="61"/>
    <x v="12"/>
    <x v="133"/>
    <x v="70"/>
    <x v="120"/>
    <x v="189"/>
    <x v="39"/>
    <x v="39"/>
    <x v="0"/>
  </r>
  <r>
    <x v="0"/>
    <x v="29"/>
    <x v="29"/>
    <x v="7"/>
    <x v="7"/>
    <x v="7"/>
    <x v="12"/>
    <x v="133"/>
    <x v="70"/>
    <x v="93"/>
    <x v="339"/>
    <x v="39"/>
    <x v="39"/>
    <x v="0"/>
  </r>
  <r>
    <x v="0"/>
    <x v="29"/>
    <x v="29"/>
    <x v="17"/>
    <x v="17"/>
    <x v="17"/>
    <x v="12"/>
    <x v="133"/>
    <x v="70"/>
    <x v="93"/>
    <x v="339"/>
    <x v="39"/>
    <x v="39"/>
    <x v="0"/>
  </r>
  <r>
    <x v="0"/>
    <x v="29"/>
    <x v="29"/>
    <x v="98"/>
    <x v="98"/>
    <x v="98"/>
    <x v="12"/>
    <x v="133"/>
    <x v="70"/>
    <x v="120"/>
    <x v="189"/>
    <x v="39"/>
    <x v="39"/>
    <x v="0"/>
  </r>
  <r>
    <x v="0"/>
    <x v="29"/>
    <x v="29"/>
    <x v="74"/>
    <x v="74"/>
    <x v="74"/>
    <x v="12"/>
    <x v="133"/>
    <x v="70"/>
    <x v="93"/>
    <x v="339"/>
    <x v="39"/>
    <x v="39"/>
    <x v="0"/>
  </r>
  <r>
    <x v="0"/>
    <x v="29"/>
    <x v="29"/>
    <x v="81"/>
    <x v="81"/>
    <x v="81"/>
    <x v="12"/>
    <x v="133"/>
    <x v="70"/>
    <x v="120"/>
    <x v="189"/>
    <x v="39"/>
    <x v="39"/>
    <x v="0"/>
  </r>
  <r>
    <x v="0"/>
    <x v="29"/>
    <x v="29"/>
    <x v="99"/>
    <x v="99"/>
    <x v="99"/>
    <x v="12"/>
    <x v="133"/>
    <x v="70"/>
    <x v="120"/>
    <x v="189"/>
    <x v="43"/>
    <x v="221"/>
    <x v="0"/>
  </r>
  <r>
    <x v="0"/>
    <x v="30"/>
    <x v="30"/>
    <x v="15"/>
    <x v="15"/>
    <x v="15"/>
    <x v="0"/>
    <x v="61"/>
    <x v="258"/>
    <x v="49"/>
    <x v="340"/>
    <x v="53"/>
    <x v="222"/>
    <x v="0"/>
  </r>
  <r>
    <x v="0"/>
    <x v="30"/>
    <x v="30"/>
    <x v="26"/>
    <x v="26"/>
    <x v="26"/>
    <x v="1"/>
    <x v="51"/>
    <x v="259"/>
    <x v="52"/>
    <x v="341"/>
    <x v="41"/>
    <x v="223"/>
    <x v="0"/>
  </r>
  <r>
    <x v="0"/>
    <x v="30"/>
    <x v="30"/>
    <x v="28"/>
    <x v="28"/>
    <x v="28"/>
    <x v="2"/>
    <x v="134"/>
    <x v="260"/>
    <x v="121"/>
    <x v="342"/>
    <x v="39"/>
    <x v="39"/>
    <x v="0"/>
  </r>
  <r>
    <x v="0"/>
    <x v="30"/>
    <x v="30"/>
    <x v="6"/>
    <x v="6"/>
    <x v="6"/>
    <x v="3"/>
    <x v="127"/>
    <x v="101"/>
    <x v="86"/>
    <x v="290"/>
    <x v="39"/>
    <x v="39"/>
    <x v="0"/>
  </r>
  <r>
    <x v="0"/>
    <x v="30"/>
    <x v="30"/>
    <x v="3"/>
    <x v="3"/>
    <x v="3"/>
    <x v="3"/>
    <x v="127"/>
    <x v="101"/>
    <x v="76"/>
    <x v="292"/>
    <x v="43"/>
    <x v="224"/>
    <x v="0"/>
  </r>
  <r>
    <x v="0"/>
    <x v="30"/>
    <x v="30"/>
    <x v="5"/>
    <x v="5"/>
    <x v="5"/>
    <x v="5"/>
    <x v="129"/>
    <x v="39"/>
    <x v="85"/>
    <x v="295"/>
    <x v="43"/>
    <x v="224"/>
    <x v="0"/>
  </r>
  <r>
    <x v="0"/>
    <x v="30"/>
    <x v="30"/>
    <x v="92"/>
    <x v="92"/>
    <x v="92"/>
    <x v="5"/>
    <x v="129"/>
    <x v="39"/>
    <x v="91"/>
    <x v="294"/>
    <x v="39"/>
    <x v="39"/>
    <x v="0"/>
  </r>
  <r>
    <x v="0"/>
    <x v="30"/>
    <x v="30"/>
    <x v="100"/>
    <x v="100"/>
    <x v="100"/>
    <x v="5"/>
    <x v="129"/>
    <x v="39"/>
    <x v="91"/>
    <x v="294"/>
    <x v="39"/>
    <x v="39"/>
    <x v="0"/>
  </r>
  <r>
    <x v="0"/>
    <x v="30"/>
    <x v="30"/>
    <x v="27"/>
    <x v="27"/>
    <x v="27"/>
    <x v="7"/>
    <x v="130"/>
    <x v="26"/>
    <x v="85"/>
    <x v="295"/>
    <x v="39"/>
    <x v="39"/>
    <x v="0"/>
  </r>
  <r>
    <x v="0"/>
    <x v="30"/>
    <x v="30"/>
    <x v="1"/>
    <x v="1"/>
    <x v="1"/>
    <x v="7"/>
    <x v="130"/>
    <x v="26"/>
    <x v="85"/>
    <x v="295"/>
    <x v="39"/>
    <x v="39"/>
    <x v="0"/>
  </r>
  <r>
    <x v="0"/>
    <x v="30"/>
    <x v="30"/>
    <x v="4"/>
    <x v="4"/>
    <x v="4"/>
    <x v="7"/>
    <x v="130"/>
    <x v="26"/>
    <x v="85"/>
    <x v="295"/>
    <x v="39"/>
    <x v="39"/>
    <x v="0"/>
  </r>
  <r>
    <x v="0"/>
    <x v="30"/>
    <x v="30"/>
    <x v="93"/>
    <x v="93"/>
    <x v="93"/>
    <x v="10"/>
    <x v="132"/>
    <x v="16"/>
    <x v="93"/>
    <x v="293"/>
    <x v="43"/>
    <x v="224"/>
    <x v="0"/>
  </r>
  <r>
    <x v="0"/>
    <x v="30"/>
    <x v="30"/>
    <x v="101"/>
    <x v="101"/>
    <x v="101"/>
    <x v="10"/>
    <x v="132"/>
    <x v="16"/>
    <x v="122"/>
    <x v="17"/>
    <x v="39"/>
    <x v="39"/>
    <x v="0"/>
  </r>
  <r>
    <x v="0"/>
    <x v="30"/>
    <x v="30"/>
    <x v="22"/>
    <x v="22"/>
    <x v="22"/>
    <x v="10"/>
    <x v="132"/>
    <x v="16"/>
    <x v="122"/>
    <x v="17"/>
    <x v="39"/>
    <x v="39"/>
    <x v="0"/>
  </r>
  <r>
    <x v="0"/>
    <x v="30"/>
    <x v="30"/>
    <x v="23"/>
    <x v="23"/>
    <x v="23"/>
    <x v="10"/>
    <x v="132"/>
    <x v="16"/>
    <x v="122"/>
    <x v="17"/>
    <x v="39"/>
    <x v="39"/>
    <x v="0"/>
  </r>
  <r>
    <x v="0"/>
    <x v="30"/>
    <x v="30"/>
    <x v="31"/>
    <x v="31"/>
    <x v="31"/>
    <x v="10"/>
    <x v="132"/>
    <x v="16"/>
    <x v="122"/>
    <x v="17"/>
    <x v="39"/>
    <x v="39"/>
    <x v="0"/>
  </r>
  <r>
    <x v="0"/>
    <x v="30"/>
    <x v="30"/>
    <x v="14"/>
    <x v="14"/>
    <x v="14"/>
    <x v="10"/>
    <x v="132"/>
    <x v="16"/>
    <x v="122"/>
    <x v="17"/>
    <x v="39"/>
    <x v="39"/>
    <x v="0"/>
  </r>
  <r>
    <x v="0"/>
    <x v="30"/>
    <x v="30"/>
    <x v="39"/>
    <x v="39"/>
    <x v="39"/>
    <x v="10"/>
    <x v="132"/>
    <x v="16"/>
    <x v="122"/>
    <x v="17"/>
    <x v="39"/>
    <x v="39"/>
    <x v="0"/>
  </r>
  <r>
    <x v="0"/>
    <x v="30"/>
    <x v="30"/>
    <x v="12"/>
    <x v="12"/>
    <x v="12"/>
    <x v="17"/>
    <x v="133"/>
    <x v="261"/>
    <x v="120"/>
    <x v="189"/>
    <x v="43"/>
    <x v="224"/>
    <x v="0"/>
  </r>
  <r>
    <x v="0"/>
    <x v="30"/>
    <x v="30"/>
    <x v="102"/>
    <x v="102"/>
    <x v="102"/>
    <x v="17"/>
    <x v="133"/>
    <x v="261"/>
    <x v="93"/>
    <x v="293"/>
    <x v="39"/>
    <x v="39"/>
    <x v="0"/>
  </r>
  <r>
    <x v="0"/>
    <x v="30"/>
    <x v="30"/>
    <x v="103"/>
    <x v="103"/>
    <x v="103"/>
    <x v="17"/>
    <x v="133"/>
    <x v="261"/>
    <x v="93"/>
    <x v="293"/>
    <x v="39"/>
    <x v="39"/>
    <x v="0"/>
  </r>
  <r>
    <x v="0"/>
    <x v="30"/>
    <x v="30"/>
    <x v="24"/>
    <x v="24"/>
    <x v="24"/>
    <x v="17"/>
    <x v="133"/>
    <x v="261"/>
    <x v="93"/>
    <x v="293"/>
    <x v="39"/>
    <x v="39"/>
    <x v="0"/>
  </r>
  <r>
    <x v="0"/>
    <x v="30"/>
    <x v="30"/>
    <x v="54"/>
    <x v="54"/>
    <x v="54"/>
    <x v="17"/>
    <x v="133"/>
    <x v="261"/>
    <x v="120"/>
    <x v="189"/>
    <x v="39"/>
    <x v="39"/>
    <x v="0"/>
  </r>
  <r>
    <x v="0"/>
    <x v="30"/>
    <x v="30"/>
    <x v="104"/>
    <x v="104"/>
    <x v="104"/>
    <x v="17"/>
    <x v="133"/>
    <x v="261"/>
    <x v="120"/>
    <x v="189"/>
    <x v="39"/>
    <x v="39"/>
    <x v="0"/>
  </r>
  <r>
    <x v="0"/>
    <x v="30"/>
    <x v="30"/>
    <x v="105"/>
    <x v="105"/>
    <x v="105"/>
    <x v="17"/>
    <x v="133"/>
    <x v="261"/>
    <x v="93"/>
    <x v="293"/>
    <x v="39"/>
    <x v="39"/>
    <x v="0"/>
  </r>
  <r>
    <x v="0"/>
    <x v="30"/>
    <x v="30"/>
    <x v="34"/>
    <x v="34"/>
    <x v="34"/>
    <x v="17"/>
    <x v="133"/>
    <x v="261"/>
    <x v="93"/>
    <x v="293"/>
    <x v="39"/>
    <x v="39"/>
    <x v="0"/>
  </r>
  <r>
    <x v="0"/>
    <x v="30"/>
    <x v="30"/>
    <x v="77"/>
    <x v="77"/>
    <x v="77"/>
    <x v="17"/>
    <x v="133"/>
    <x v="261"/>
    <x v="93"/>
    <x v="293"/>
    <x v="39"/>
    <x v="39"/>
    <x v="0"/>
  </r>
  <r>
    <x v="0"/>
    <x v="30"/>
    <x v="30"/>
    <x v="38"/>
    <x v="38"/>
    <x v="38"/>
    <x v="17"/>
    <x v="133"/>
    <x v="261"/>
    <x v="120"/>
    <x v="189"/>
    <x v="43"/>
    <x v="224"/>
    <x v="0"/>
  </r>
  <r>
    <x v="0"/>
    <x v="30"/>
    <x v="30"/>
    <x v="9"/>
    <x v="9"/>
    <x v="9"/>
    <x v="17"/>
    <x v="133"/>
    <x v="261"/>
    <x v="120"/>
    <x v="189"/>
    <x v="43"/>
    <x v="224"/>
    <x v="0"/>
  </r>
  <r>
    <x v="0"/>
    <x v="30"/>
    <x v="30"/>
    <x v="91"/>
    <x v="91"/>
    <x v="91"/>
    <x v="17"/>
    <x v="133"/>
    <x v="261"/>
    <x v="120"/>
    <x v="189"/>
    <x v="43"/>
    <x v="224"/>
    <x v="0"/>
  </r>
  <r>
    <x v="0"/>
    <x v="30"/>
    <x v="30"/>
    <x v="106"/>
    <x v="106"/>
    <x v="106"/>
    <x v="17"/>
    <x v="133"/>
    <x v="261"/>
    <x v="93"/>
    <x v="293"/>
    <x v="39"/>
    <x v="39"/>
    <x v="0"/>
  </r>
  <r>
    <x v="0"/>
    <x v="30"/>
    <x v="30"/>
    <x v="84"/>
    <x v="84"/>
    <x v="84"/>
    <x v="17"/>
    <x v="133"/>
    <x v="261"/>
    <x v="93"/>
    <x v="293"/>
    <x v="39"/>
    <x v="39"/>
    <x v="0"/>
  </r>
  <r>
    <x v="0"/>
    <x v="30"/>
    <x v="30"/>
    <x v="61"/>
    <x v="61"/>
    <x v="61"/>
    <x v="17"/>
    <x v="133"/>
    <x v="261"/>
    <x v="120"/>
    <x v="189"/>
    <x v="39"/>
    <x v="39"/>
    <x v="0"/>
  </r>
  <r>
    <x v="0"/>
    <x v="30"/>
    <x v="30"/>
    <x v="98"/>
    <x v="98"/>
    <x v="98"/>
    <x v="17"/>
    <x v="133"/>
    <x v="261"/>
    <x v="120"/>
    <x v="189"/>
    <x v="39"/>
    <x v="39"/>
    <x v="0"/>
  </r>
  <r>
    <x v="0"/>
    <x v="30"/>
    <x v="30"/>
    <x v="44"/>
    <x v="44"/>
    <x v="44"/>
    <x v="17"/>
    <x v="133"/>
    <x v="261"/>
    <x v="120"/>
    <x v="189"/>
    <x v="39"/>
    <x v="39"/>
    <x v="0"/>
  </r>
  <r>
    <x v="0"/>
    <x v="30"/>
    <x v="30"/>
    <x v="107"/>
    <x v="107"/>
    <x v="107"/>
    <x v="17"/>
    <x v="133"/>
    <x v="261"/>
    <x v="120"/>
    <x v="189"/>
    <x v="43"/>
    <x v="224"/>
    <x v="0"/>
  </r>
  <r>
    <x v="0"/>
    <x v="31"/>
    <x v="31"/>
    <x v="15"/>
    <x v="15"/>
    <x v="15"/>
    <x v="0"/>
    <x v="124"/>
    <x v="262"/>
    <x v="55"/>
    <x v="343"/>
    <x v="39"/>
    <x v="39"/>
    <x v="0"/>
  </r>
  <r>
    <x v="0"/>
    <x v="31"/>
    <x v="31"/>
    <x v="5"/>
    <x v="5"/>
    <x v="5"/>
    <x v="1"/>
    <x v="130"/>
    <x v="263"/>
    <x v="122"/>
    <x v="327"/>
    <x v="39"/>
    <x v="39"/>
    <x v="1"/>
  </r>
  <r>
    <x v="0"/>
    <x v="31"/>
    <x v="31"/>
    <x v="46"/>
    <x v="46"/>
    <x v="46"/>
    <x v="2"/>
    <x v="132"/>
    <x v="204"/>
    <x v="93"/>
    <x v="344"/>
    <x v="43"/>
    <x v="225"/>
    <x v="0"/>
  </r>
  <r>
    <x v="0"/>
    <x v="31"/>
    <x v="31"/>
    <x v="23"/>
    <x v="23"/>
    <x v="23"/>
    <x v="2"/>
    <x v="132"/>
    <x v="204"/>
    <x v="122"/>
    <x v="327"/>
    <x v="39"/>
    <x v="39"/>
    <x v="0"/>
  </r>
  <r>
    <x v="0"/>
    <x v="31"/>
    <x v="31"/>
    <x v="38"/>
    <x v="38"/>
    <x v="38"/>
    <x v="2"/>
    <x v="132"/>
    <x v="204"/>
    <x v="122"/>
    <x v="327"/>
    <x v="39"/>
    <x v="39"/>
    <x v="0"/>
  </r>
  <r>
    <x v="0"/>
    <x v="31"/>
    <x v="31"/>
    <x v="26"/>
    <x v="26"/>
    <x v="26"/>
    <x v="2"/>
    <x v="132"/>
    <x v="204"/>
    <x v="122"/>
    <x v="327"/>
    <x v="39"/>
    <x v="39"/>
    <x v="0"/>
  </r>
  <r>
    <x v="0"/>
    <x v="31"/>
    <x v="31"/>
    <x v="29"/>
    <x v="29"/>
    <x v="29"/>
    <x v="18"/>
    <x v="133"/>
    <x v="264"/>
    <x v="93"/>
    <x v="344"/>
    <x v="39"/>
    <x v="39"/>
    <x v="0"/>
  </r>
  <r>
    <x v="0"/>
    <x v="31"/>
    <x v="31"/>
    <x v="108"/>
    <x v="108"/>
    <x v="108"/>
    <x v="18"/>
    <x v="133"/>
    <x v="264"/>
    <x v="120"/>
    <x v="189"/>
    <x v="43"/>
    <x v="225"/>
    <x v="0"/>
  </r>
  <r>
    <x v="0"/>
    <x v="31"/>
    <x v="31"/>
    <x v="93"/>
    <x v="93"/>
    <x v="93"/>
    <x v="18"/>
    <x v="133"/>
    <x v="264"/>
    <x v="93"/>
    <x v="344"/>
    <x v="39"/>
    <x v="39"/>
    <x v="0"/>
  </r>
  <r>
    <x v="0"/>
    <x v="31"/>
    <x v="31"/>
    <x v="109"/>
    <x v="109"/>
    <x v="109"/>
    <x v="18"/>
    <x v="133"/>
    <x v="264"/>
    <x v="120"/>
    <x v="189"/>
    <x v="43"/>
    <x v="225"/>
    <x v="0"/>
  </r>
  <r>
    <x v="0"/>
    <x v="31"/>
    <x v="31"/>
    <x v="53"/>
    <x v="53"/>
    <x v="53"/>
    <x v="18"/>
    <x v="133"/>
    <x v="264"/>
    <x v="120"/>
    <x v="189"/>
    <x v="39"/>
    <x v="39"/>
    <x v="0"/>
  </r>
  <r>
    <x v="0"/>
    <x v="31"/>
    <x v="31"/>
    <x v="33"/>
    <x v="33"/>
    <x v="33"/>
    <x v="18"/>
    <x v="133"/>
    <x v="264"/>
    <x v="93"/>
    <x v="344"/>
    <x v="39"/>
    <x v="39"/>
    <x v="0"/>
  </r>
  <r>
    <x v="0"/>
    <x v="31"/>
    <x v="31"/>
    <x v="101"/>
    <x v="101"/>
    <x v="101"/>
    <x v="18"/>
    <x v="133"/>
    <x v="264"/>
    <x v="93"/>
    <x v="344"/>
    <x v="39"/>
    <x v="39"/>
    <x v="0"/>
  </r>
  <r>
    <x v="0"/>
    <x v="31"/>
    <x v="31"/>
    <x v="104"/>
    <x v="104"/>
    <x v="104"/>
    <x v="18"/>
    <x v="133"/>
    <x v="264"/>
    <x v="120"/>
    <x v="189"/>
    <x v="39"/>
    <x v="39"/>
    <x v="0"/>
  </r>
  <r>
    <x v="0"/>
    <x v="31"/>
    <x v="31"/>
    <x v="110"/>
    <x v="110"/>
    <x v="110"/>
    <x v="18"/>
    <x v="133"/>
    <x v="264"/>
    <x v="93"/>
    <x v="344"/>
    <x v="39"/>
    <x v="39"/>
    <x v="0"/>
  </r>
  <r>
    <x v="0"/>
    <x v="31"/>
    <x v="31"/>
    <x v="34"/>
    <x v="34"/>
    <x v="34"/>
    <x v="18"/>
    <x v="133"/>
    <x v="264"/>
    <x v="93"/>
    <x v="344"/>
    <x v="39"/>
    <x v="39"/>
    <x v="0"/>
  </r>
  <r>
    <x v="0"/>
    <x v="31"/>
    <x v="31"/>
    <x v="31"/>
    <x v="31"/>
    <x v="31"/>
    <x v="18"/>
    <x v="133"/>
    <x v="264"/>
    <x v="93"/>
    <x v="344"/>
    <x v="39"/>
    <x v="39"/>
    <x v="0"/>
  </r>
  <r>
    <x v="0"/>
    <x v="31"/>
    <x v="31"/>
    <x v="9"/>
    <x v="9"/>
    <x v="9"/>
    <x v="18"/>
    <x v="133"/>
    <x v="264"/>
    <x v="93"/>
    <x v="344"/>
    <x v="39"/>
    <x v="39"/>
    <x v="0"/>
  </r>
  <r>
    <x v="0"/>
    <x v="31"/>
    <x v="31"/>
    <x v="27"/>
    <x v="27"/>
    <x v="27"/>
    <x v="18"/>
    <x v="133"/>
    <x v="264"/>
    <x v="93"/>
    <x v="344"/>
    <x v="39"/>
    <x v="39"/>
    <x v="0"/>
  </r>
  <r>
    <x v="0"/>
    <x v="31"/>
    <x v="31"/>
    <x v="6"/>
    <x v="6"/>
    <x v="6"/>
    <x v="18"/>
    <x v="133"/>
    <x v="264"/>
    <x v="93"/>
    <x v="344"/>
    <x v="39"/>
    <x v="39"/>
    <x v="0"/>
  </r>
  <r>
    <x v="0"/>
    <x v="31"/>
    <x v="31"/>
    <x v="3"/>
    <x v="3"/>
    <x v="3"/>
    <x v="18"/>
    <x v="133"/>
    <x v="264"/>
    <x v="93"/>
    <x v="344"/>
    <x v="39"/>
    <x v="39"/>
    <x v="0"/>
  </r>
  <r>
    <x v="0"/>
    <x v="31"/>
    <x v="31"/>
    <x v="72"/>
    <x v="72"/>
    <x v="72"/>
    <x v="18"/>
    <x v="133"/>
    <x v="264"/>
    <x v="93"/>
    <x v="344"/>
    <x v="39"/>
    <x v="39"/>
    <x v="0"/>
  </r>
  <r>
    <x v="0"/>
    <x v="31"/>
    <x v="31"/>
    <x v="30"/>
    <x v="30"/>
    <x v="30"/>
    <x v="18"/>
    <x v="133"/>
    <x v="264"/>
    <x v="120"/>
    <x v="189"/>
    <x v="39"/>
    <x v="39"/>
    <x v="0"/>
  </r>
  <r>
    <x v="0"/>
    <x v="31"/>
    <x v="31"/>
    <x v="107"/>
    <x v="107"/>
    <x v="107"/>
    <x v="18"/>
    <x v="133"/>
    <x v="264"/>
    <x v="120"/>
    <x v="189"/>
    <x v="43"/>
    <x v="225"/>
    <x v="0"/>
  </r>
  <r>
    <x v="0"/>
    <x v="32"/>
    <x v="32"/>
    <x v="15"/>
    <x v="15"/>
    <x v="15"/>
    <x v="0"/>
    <x v="129"/>
    <x v="265"/>
    <x v="85"/>
    <x v="345"/>
    <x v="43"/>
    <x v="226"/>
    <x v="0"/>
  </r>
  <r>
    <x v="0"/>
    <x v="32"/>
    <x v="32"/>
    <x v="5"/>
    <x v="5"/>
    <x v="5"/>
    <x v="1"/>
    <x v="132"/>
    <x v="266"/>
    <x v="93"/>
    <x v="346"/>
    <x v="43"/>
    <x v="226"/>
    <x v="0"/>
  </r>
  <r>
    <x v="0"/>
    <x v="32"/>
    <x v="32"/>
    <x v="93"/>
    <x v="93"/>
    <x v="93"/>
    <x v="2"/>
    <x v="133"/>
    <x v="267"/>
    <x v="120"/>
    <x v="189"/>
    <x v="43"/>
    <x v="226"/>
    <x v="0"/>
  </r>
  <r>
    <x v="0"/>
    <x v="32"/>
    <x v="32"/>
    <x v="109"/>
    <x v="109"/>
    <x v="109"/>
    <x v="2"/>
    <x v="133"/>
    <x v="267"/>
    <x v="120"/>
    <x v="189"/>
    <x v="43"/>
    <x v="226"/>
    <x v="0"/>
  </r>
  <r>
    <x v="0"/>
    <x v="32"/>
    <x v="32"/>
    <x v="54"/>
    <x v="54"/>
    <x v="54"/>
    <x v="2"/>
    <x v="133"/>
    <x v="267"/>
    <x v="120"/>
    <x v="189"/>
    <x v="39"/>
    <x v="39"/>
    <x v="0"/>
  </r>
  <r>
    <x v="0"/>
    <x v="32"/>
    <x v="32"/>
    <x v="111"/>
    <x v="111"/>
    <x v="111"/>
    <x v="2"/>
    <x v="133"/>
    <x v="267"/>
    <x v="120"/>
    <x v="189"/>
    <x v="43"/>
    <x v="226"/>
    <x v="0"/>
  </r>
  <r>
    <x v="0"/>
    <x v="32"/>
    <x v="32"/>
    <x v="77"/>
    <x v="77"/>
    <x v="77"/>
    <x v="2"/>
    <x v="133"/>
    <x v="267"/>
    <x v="93"/>
    <x v="346"/>
    <x v="39"/>
    <x v="39"/>
    <x v="0"/>
  </r>
  <r>
    <x v="0"/>
    <x v="32"/>
    <x v="32"/>
    <x v="36"/>
    <x v="36"/>
    <x v="36"/>
    <x v="2"/>
    <x v="133"/>
    <x v="267"/>
    <x v="93"/>
    <x v="346"/>
    <x v="39"/>
    <x v="39"/>
    <x v="0"/>
  </r>
  <r>
    <x v="0"/>
    <x v="32"/>
    <x v="32"/>
    <x v="38"/>
    <x v="38"/>
    <x v="38"/>
    <x v="2"/>
    <x v="133"/>
    <x v="267"/>
    <x v="93"/>
    <x v="346"/>
    <x v="39"/>
    <x v="39"/>
    <x v="0"/>
  </r>
  <r>
    <x v="0"/>
    <x v="32"/>
    <x v="32"/>
    <x v="27"/>
    <x v="27"/>
    <x v="27"/>
    <x v="2"/>
    <x v="133"/>
    <x v="267"/>
    <x v="93"/>
    <x v="346"/>
    <x v="39"/>
    <x v="39"/>
    <x v="0"/>
  </r>
  <r>
    <x v="0"/>
    <x v="32"/>
    <x v="32"/>
    <x v="3"/>
    <x v="3"/>
    <x v="3"/>
    <x v="2"/>
    <x v="133"/>
    <x v="267"/>
    <x v="93"/>
    <x v="346"/>
    <x v="39"/>
    <x v="39"/>
    <x v="0"/>
  </r>
  <r>
    <x v="0"/>
    <x v="32"/>
    <x v="32"/>
    <x v="74"/>
    <x v="74"/>
    <x v="74"/>
    <x v="2"/>
    <x v="133"/>
    <x v="267"/>
    <x v="120"/>
    <x v="189"/>
    <x v="39"/>
    <x v="39"/>
    <x v="0"/>
  </r>
  <r>
    <x v="0"/>
    <x v="33"/>
    <x v="33"/>
    <x v="3"/>
    <x v="3"/>
    <x v="3"/>
    <x v="0"/>
    <x v="124"/>
    <x v="268"/>
    <x v="55"/>
    <x v="343"/>
    <x v="39"/>
    <x v="39"/>
    <x v="0"/>
  </r>
  <r>
    <x v="0"/>
    <x v="33"/>
    <x v="33"/>
    <x v="1"/>
    <x v="1"/>
    <x v="1"/>
    <x v="1"/>
    <x v="127"/>
    <x v="269"/>
    <x v="86"/>
    <x v="347"/>
    <x v="39"/>
    <x v="39"/>
    <x v="0"/>
  </r>
  <r>
    <x v="0"/>
    <x v="33"/>
    <x v="33"/>
    <x v="112"/>
    <x v="112"/>
    <x v="112"/>
    <x v="2"/>
    <x v="130"/>
    <x v="270"/>
    <x v="120"/>
    <x v="189"/>
    <x v="40"/>
    <x v="227"/>
    <x v="0"/>
  </r>
  <r>
    <x v="0"/>
    <x v="33"/>
    <x v="33"/>
    <x v="38"/>
    <x v="38"/>
    <x v="38"/>
    <x v="2"/>
    <x v="130"/>
    <x v="270"/>
    <x v="120"/>
    <x v="189"/>
    <x v="40"/>
    <x v="227"/>
    <x v="0"/>
  </r>
  <r>
    <x v="0"/>
    <x v="33"/>
    <x v="33"/>
    <x v="81"/>
    <x v="81"/>
    <x v="81"/>
    <x v="4"/>
    <x v="132"/>
    <x v="101"/>
    <x v="120"/>
    <x v="189"/>
    <x v="43"/>
    <x v="161"/>
    <x v="0"/>
  </r>
  <r>
    <x v="0"/>
    <x v="33"/>
    <x v="33"/>
    <x v="8"/>
    <x v="8"/>
    <x v="8"/>
    <x v="4"/>
    <x v="132"/>
    <x v="101"/>
    <x v="122"/>
    <x v="327"/>
    <x v="39"/>
    <x v="39"/>
    <x v="0"/>
  </r>
  <r>
    <x v="0"/>
    <x v="33"/>
    <x v="33"/>
    <x v="65"/>
    <x v="65"/>
    <x v="65"/>
    <x v="18"/>
    <x v="133"/>
    <x v="26"/>
    <x v="120"/>
    <x v="189"/>
    <x v="43"/>
    <x v="161"/>
    <x v="0"/>
  </r>
  <r>
    <x v="0"/>
    <x v="33"/>
    <x v="33"/>
    <x v="113"/>
    <x v="113"/>
    <x v="113"/>
    <x v="18"/>
    <x v="133"/>
    <x v="26"/>
    <x v="120"/>
    <x v="189"/>
    <x v="43"/>
    <x v="161"/>
    <x v="0"/>
  </r>
  <r>
    <x v="0"/>
    <x v="33"/>
    <x v="33"/>
    <x v="48"/>
    <x v="48"/>
    <x v="48"/>
    <x v="18"/>
    <x v="133"/>
    <x v="26"/>
    <x v="120"/>
    <x v="189"/>
    <x v="43"/>
    <x v="161"/>
    <x v="0"/>
  </r>
  <r>
    <x v="0"/>
    <x v="33"/>
    <x v="33"/>
    <x v="109"/>
    <x v="109"/>
    <x v="109"/>
    <x v="18"/>
    <x v="133"/>
    <x v="26"/>
    <x v="120"/>
    <x v="189"/>
    <x v="43"/>
    <x v="161"/>
    <x v="0"/>
  </r>
  <r>
    <x v="0"/>
    <x v="33"/>
    <x v="33"/>
    <x v="114"/>
    <x v="114"/>
    <x v="114"/>
    <x v="18"/>
    <x v="133"/>
    <x v="26"/>
    <x v="120"/>
    <x v="189"/>
    <x v="43"/>
    <x v="161"/>
    <x v="0"/>
  </r>
  <r>
    <x v="0"/>
    <x v="33"/>
    <x v="33"/>
    <x v="36"/>
    <x v="36"/>
    <x v="36"/>
    <x v="18"/>
    <x v="133"/>
    <x v="26"/>
    <x v="93"/>
    <x v="344"/>
    <x v="39"/>
    <x v="39"/>
    <x v="0"/>
  </r>
  <r>
    <x v="0"/>
    <x v="33"/>
    <x v="33"/>
    <x v="23"/>
    <x v="23"/>
    <x v="23"/>
    <x v="18"/>
    <x v="133"/>
    <x v="26"/>
    <x v="93"/>
    <x v="344"/>
    <x v="39"/>
    <x v="39"/>
    <x v="0"/>
  </r>
  <r>
    <x v="0"/>
    <x v="33"/>
    <x v="33"/>
    <x v="5"/>
    <x v="5"/>
    <x v="5"/>
    <x v="18"/>
    <x v="133"/>
    <x v="26"/>
    <x v="93"/>
    <x v="344"/>
    <x v="39"/>
    <x v="39"/>
    <x v="0"/>
  </r>
  <r>
    <x v="0"/>
    <x v="33"/>
    <x v="33"/>
    <x v="115"/>
    <x v="115"/>
    <x v="115"/>
    <x v="18"/>
    <x v="133"/>
    <x v="26"/>
    <x v="93"/>
    <x v="344"/>
    <x v="39"/>
    <x v="39"/>
    <x v="0"/>
  </r>
  <r>
    <x v="0"/>
    <x v="33"/>
    <x v="33"/>
    <x v="116"/>
    <x v="116"/>
    <x v="116"/>
    <x v="18"/>
    <x v="133"/>
    <x v="26"/>
    <x v="93"/>
    <x v="344"/>
    <x v="39"/>
    <x v="39"/>
    <x v="0"/>
  </r>
  <r>
    <x v="0"/>
    <x v="33"/>
    <x v="33"/>
    <x v="117"/>
    <x v="117"/>
    <x v="117"/>
    <x v="18"/>
    <x v="133"/>
    <x v="26"/>
    <x v="120"/>
    <x v="189"/>
    <x v="43"/>
    <x v="161"/>
    <x v="0"/>
  </r>
  <r>
    <x v="0"/>
    <x v="33"/>
    <x v="33"/>
    <x v="118"/>
    <x v="118"/>
    <x v="118"/>
    <x v="18"/>
    <x v="133"/>
    <x v="26"/>
    <x v="120"/>
    <x v="189"/>
    <x v="43"/>
    <x v="161"/>
    <x v="0"/>
  </r>
  <r>
    <x v="0"/>
    <x v="33"/>
    <x v="33"/>
    <x v="60"/>
    <x v="60"/>
    <x v="60"/>
    <x v="18"/>
    <x v="133"/>
    <x v="26"/>
    <x v="120"/>
    <x v="189"/>
    <x v="39"/>
    <x v="39"/>
    <x v="0"/>
  </r>
  <r>
    <x v="0"/>
    <x v="33"/>
    <x v="33"/>
    <x v="15"/>
    <x v="15"/>
    <x v="15"/>
    <x v="18"/>
    <x v="133"/>
    <x v="26"/>
    <x v="93"/>
    <x v="344"/>
    <x v="39"/>
    <x v="39"/>
    <x v="0"/>
  </r>
  <r>
    <x v="0"/>
    <x v="33"/>
    <x v="33"/>
    <x v="28"/>
    <x v="28"/>
    <x v="28"/>
    <x v="18"/>
    <x v="133"/>
    <x v="26"/>
    <x v="93"/>
    <x v="344"/>
    <x v="39"/>
    <x v="39"/>
    <x v="0"/>
  </r>
  <r>
    <x v="0"/>
    <x v="33"/>
    <x v="33"/>
    <x v="27"/>
    <x v="27"/>
    <x v="27"/>
    <x v="18"/>
    <x v="133"/>
    <x v="26"/>
    <x v="93"/>
    <x v="344"/>
    <x v="39"/>
    <x v="39"/>
    <x v="0"/>
  </r>
  <r>
    <x v="0"/>
    <x v="33"/>
    <x v="33"/>
    <x v="78"/>
    <x v="78"/>
    <x v="78"/>
    <x v="18"/>
    <x v="133"/>
    <x v="26"/>
    <x v="93"/>
    <x v="344"/>
    <x v="39"/>
    <x v="39"/>
    <x v="0"/>
  </r>
  <r>
    <x v="0"/>
    <x v="33"/>
    <x v="33"/>
    <x v="2"/>
    <x v="2"/>
    <x v="2"/>
    <x v="18"/>
    <x v="133"/>
    <x v="26"/>
    <x v="93"/>
    <x v="344"/>
    <x v="39"/>
    <x v="39"/>
    <x v="0"/>
  </r>
  <r>
    <x v="0"/>
    <x v="33"/>
    <x v="33"/>
    <x v="62"/>
    <x v="62"/>
    <x v="62"/>
    <x v="18"/>
    <x v="133"/>
    <x v="26"/>
    <x v="120"/>
    <x v="189"/>
    <x v="43"/>
    <x v="161"/>
    <x v="0"/>
  </r>
  <r>
    <x v="0"/>
    <x v="33"/>
    <x v="33"/>
    <x v="119"/>
    <x v="119"/>
    <x v="119"/>
    <x v="18"/>
    <x v="133"/>
    <x v="26"/>
    <x v="93"/>
    <x v="344"/>
    <x v="39"/>
    <x v="39"/>
    <x v="0"/>
  </r>
  <r>
    <x v="0"/>
    <x v="33"/>
    <x v="33"/>
    <x v="26"/>
    <x v="26"/>
    <x v="26"/>
    <x v="18"/>
    <x v="133"/>
    <x v="26"/>
    <x v="93"/>
    <x v="344"/>
    <x v="39"/>
    <x v="39"/>
    <x v="0"/>
  </r>
  <r>
    <x v="0"/>
    <x v="33"/>
    <x v="33"/>
    <x v="41"/>
    <x v="41"/>
    <x v="41"/>
    <x v="18"/>
    <x v="133"/>
    <x v="26"/>
    <x v="120"/>
    <x v="189"/>
    <x v="39"/>
    <x v="39"/>
    <x v="0"/>
  </r>
  <r>
    <x v="0"/>
    <x v="33"/>
    <x v="33"/>
    <x v="120"/>
    <x v="120"/>
    <x v="120"/>
    <x v="18"/>
    <x v="133"/>
    <x v="26"/>
    <x v="120"/>
    <x v="189"/>
    <x v="43"/>
    <x v="161"/>
    <x v="0"/>
  </r>
  <r>
    <x v="0"/>
    <x v="33"/>
    <x v="33"/>
    <x v="4"/>
    <x v="4"/>
    <x v="4"/>
    <x v="18"/>
    <x v="133"/>
    <x v="26"/>
    <x v="93"/>
    <x v="344"/>
    <x v="39"/>
    <x v="39"/>
    <x v="0"/>
  </r>
  <r>
    <x v="0"/>
    <x v="33"/>
    <x v="33"/>
    <x v="42"/>
    <x v="42"/>
    <x v="42"/>
    <x v="18"/>
    <x v="133"/>
    <x v="26"/>
    <x v="120"/>
    <x v="189"/>
    <x v="43"/>
    <x v="161"/>
    <x v="0"/>
  </r>
  <r>
    <x v="0"/>
    <x v="34"/>
    <x v="34"/>
    <x v="5"/>
    <x v="5"/>
    <x v="5"/>
    <x v="0"/>
    <x v="130"/>
    <x v="271"/>
    <x v="85"/>
    <x v="204"/>
    <x v="39"/>
    <x v="39"/>
    <x v="0"/>
  </r>
  <r>
    <x v="0"/>
    <x v="34"/>
    <x v="34"/>
    <x v="104"/>
    <x v="104"/>
    <x v="104"/>
    <x v="1"/>
    <x v="132"/>
    <x v="267"/>
    <x v="120"/>
    <x v="189"/>
    <x v="39"/>
    <x v="39"/>
    <x v="0"/>
  </r>
  <r>
    <x v="0"/>
    <x v="34"/>
    <x v="34"/>
    <x v="34"/>
    <x v="34"/>
    <x v="34"/>
    <x v="1"/>
    <x v="132"/>
    <x v="267"/>
    <x v="93"/>
    <x v="196"/>
    <x v="43"/>
    <x v="220"/>
    <x v="0"/>
  </r>
  <r>
    <x v="0"/>
    <x v="34"/>
    <x v="34"/>
    <x v="3"/>
    <x v="3"/>
    <x v="3"/>
    <x v="1"/>
    <x v="132"/>
    <x v="267"/>
    <x v="122"/>
    <x v="348"/>
    <x v="39"/>
    <x v="39"/>
    <x v="0"/>
  </r>
  <r>
    <x v="0"/>
    <x v="34"/>
    <x v="34"/>
    <x v="61"/>
    <x v="61"/>
    <x v="61"/>
    <x v="1"/>
    <x v="132"/>
    <x v="267"/>
    <x v="120"/>
    <x v="189"/>
    <x v="39"/>
    <x v="39"/>
    <x v="0"/>
  </r>
  <r>
    <x v="0"/>
    <x v="34"/>
    <x v="34"/>
    <x v="81"/>
    <x v="81"/>
    <x v="81"/>
    <x v="1"/>
    <x v="132"/>
    <x v="267"/>
    <x v="120"/>
    <x v="189"/>
    <x v="39"/>
    <x v="39"/>
    <x v="0"/>
  </r>
  <r>
    <x v="0"/>
    <x v="34"/>
    <x v="34"/>
    <x v="12"/>
    <x v="12"/>
    <x v="12"/>
    <x v="18"/>
    <x v="133"/>
    <x v="209"/>
    <x v="120"/>
    <x v="189"/>
    <x v="43"/>
    <x v="220"/>
    <x v="0"/>
  </r>
  <r>
    <x v="0"/>
    <x v="34"/>
    <x v="34"/>
    <x v="76"/>
    <x v="76"/>
    <x v="76"/>
    <x v="18"/>
    <x v="133"/>
    <x v="209"/>
    <x v="120"/>
    <x v="189"/>
    <x v="43"/>
    <x v="220"/>
    <x v="0"/>
  </r>
  <r>
    <x v="0"/>
    <x v="34"/>
    <x v="34"/>
    <x v="109"/>
    <x v="109"/>
    <x v="109"/>
    <x v="18"/>
    <x v="133"/>
    <x v="209"/>
    <x v="120"/>
    <x v="189"/>
    <x v="43"/>
    <x v="220"/>
    <x v="0"/>
  </r>
  <r>
    <x v="0"/>
    <x v="34"/>
    <x v="34"/>
    <x v="54"/>
    <x v="54"/>
    <x v="54"/>
    <x v="18"/>
    <x v="133"/>
    <x v="209"/>
    <x v="120"/>
    <x v="189"/>
    <x v="39"/>
    <x v="39"/>
    <x v="0"/>
  </r>
  <r>
    <x v="0"/>
    <x v="34"/>
    <x v="34"/>
    <x v="33"/>
    <x v="33"/>
    <x v="33"/>
    <x v="18"/>
    <x v="133"/>
    <x v="209"/>
    <x v="93"/>
    <x v="196"/>
    <x v="39"/>
    <x v="39"/>
    <x v="0"/>
  </r>
  <r>
    <x v="0"/>
    <x v="34"/>
    <x v="34"/>
    <x v="101"/>
    <x v="101"/>
    <x v="101"/>
    <x v="18"/>
    <x v="133"/>
    <x v="209"/>
    <x v="93"/>
    <x v="196"/>
    <x v="39"/>
    <x v="39"/>
    <x v="0"/>
  </r>
  <r>
    <x v="0"/>
    <x v="34"/>
    <x v="34"/>
    <x v="112"/>
    <x v="112"/>
    <x v="112"/>
    <x v="18"/>
    <x v="133"/>
    <x v="209"/>
    <x v="120"/>
    <x v="189"/>
    <x v="43"/>
    <x v="220"/>
    <x v="0"/>
  </r>
  <r>
    <x v="0"/>
    <x v="34"/>
    <x v="34"/>
    <x v="77"/>
    <x v="77"/>
    <x v="77"/>
    <x v="18"/>
    <x v="133"/>
    <x v="209"/>
    <x v="120"/>
    <x v="189"/>
    <x v="39"/>
    <x v="39"/>
    <x v="1"/>
  </r>
  <r>
    <x v="0"/>
    <x v="34"/>
    <x v="34"/>
    <x v="10"/>
    <x v="10"/>
    <x v="10"/>
    <x v="18"/>
    <x v="133"/>
    <x v="209"/>
    <x v="93"/>
    <x v="196"/>
    <x v="39"/>
    <x v="39"/>
    <x v="0"/>
  </r>
  <r>
    <x v="0"/>
    <x v="34"/>
    <x v="34"/>
    <x v="37"/>
    <x v="37"/>
    <x v="37"/>
    <x v="18"/>
    <x v="133"/>
    <x v="209"/>
    <x v="93"/>
    <x v="196"/>
    <x v="39"/>
    <x v="39"/>
    <x v="0"/>
  </r>
  <r>
    <x v="0"/>
    <x v="34"/>
    <x v="34"/>
    <x v="38"/>
    <x v="38"/>
    <x v="38"/>
    <x v="18"/>
    <x v="133"/>
    <x v="209"/>
    <x v="120"/>
    <x v="189"/>
    <x v="43"/>
    <x v="220"/>
    <x v="0"/>
  </r>
  <r>
    <x v="0"/>
    <x v="34"/>
    <x v="34"/>
    <x v="60"/>
    <x v="60"/>
    <x v="60"/>
    <x v="18"/>
    <x v="133"/>
    <x v="209"/>
    <x v="120"/>
    <x v="189"/>
    <x v="39"/>
    <x v="39"/>
    <x v="0"/>
  </r>
  <r>
    <x v="0"/>
    <x v="34"/>
    <x v="34"/>
    <x v="15"/>
    <x v="15"/>
    <x v="15"/>
    <x v="18"/>
    <x v="133"/>
    <x v="209"/>
    <x v="93"/>
    <x v="196"/>
    <x v="39"/>
    <x v="39"/>
    <x v="0"/>
  </r>
  <r>
    <x v="0"/>
    <x v="34"/>
    <x v="34"/>
    <x v="1"/>
    <x v="1"/>
    <x v="1"/>
    <x v="18"/>
    <x v="133"/>
    <x v="209"/>
    <x v="93"/>
    <x v="196"/>
    <x v="39"/>
    <x v="39"/>
    <x v="0"/>
  </r>
  <r>
    <x v="0"/>
    <x v="34"/>
    <x v="34"/>
    <x v="7"/>
    <x v="7"/>
    <x v="7"/>
    <x v="18"/>
    <x v="133"/>
    <x v="209"/>
    <x v="93"/>
    <x v="196"/>
    <x v="39"/>
    <x v="39"/>
    <x v="0"/>
  </r>
  <r>
    <x v="0"/>
    <x v="34"/>
    <x v="34"/>
    <x v="16"/>
    <x v="16"/>
    <x v="16"/>
    <x v="18"/>
    <x v="133"/>
    <x v="209"/>
    <x v="120"/>
    <x v="189"/>
    <x v="39"/>
    <x v="39"/>
    <x v="0"/>
  </r>
  <r>
    <x v="0"/>
    <x v="34"/>
    <x v="34"/>
    <x v="74"/>
    <x v="74"/>
    <x v="74"/>
    <x v="18"/>
    <x v="133"/>
    <x v="209"/>
    <x v="120"/>
    <x v="189"/>
    <x v="39"/>
    <x v="39"/>
    <x v="0"/>
  </r>
  <r>
    <x v="0"/>
    <x v="34"/>
    <x v="34"/>
    <x v="121"/>
    <x v="121"/>
    <x v="121"/>
    <x v="18"/>
    <x v="133"/>
    <x v="209"/>
    <x v="120"/>
    <x v="189"/>
    <x v="39"/>
    <x v="39"/>
    <x v="0"/>
  </r>
  <r>
    <x v="0"/>
    <x v="34"/>
    <x v="34"/>
    <x v="8"/>
    <x v="8"/>
    <x v="8"/>
    <x v="18"/>
    <x v="133"/>
    <x v="209"/>
    <x v="93"/>
    <x v="196"/>
    <x v="39"/>
    <x v="39"/>
    <x v="0"/>
  </r>
  <r>
    <x v="0"/>
    <x v="35"/>
    <x v="35"/>
    <x v="5"/>
    <x v="5"/>
    <x v="5"/>
    <x v="0"/>
    <x v="126"/>
    <x v="272"/>
    <x v="91"/>
    <x v="349"/>
    <x v="40"/>
    <x v="226"/>
    <x v="0"/>
  </r>
  <r>
    <x v="0"/>
    <x v="35"/>
    <x v="35"/>
    <x v="1"/>
    <x v="1"/>
    <x v="1"/>
    <x v="1"/>
    <x v="129"/>
    <x v="273"/>
    <x v="91"/>
    <x v="349"/>
    <x v="39"/>
    <x v="39"/>
    <x v="0"/>
  </r>
  <r>
    <x v="0"/>
    <x v="35"/>
    <x v="35"/>
    <x v="12"/>
    <x v="12"/>
    <x v="12"/>
    <x v="2"/>
    <x v="130"/>
    <x v="99"/>
    <x v="120"/>
    <x v="189"/>
    <x v="40"/>
    <x v="226"/>
    <x v="0"/>
  </r>
  <r>
    <x v="0"/>
    <x v="35"/>
    <x v="35"/>
    <x v="34"/>
    <x v="34"/>
    <x v="34"/>
    <x v="2"/>
    <x v="130"/>
    <x v="99"/>
    <x v="122"/>
    <x v="3"/>
    <x v="43"/>
    <x v="151"/>
    <x v="0"/>
  </r>
  <r>
    <x v="0"/>
    <x v="35"/>
    <x v="35"/>
    <x v="36"/>
    <x v="36"/>
    <x v="36"/>
    <x v="2"/>
    <x v="130"/>
    <x v="99"/>
    <x v="85"/>
    <x v="350"/>
    <x v="39"/>
    <x v="39"/>
    <x v="0"/>
  </r>
  <r>
    <x v="0"/>
    <x v="35"/>
    <x v="35"/>
    <x v="15"/>
    <x v="15"/>
    <x v="15"/>
    <x v="2"/>
    <x v="130"/>
    <x v="99"/>
    <x v="85"/>
    <x v="350"/>
    <x v="39"/>
    <x v="39"/>
    <x v="0"/>
  </r>
  <r>
    <x v="0"/>
    <x v="35"/>
    <x v="35"/>
    <x v="3"/>
    <x v="3"/>
    <x v="3"/>
    <x v="2"/>
    <x v="130"/>
    <x v="99"/>
    <x v="85"/>
    <x v="350"/>
    <x v="39"/>
    <x v="39"/>
    <x v="0"/>
  </r>
  <r>
    <x v="0"/>
    <x v="35"/>
    <x v="35"/>
    <x v="93"/>
    <x v="93"/>
    <x v="93"/>
    <x v="6"/>
    <x v="132"/>
    <x v="274"/>
    <x v="93"/>
    <x v="351"/>
    <x v="43"/>
    <x v="151"/>
    <x v="0"/>
  </r>
  <r>
    <x v="0"/>
    <x v="35"/>
    <x v="35"/>
    <x v="24"/>
    <x v="24"/>
    <x v="24"/>
    <x v="7"/>
    <x v="133"/>
    <x v="7"/>
    <x v="93"/>
    <x v="351"/>
    <x v="39"/>
    <x v="39"/>
    <x v="0"/>
  </r>
  <r>
    <x v="0"/>
    <x v="35"/>
    <x v="35"/>
    <x v="113"/>
    <x v="113"/>
    <x v="113"/>
    <x v="7"/>
    <x v="133"/>
    <x v="7"/>
    <x v="120"/>
    <x v="189"/>
    <x v="43"/>
    <x v="151"/>
    <x v="0"/>
  </r>
  <r>
    <x v="0"/>
    <x v="35"/>
    <x v="35"/>
    <x v="108"/>
    <x v="108"/>
    <x v="108"/>
    <x v="7"/>
    <x v="133"/>
    <x v="7"/>
    <x v="120"/>
    <x v="189"/>
    <x v="43"/>
    <x v="151"/>
    <x v="0"/>
  </r>
  <r>
    <x v="0"/>
    <x v="35"/>
    <x v="35"/>
    <x v="46"/>
    <x v="46"/>
    <x v="46"/>
    <x v="7"/>
    <x v="133"/>
    <x v="7"/>
    <x v="93"/>
    <x v="351"/>
    <x v="39"/>
    <x v="39"/>
    <x v="0"/>
  </r>
  <r>
    <x v="0"/>
    <x v="35"/>
    <x v="35"/>
    <x v="76"/>
    <x v="76"/>
    <x v="76"/>
    <x v="7"/>
    <x v="133"/>
    <x v="7"/>
    <x v="120"/>
    <x v="189"/>
    <x v="39"/>
    <x v="39"/>
    <x v="1"/>
  </r>
  <r>
    <x v="0"/>
    <x v="35"/>
    <x v="35"/>
    <x v="48"/>
    <x v="48"/>
    <x v="48"/>
    <x v="7"/>
    <x v="133"/>
    <x v="7"/>
    <x v="93"/>
    <x v="351"/>
    <x v="39"/>
    <x v="39"/>
    <x v="0"/>
  </r>
  <r>
    <x v="0"/>
    <x v="35"/>
    <x v="35"/>
    <x v="122"/>
    <x v="122"/>
    <x v="122"/>
    <x v="7"/>
    <x v="133"/>
    <x v="7"/>
    <x v="120"/>
    <x v="189"/>
    <x v="43"/>
    <x v="151"/>
    <x v="0"/>
  </r>
  <r>
    <x v="0"/>
    <x v="35"/>
    <x v="35"/>
    <x v="123"/>
    <x v="123"/>
    <x v="123"/>
    <x v="7"/>
    <x v="133"/>
    <x v="7"/>
    <x v="93"/>
    <x v="351"/>
    <x v="39"/>
    <x v="39"/>
    <x v="0"/>
  </r>
  <r>
    <x v="0"/>
    <x v="35"/>
    <x v="35"/>
    <x v="124"/>
    <x v="124"/>
    <x v="124"/>
    <x v="7"/>
    <x v="133"/>
    <x v="7"/>
    <x v="120"/>
    <x v="189"/>
    <x v="43"/>
    <x v="151"/>
    <x v="0"/>
  </r>
  <r>
    <x v="0"/>
    <x v="35"/>
    <x v="35"/>
    <x v="110"/>
    <x v="110"/>
    <x v="110"/>
    <x v="7"/>
    <x v="133"/>
    <x v="7"/>
    <x v="93"/>
    <x v="351"/>
    <x v="39"/>
    <x v="39"/>
    <x v="0"/>
  </r>
  <r>
    <x v="0"/>
    <x v="35"/>
    <x v="35"/>
    <x v="125"/>
    <x v="125"/>
    <x v="125"/>
    <x v="7"/>
    <x v="133"/>
    <x v="7"/>
    <x v="120"/>
    <x v="189"/>
    <x v="43"/>
    <x v="151"/>
    <x v="0"/>
  </r>
  <r>
    <x v="0"/>
    <x v="35"/>
    <x v="35"/>
    <x v="77"/>
    <x v="77"/>
    <x v="77"/>
    <x v="7"/>
    <x v="133"/>
    <x v="7"/>
    <x v="93"/>
    <x v="351"/>
    <x v="39"/>
    <x v="39"/>
    <x v="0"/>
  </r>
  <r>
    <x v="0"/>
    <x v="35"/>
    <x v="35"/>
    <x v="37"/>
    <x v="37"/>
    <x v="37"/>
    <x v="7"/>
    <x v="133"/>
    <x v="7"/>
    <x v="93"/>
    <x v="351"/>
    <x v="39"/>
    <x v="39"/>
    <x v="0"/>
  </r>
  <r>
    <x v="0"/>
    <x v="35"/>
    <x v="35"/>
    <x v="38"/>
    <x v="38"/>
    <x v="38"/>
    <x v="7"/>
    <x v="133"/>
    <x v="7"/>
    <x v="120"/>
    <x v="189"/>
    <x v="43"/>
    <x v="151"/>
    <x v="0"/>
  </r>
  <r>
    <x v="0"/>
    <x v="35"/>
    <x v="35"/>
    <x v="0"/>
    <x v="0"/>
    <x v="0"/>
    <x v="7"/>
    <x v="133"/>
    <x v="7"/>
    <x v="120"/>
    <x v="189"/>
    <x v="39"/>
    <x v="39"/>
    <x v="0"/>
  </r>
  <r>
    <x v="0"/>
    <x v="35"/>
    <x v="35"/>
    <x v="27"/>
    <x v="27"/>
    <x v="27"/>
    <x v="7"/>
    <x v="133"/>
    <x v="7"/>
    <x v="93"/>
    <x v="351"/>
    <x v="39"/>
    <x v="39"/>
    <x v="0"/>
  </r>
  <r>
    <x v="0"/>
    <x v="35"/>
    <x v="35"/>
    <x v="39"/>
    <x v="39"/>
    <x v="39"/>
    <x v="7"/>
    <x v="133"/>
    <x v="7"/>
    <x v="93"/>
    <x v="351"/>
    <x v="39"/>
    <x v="39"/>
    <x v="0"/>
  </r>
  <r>
    <x v="0"/>
    <x v="35"/>
    <x v="35"/>
    <x v="7"/>
    <x v="7"/>
    <x v="7"/>
    <x v="7"/>
    <x v="133"/>
    <x v="7"/>
    <x v="93"/>
    <x v="351"/>
    <x v="39"/>
    <x v="39"/>
    <x v="0"/>
  </r>
  <r>
    <x v="0"/>
    <x v="35"/>
    <x v="35"/>
    <x v="2"/>
    <x v="2"/>
    <x v="2"/>
    <x v="7"/>
    <x v="133"/>
    <x v="7"/>
    <x v="93"/>
    <x v="351"/>
    <x v="39"/>
    <x v="39"/>
    <x v="0"/>
  </r>
  <r>
    <x v="0"/>
    <x v="35"/>
    <x v="35"/>
    <x v="26"/>
    <x v="26"/>
    <x v="26"/>
    <x v="7"/>
    <x v="133"/>
    <x v="7"/>
    <x v="93"/>
    <x v="351"/>
    <x v="39"/>
    <x v="39"/>
    <x v="0"/>
  </r>
  <r>
    <x v="0"/>
    <x v="35"/>
    <x v="35"/>
    <x v="41"/>
    <x v="41"/>
    <x v="41"/>
    <x v="7"/>
    <x v="133"/>
    <x v="7"/>
    <x v="120"/>
    <x v="189"/>
    <x v="39"/>
    <x v="39"/>
    <x v="0"/>
  </r>
  <r>
    <x v="0"/>
    <x v="35"/>
    <x v="35"/>
    <x v="74"/>
    <x v="74"/>
    <x v="74"/>
    <x v="7"/>
    <x v="133"/>
    <x v="7"/>
    <x v="120"/>
    <x v="189"/>
    <x v="39"/>
    <x v="39"/>
    <x v="0"/>
  </r>
  <r>
    <x v="0"/>
    <x v="35"/>
    <x v="35"/>
    <x v="81"/>
    <x v="81"/>
    <x v="81"/>
    <x v="7"/>
    <x v="133"/>
    <x v="7"/>
    <x v="120"/>
    <x v="189"/>
    <x v="43"/>
    <x v="151"/>
    <x v="0"/>
  </r>
  <r>
    <x v="0"/>
    <x v="35"/>
    <x v="35"/>
    <x v="8"/>
    <x v="8"/>
    <x v="8"/>
    <x v="7"/>
    <x v="133"/>
    <x v="7"/>
    <x v="93"/>
    <x v="351"/>
    <x v="39"/>
    <x v="39"/>
    <x v="0"/>
  </r>
  <r>
    <x v="0"/>
    <x v="35"/>
    <x v="35"/>
    <x v="42"/>
    <x v="42"/>
    <x v="42"/>
    <x v="7"/>
    <x v="133"/>
    <x v="7"/>
    <x v="120"/>
    <x v="189"/>
    <x v="39"/>
    <x v="39"/>
    <x v="0"/>
  </r>
  <r>
    <x v="0"/>
    <x v="36"/>
    <x v="36"/>
    <x v="12"/>
    <x v="12"/>
    <x v="12"/>
    <x v="0"/>
    <x v="134"/>
    <x v="275"/>
    <x v="93"/>
    <x v="201"/>
    <x v="54"/>
    <x v="228"/>
    <x v="0"/>
  </r>
  <r>
    <x v="0"/>
    <x v="36"/>
    <x v="36"/>
    <x v="15"/>
    <x v="15"/>
    <x v="15"/>
    <x v="1"/>
    <x v="126"/>
    <x v="276"/>
    <x v="56"/>
    <x v="347"/>
    <x v="39"/>
    <x v="39"/>
    <x v="0"/>
  </r>
  <r>
    <x v="0"/>
    <x v="36"/>
    <x v="36"/>
    <x v="5"/>
    <x v="5"/>
    <x v="5"/>
    <x v="2"/>
    <x v="128"/>
    <x v="277"/>
    <x v="76"/>
    <x v="348"/>
    <x v="39"/>
    <x v="39"/>
    <x v="0"/>
  </r>
  <r>
    <x v="0"/>
    <x v="36"/>
    <x v="36"/>
    <x v="34"/>
    <x v="34"/>
    <x v="34"/>
    <x v="3"/>
    <x v="130"/>
    <x v="278"/>
    <x v="93"/>
    <x v="201"/>
    <x v="43"/>
    <x v="229"/>
    <x v="1"/>
  </r>
  <r>
    <x v="0"/>
    <x v="36"/>
    <x v="36"/>
    <x v="69"/>
    <x v="69"/>
    <x v="69"/>
    <x v="4"/>
    <x v="132"/>
    <x v="230"/>
    <x v="93"/>
    <x v="201"/>
    <x v="43"/>
    <x v="229"/>
    <x v="0"/>
  </r>
  <r>
    <x v="0"/>
    <x v="36"/>
    <x v="36"/>
    <x v="56"/>
    <x v="56"/>
    <x v="56"/>
    <x v="4"/>
    <x v="132"/>
    <x v="230"/>
    <x v="122"/>
    <x v="199"/>
    <x v="39"/>
    <x v="39"/>
    <x v="0"/>
  </r>
  <r>
    <x v="0"/>
    <x v="36"/>
    <x v="36"/>
    <x v="27"/>
    <x v="27"/>
    <x v="27"/>
    <x v="4"/>
    <x v="132"/>
    <x v="230"/>
    <x v="93"/>
    <x v="201"/>
    <x v="43"/>
    <x v="229"/>
    <x v="0"/>
  </r>
  <r>
    <x v="0"/>
    <x v="36"/>
    <x v="36"/>
    <x v="3"/>
    <x v="3"/>
    <x v="3"/>
    <x v="4"/>
    <x v="132"/>
    <x v="230"/>
    <x v="122"/>
    <x v="199"/>
    <x v="39"/>
    <x v="39"/>
    <x v="0"/>
  </r>
  <r>
    <x v="0"/>
    <x v="36"/>
    <x v="36"/>
    <x v="1"/>
    <x v="1"/>
    <x v="1"/>
    <x v="4"/>
    <x v="132"/>
    <x v="230"/>
    <x v="122"/>
    <x v="199"/>
    <x v="39"/>
    <x v="39"/>
    <x v="0"/>
  </r>
  <r>
    <x v="0"/>
    <x v="36"/>
    <x v="36"/>
    <x v="7"/>
    <x v="7"/>
    <x v="7"/>
    <x v="4"/>
    <x v="132"/>
    <x v="230"/>
    <x v="122"/>
    <x v="199"/>
    <x v="39"/>
    <x v="39"/>
    <x v="0"/>
  </r>
  <r>
    <x v="0"/>
    <x v="36"/>
    <x v="36"/>
    <x v="2"/>
    <x v="2"/>
    <x v="2"/>
    <x v="4"/>
    <x v="132"/>
    <x v="230"/>
    <x v="122"/>
    <x v="199"/>
    <x v="39"/>
    <x v="39"/>
    <x v="0"/>
  </r>
  <r>
    <x v="0"/>
    <x v="36"/>
    <x v="36"/>
    <x v="24"/>
    <x v="24"/>
    <x v="24"/>
    <x v="10"/>
    <x v="133"/>
    <x v="279"/>
    <x v="120"/>
    <x v="189"/>
    <x v="43"/>
    <x v="229"/>
    <x v="0"/>
  </r>
  <r>
    <x v="0"/>
    <x v="36"/>
    <x v="36"/>
    <x v="76"/>
    <x v="76"/>
    <x v="76"/>
    <x v="10"/>
    <x v="133"/>
    <x v="279"/>
    <x v="120"/>
    <x v="189"/>
    <x v="43"/>
    <x v="229"/>
    <x v="0"/>
  </r>
  <r>
    <x v="0"/>
    <x v="36"/>
    <x v="36"/>
    <x v="48"/>
    <x v="48"/>
    <x v="48"/>
    <x v="10"/>
    <x v="133"/>
    <x v="279"/>
    <x v="120"/>
    <x v="189"/>
    <x v="43"/>
    <x v="229"/>
    <x v="0"/>
  </r>
  <r>
    <x v="0"/>
    <x v="36"/>
    <x v="36"/>
    <x v="93"/>
    <x v="93"/>
    <x v="93"/>
    <x v="10"/>
    <x v="133"/>
    <x v="279"/>
    <x v="120"/>
    <x v="189"/>
    <x v="43"/>
    <x v="229"/>
    <x v="0"/>
  </r>
  <r>
    <x v="0"/>
    <x v="36"/>
    <x v="36"/>
    <x v="33"/>
    <x v="33"/>
    <x v="33"/>
    <x v="10"/>
    <x v="133"/>
    <x v="279"/>
    <x v="120"/>
    <x v="189"/>
    <x v="43"/>
    <x v="229"/>
    <x v="0"/>
  </r>
  <r>
    <x v="0"/>
    <x v="36"/>
    <x v="36"/>
    <x v="43"/>
    <x v="43"/>
    <x v="43"/>
    <x v="10"/>
    <x v="133"/>
    <x v="279"/>
    <x v="93"/>
    <x v="201"/>
    <x v="39"/>
    <x v="39"/>
    <x v="0"/>
  </r>
  <r>
    <x v="0"/>
    <x v="36"/>
    <x v="36"/>
    <x v="77"/>
    <x v="77"/>
    <x v="77"/>
    <x v="10"/>
    <x v="133"/>
    <x v="279"/>
    <x v="93"/>
    <x v="201"/>
    <x v="39"/>
    <x v="39"/>
    <x v="0"/>
  </r>
  <r>
    <x v="0"/>
    <x v="36"/>
    <x v="36"/>
    <x v="36"/>
    <x v="36"/>
    <x v="36"/>
    <x v="10"/>
    <x v="133"/>
    <x v="279"/>
    <x v="93"/>
    <x v="201"/>
    <x v="39"/>
    <x v="39"/>
    <x v="0"/>
  </r>
  <r>
    <x v="0"/>
    <x v="36"/>
    <x v="36"/>
    <x v="23"/>
    <x v="23"/>
    <x v="23"/>
    <x v="10"/>
    <x v="133"/>
    <x v="279"/>
    <x v="93"/>
    <x v="201"/>
    <x v="39"/>
    <x v="39"/>
    <x v="0"/>
  </r>
  <r>
    <x v="0"/>
    <x v="36"/>
    <x v="36"/>
    <x v="38"/>
    <x v="38"/>
    <x v="38"/>
    <x v="10"/>
    <x v="133"/>
    <x v="279"/>
    <x v="120"/>
    <x v="189"/>
    <x v="43"/>
    <x v="229"/>
    <x v="0"/>
  </r>
  <r>
    <x v="0"/>
    <x v="36"/>
    <x v="36"/>
    <x v="31"/>
    <x v="31"/>
    <x v="31"/>
    <x v="10"/>
    <x v="133"/>
    <x v="279"/>
    <x v="93"/>
    <x v="201"/>
    <x v="39"/>
    <x v="39"/>
    <x v="0"/>
  </r>
  <r>
    <x v="0"/>
    <x v="36"/>
    <x v="36"/>
    <x v="0"/>
    <x v="0"/>
    <x v="0"/>
    <x v="10"/>
    <x v="133"/>
    <x v="279"/>
    <x v="120"/>
    <x v="189"/>
    <x v="39"/>
    <x v="39"/>
    <x v="0"/>
  </r>
  <r>
    <x v="0"/>
    <x v="36"/>
    <x v="36"/>
    <x v="92"/>
    <x v="92"/>
    <x v="92"/>
    <x v="10"/>
    <x v="133"/>
    <x v="279"/>
    <x v="93"/>
    <x v="201"/>
    <x v="39"/>
    <x v="39"/>
    <x v="0"/>
  </r>
  <r>
    <x v="0"/>
    <x v="36"/>
    <x v="36"/>
    <x v="6"/>
    <x v="6"/>
    <x v="6"/>
    <x v="10"/>
    <x v="133"/>
    <x v="279"/>
    <x v="93"/>
    <x v="201"/>
    <x v="39"/>
    <x v="39"/>
    <x v="0"/>
  </r>
  <r>
    <x v="0"/>
    <x v="36"/>
    <x v="36"/>
    <x v="14"/>
    <x v="14"/>
    <x v="14"/>
    <x v="10"/>
    <x v="133"/>
    <x v="279"/>
    <x v="93"/>
    <x v="201"/>
    <x v="39"/>
    <x v="39"/>
    <x v="0"/>
  </r>
  <r>
    <x v="0"/>
    <x v="36"/>
    <x v="36"/>
    <x v="126"/>
    <x v="126"/>
    <x v="126"/>
    <x v="10"/>
    <x v="133"/>
    <x v="279"/>
    <x v="120"/>
    <x v="189"/>
    <x v="39"/>
    <x v="39"/>
    <x v="0"/>
  </r>
  <r>
    <x v="0"/>
    <x v="36"/>
    <x v="36"/>
    <x v="26"/>
    <x v="26"/>
    <x v="26"/>
    <x v="10"/>
    <x v="133"/>
    <x v="279"/>
    <x v="93"/>
    <x v="201"/>
    <x v="39"/>
    <x v="39"/>
    <x v="0"/>
  </r>
  <r>
    <x v="0"/>
    <x v="36"/>
    <x v="36"/>
    <x v="41"/>
    <x v="41"/>
    <x v="41"/>
    <x v="10"/>
    <x v="133"/>
    <x v="279"/>
    <x v="120"/>
    <x v="189"/>
    <x v="39"/>
    <x v="39"/>
    <x v="0"/>
  </r>
  <r>
    <x v="0"/>
    <x v="36"/>
    <x v="36"/>
    <x v="74"/>
    <x v="74"/>
    <x v="74"/>
    <x v="10"/>
    <x v="133"/>
    <x v="279"/>
    <x v="120"/>
    <x v="189"/>
    <x v="39"/>
    <x v="39"/>
    <x v="0"/>
  </r>
  <r>
    <x v="0"/>
    <x v="36"/>
    <x v="36"/>
    <x v="81"/>
    <x v="81"/>
    <x v="81"/>
    <x v="10"/>
    <x v="133"/>
    <x v="279"/>
    <x v="120"/>
    <x v="189"/>
    <x v="39"/>
    <x v="39"/>
    <x v="0"/>
  </r>
  <r>
    <x v="0"/>
    <x v="36"/>
    <x v="36"/>
    <x v="127"/>
    <x v="127"/>
    <x v="127"/>
    <x v="10"/>
    <x v="133"/>
    <x v="279"/>
    <x v="120"/>
    <x v="189"/>
    <x v="43"/>
    <x v="229"/>
    <x v="0"/>
  </r>
  <r>
    <x v="0"/>
    <x v="37"/>
    <x v="37"/>
    <x v="50"/>
    <x v="50"/>
    <x v="50"/>
    <x v="0"/>
    <x v="45"/>
    <x v="280"/>
    <x v="46"/>
    <x v="352"/>
    <x v="43"/>
    <x v="230"/>
    <x v="0"/>
  </r>
  <r>
    <x v="0"/>
    <x v="37"/>
    <x v="37"/>
    <x v="0"/>
    <x v="0"/>
    <x v="0"/>
    <x v="1"/>
    <x v="63"/>
    <x v="281"/>
    <x v="83"/>
    <x v="353"/>
    <x v="51"/>
    <x v="231"/>
    <x v="0"/>
  </r>
  <r>
    <x v="0"/>
    <x v="37"/>
    <x v="37"/>
    <x v="5"/>
    <x v="5"/>
    <x v="5"/>
    <x v="2"/>
    <x v="120"/>
    <x v="282"/>
    <x v="92"/>
    <x v="354"/>
    <x v="39"/>
    <x v="39"/>
    <x v="0"/>
  </r>
  <r>
    <x v="0"/>
    <x v="37"/>
    <x v="37"/>
    <x v="1"/>
    <x v="1"/>
    <x v="1"/>
    <x v="3"/>
    <x v="121"/>
    <x v="283"/>
    <x v="48"/>
    <x v="355"/>
    <x v="39"/>
    <x v="39"/>
    <x v="0"/>
  </r>
  <r>
    <x v="0"/>
    <x v="37"/>
    <x v="37"/>
    <x v="15"/>
    <x v="15"/>
    <x v="15"/>
    <x v="4"/>
    <x v="135"/>
    <x v="217"/>
    <x v="112"/>
    <x v="356"/>
    <x v="39"/>
    <x v="39"/>
    <x v="0"/>
  </r>
  <r>
    <x v="0"/>
    <x v="37"/>
    <x v="37"/>
    <x v="3"/>
    <x v="3"/>
    <x v="3"/>
    <x v="4"/>
    <x v="135"/>
    <x v="217"/>
    <x v="112"/>
    <x v="356"/>
    <x v="39"/>
    <x v="39"/>
    <x v="0"/>
  </r>
  <r>
    <x v="0"/>
    <x v="37"/>
    <x v="37"/>
    <x v="2"/>
    <x v="2"/>
    <x v="2"/>
    <x v="18"/>
    <x v="131"/>
    <x v="284"/>
    <x v="79"/>
    <x v="23"/>
    <x v="39"/>
    <x v="39"/>
    <x v="0"/>
  </r>
  <r>
    <x v="0"/>
    <x v="37"/>
    <x v="37"/>
    <x v="6"/>
    <x v="6"/>
    <x v="6"/>
    <x v="6"/>
    <x v="134"/>
    <x v="150"/>
    <x v="62"/>
    <x v="138"/>
    <x v="43"/>
    <x v="230"/>
    <x v="0"/>
  </r>
  <r>
    <x v="0"/>
    <x v="37"/>
    <x v="37"/>
    <x v="26"/>
    <x v="26"/>
    <x v="26"/>
    <x v="7"/>
    <x v="123"/>
    <x v="40"/>
    <x v="54"/>
    <x v="357"/>
    <x v="51"/>
    <x v="231"/>
    <x v="0"/>
  </r>
  <r>
    <x v="0"/>
    <x v="37"/>
    <x v="37"/>
    <x v="4"/>
    <x v="4"/>
    <x v="4"/>
    <x v="8"/>
    <x v="124"/>
    <x v="6"/>
    <x v="55"/>
    <x v="358"/>
    <x v="39"/>
    <x v="39"/>
    <x v="0"/>
  </r>
  <r>
    <x v="0"/>
    <x v="37"/>
    <x v="37"/>
    <x v="17"/>
    <x v="17"/>
    <x v="17"/>
    <x v="9"/>
    <x v="125"/>
    <x v="170"/>
    <x v="54"/>
    <x v="357"/>
    <x v="39"/>
    <x v="39"/>
    <x v="0"/>
  </r>
  <r>
    <x v="0"/>
    <x v="37"/>
    <x v="37"/>
    <x v="76"/>
    <x v="76"/>
    <x v="76"/>
    <x v="10"/>
    <x v="126"/>
    <x v="43"/>
    <x v="91"/>
    <x v="55"/>
    <x v="40"/>
    <x v="232"/>
    <x v="0"/>
  </r>
  <r>
    <x v="0"/>
    <x v="37"/>
    <x v="37"/>
    <x v="27"/>
    <x v="27"/>
    <x v="27"/>
    <x v="10"/>
    <x v="126"/>
    <x v="43"/>
    <x v="86"/>
    <x v="142"/>
    <x v="43"/>
    <x v="230"/>
    <x v="0"/>
  </r>
  <r>
    <x v="0"/>
    <x v="37"/>
    <x v="37"/>
    <x v="7"/>
    <x v="7"/>
    <x v="7"/>
    <x v="10"/>
    <x v="126"/>
    <x v="43"/>
    <x v="56"/>
    <x v="359"/>
    <x v="39"/>
    <x v="39"/>
    <x v="0"/>
  </r>
  <r>
    <x v="0"/>
    <x v="37"/>
    <x v="37"/>
    <x v="13"/>
    <x v="13"/>
    <x v="13"/>
    <x v="13"/>
    <x v="127"/>
    <x v="60"/>
    <x v="86"/>
    <x v="142"/>
    <x v="39"/>
    <x v="39"/>
    <x v="0"/>
  </r>
  <r>
    <x v="0"/>
    <x v="37"/>
    <x v="37"/>
    <x v="10"/>
    <x v="10"/>
    <x v="10"/>
    <x v="14"/>
    <x v="128"/>
    <x v="72"/>
    <x v="76"/>
    <x v="111"/>
    <x v="39"/>
    <x v="39"/>
    <x v="0"/>
  </r>
  <r>
    <x v="0"/>
    <x v="37"/>
    <x v="37"/>
    <x v="14"/>
    <x v="14"/>
    <x v="14"/>
    <x v="14"/>
    <x v="128"/>
    <x v="72"/>
    <x v="76"/>
    <x v="111"/>
    <x v="39"/>
    <x v="39"/>
    <x v="0"/>
  </r>
  <r>
    <x v="0"/>
    <x v="37"/>
    <x v="37"/>
    <x v="24"/>
    <x v="24"/>
    <x v="24"/>
    <x v="16"/>
    <x v="129"/>
    <x v="285"/>
    <x v="85"/>
    <x v="360"/>
    <x v="43"/>
    <x v="230"/>
    <x v="0"/>
  </r>
  <r>
    <x v="0"/>
    <x v="37"/>
    <x v="37"/>
    <x v="64"/>
    <x v="64"/>
    <x v="64"/>
    <x v="16"/>
    <x v="129"/>
    <x v="285"/>
    <x v="93"/>
    <x v="361"/>
    <x v="40"/>
    <x v="232"/>
    <x v="0"/>
  </r>
  <r>
    <x v="0"/>
    <x v="37"/>
    <x v="37"/>
    <x v="46"/>
    <x v="46"/>
    <x v="46"/>
    <x v="16"/>
    <x v="129"/>
    <x v="285"/>
    <x v="85"/>
    <x v="360"/>
    <x v="43"/>
    <x v="230"/>
    <x v="0"/>
  </r>
  <r>
    <x v="0"/>
    <x v="37"/>
    <x v="37"/>
    <x v="128"/>
    <x v="128"/>
    <x v="128"/>
    <x v="16"/>
    <x v="129"/>
    <x v="285"/>
    <x v="93"/>
    <x v="361"/>
    <x v="40"/>
    <x v="232"/>
    <x v="0"/>
  </r>
  <r>
    <x v="0"/>
    <x v="37"/>
    <x v="37"/>
    <x v="34"/>
    <x v="34"/>
    <x v="34"/>
    <x v="16"/>
    <x v="129"/>
    <x v="285"/>
    <x v="91"/>
    <x v="55"/>
    <x v="39"/>
    <x v="39"/>
    <x v="0"/>
  </r>
  <r>
    <x v="0"/>
    <x v="37"/>
    <x v="37"/>
    <x v="77"/>
    <x v="77"/>
    <x v="77"/>
    <x v="16"/>
    <x v="129"/>
    <x v="285"/>
    <x v="91"/>
    <x v="55"/>
    <x v="39"/>
    <x v="39"/>
    <x v="0"/>
  </r>
  <r>
    <x v="0"/>
    <x v="37"/>
    <x v="37"/>
    <x v="23"/>
    <x v="23"/>
    <x v="23"/>
    <x v="16"/>
    <x v="129"/>
    <x v="285"/>
    <x v="91"/>
    <x v="55"/>
    <x v="39"/>
    <x v="39"/>
    <x v="0"/>
  </r>
  <r>
    <x v="0"/>
    <x v="37"/>
    <x v="37"/>
    <x v="37"/>
    <x v="37"/>
    <x v="37"/>
    <x v="16"/>
    <x v="129"/>
    <x v="285"/>
    <x v="91"/>
    <x v="55"/>
    <x v="39"/>
    <x v="39"/>
    <x v="0"/>
  </r>
  <r>
    <x v="0"/>
    <x v="37"/>
    <x v="37"/>
    <x v="31"/>
    <x v="31"/>
    <x v="31"/>
    <x v="16"/>
    <x v="129"/>
    <x v="285"/>
    <x v="85"/>
    <x v="360"/>
    <x v="43"/>
    <x v="230"/>
    <x v="0"/>
  </r>
  <r>
    <x v="0"/>
    <x v="37"/>
    <x v="37"/>
    <x v="9"/>
    <x v="9"/>
    <x v="9"/>
    <x v="16"/>
    <x v="129"/>
    <x v="285"/>
    <x v="85"/>
    <x v="360"/>
    <x v="43"/>
    <x v="230"/>
    <x v="0"/>
  </r>
  <r>
    <x v="0"/>
    <x v="37"/>
    <x v="37"/>
    <x v="81"/>
    <x v="81"/>
    <x v="81"/>
    <x v="16"/>
    <x v="129"/>
    <x v="285"/>
    <x v="85"/>
    <x v="360"/>
    <x v="43"/>
    <x v="230"/>
    <x v="0"/>
  </r>
  <r>
    <x v="0"/>
    <x v="38"/>
    <x v="38"/>
    <x v="2"/>
    <x v="2"/>
    <x v="2"/>
    <x v="0"/>
    <x v="81"/>
    <x v="286"/>
    <x v="51"/>
    <x v="362"/>
    <x v="51"/>
    <x v="97"/>
    <x v="0"/>
  </r>
  <r>
    <x v="0"/>
    <x v="38"/>
    <x v="38"/>
    <x v="0"/>
    <x v="0"/>
    <x v="0"/>
    <x v="1"/>
    <x v="62"/>
    <x v="287"/>
    <x v="66"/>
    <x v="363"/>
    <x v="47"/>
    <x v="233"/>
    <x v="0"/>
  </r>
  <r>
    <x v="0"/>
    <x v="38"/>
    <x v="38"/>
    <x v="31"/>
    <x v="31"/>
    <x v="31"/>
    <x v="2"/>
    <x v="85"/>
    <x v="38"/>
    <x v="57"/>
    <x v="135"/>
    <x v="43"/>
    <x v="234"/>
    <x v="0"/>
  </r>
  <r>
    <x v="0"/>
    <x v="38"/>
    <x v="38"/>
    <x v="5"/>
    <x v="5"/>
    <x v="5"/>
    <x v="3"/>
    <x v="106"/>
    <x v="141"/>
    <x v="53"/>
    <x v="364"/>
    <x v="40"/>
    <x v="43"/>
    <x v="0"/>
  </r>
  <r>
    <x v="0"/>
    <x v="38"/>
    <x v="38"/>
    <x v="12"/>
    <x v="12"/>
    <x v="12"/>
    <x v="4"/>
    <x v="121"/>
    <x v="288"/>
    <x v="93"/>
    <x v="365"/>
    <x v="44"/>
    <x v="235"/>
    <x v="0"/>
  </r>
  <r>
    <x v="0"/>
    <x v="38"/>
    <x v="38"/>
    <x v="4"/>
    <x v="4"/>
    <x v="4"/>
    <x v="4"/>
    <x v="121"/>
    <x v="288"/>
    <x v="53"/>
    <x v="364"/>
    <x v="43"/>
    <x v="234"/>
    <x v="0"/>
  </r>
  <r>
    <x v="0"/>
    <x v="38"/>
    <x v="38"/>
    <x v="10"/>
    <x v="10"/>
    <x v="10"/>
    <x v="18"/>
    <x v="122"/>
    <x v="103"/>
    <x v="53"/>
    <x v="364"/>
    <x v="39"/>
    <x v="39"/>
    <x v="0"/>
  </r>
  <r>
    <x v="0"/>
    <x v="38"/>
    <x v="38"/>
    <x v="7"/>
    <x v="7"/>
    <x v="7"/>
    <x v="18"/>
    <x v="122"/>
    <x v="103"/>
    <x v="112"/>
    <x v="107"/>
    <x v="43"/>
    <x v="234"/>
    <x v="0"/>
  </r>
  <r>
    <x v="0"/>
    <x v="38"/>
    <x v="38"/>
    <x v="8"/>
    <x v="8"/>
    <x v="8"/>
    <x v="7"/>
    <x v="131"/>
    <x v="289"/>
    <x v="121"/>
    <x v="171"/>
    <x v="43"/>
    <x v="234"/>
    <x v="0"/>
  </r>
  <r>
    <x v="0"/>
    <x v="38"/>
    <x v="38"/>
    <x v="29"/>
    <x v="29"/>
    <x v="29"/>
    <x v="8"/>
    <x v="134"/>
    <x v="170"/>
    <x v="122"/>
    <x v="18"/>
    <x v="46"/>
    <x v="236"/>
    <x v="0"/>
  </r>
  <r>
    <x v="0"/>
    <x v="38"/>
    <x v="38"/>
    <x v="24"/>
    <x v="24"/>
    <x v="24"/>
    <x v="8"/>
    <x v="134"/>
    <x v="170"/>
    <x v="76"/>
    <x v="366"/>
    <x v="30"/>
    <x v="237"/>
    <x v="0"/>
  </r>
  <r>
    <x v="0"/>
    <x v="38"/>
    <x v="38"/>
    <x v="6"/>
    <x v="6"/>
    <x v="6"/>
    <x v="8"/>
    <x v="134"/>
    <x v="170"/>
    <x v="62"/>
    <x v="367"/>
    <x v="43"/>
    <x v="234"/>
    <x v="0"/>
  </r>
  <r>
    <x v="0"/>
    <x v="38"/>
    <x v="38"/>
    <x v="16"/>
    <x v="16"/>
    <x v="16"/>
    <x v="8"/>
    <x v="134"/>
    <x v="170"/>
    <x v="55"/>
    <x v="8"/>
    <x v="51"/>
    <x v="97"/>
    <x v="0"/>
  </r>
  <r>
    <x v="0"/>
    <x v="38"/>
    <x v="38"/>
    <x v="11"/>
    <x v="11"/>
    <x v="11"/>
    <x v="12"/>
    <x v="123"/>
    <x v="180"/>
    <x v="76"/>
    <x v="366"/>
    <x v="48"/>
    <x v="238"/>
    <x v="0"/>
  </r>
  <r>
    <x v="0"/>
    <x v="38"/>
    <x v="38"/>
    <x v="13"/>
    <x v="13"/>
    <x v="13"/>
    <x v="12"/>
    <x v="123"/>
    <x v="180"/>
    <x v="54"/>
    <x v="368"/>
    <x v="51"/>
    <x v="97"/>
    <x v="0"/>
  </r>
  <r>
    <x v="0"/>
    <x v="38"/>
    <x v="38"/>
    <x v="45"/>
    <x v="45"/>
    <x v="45"/>
    <x v="14"/>
    <x v="124"/>
    <x v="290"/>
    <x v="76"/>
    <x v="366"/>
    <x v="41"/>
    <x v="106"/>
    <x v="0"/>
  </r>
  <r>
    <x v="0"/>
    <x v="38"/>
    <x v="38"/>
    <x v="3"/>
    <x v="3"/>
    <x v="3"/>
    <x v="14"/>
    <x v="124"/>
    <x v="290"/>
    <x v="55"/>
    <x v="8"/>
    <x v="39"/>
    <x v="39"/>
    <x v="0"/>
  </r>
  <r>
    <x v="0"/>
    <x v="38"/>
    <x v="38"/>
    <x v="23"/>
    <x v="23"/>
    <x v="23"/>
    <x v="16"/>
    <x v="125"/>
    <x v="291"/>
    <x v="54"/>
    <x v="368"/>
    <x v="39"/>
    <x v="39"/>
    <x v="0"/>
  </r>
  <r>
    <x v="0"/>
    <x v="38"/>
    <x v="38"/>
    <x v="102"/>
    <x v="102"/>
    <x v="102"/>
    <x v="17"/>
    <x v="126"/>
    <x v="193"/>
    <x v="85"/>
    <x v="369"/>
    <x v="41"/>
    <x v="106"/>
    <x v="0"/>
  </r>
  <r>
    <x v="0"/>
    <x v="38"/>
    <x v="38"/>
    <x v="90"/>
    <x v="90"/>
    <x v="90"/>
    <x v="17"/>
    <x v="126"/>
    <x v="193"/>
    <x v="85"/>
    <x v="369"/>
    <x v="41"/>
    <x v="106"/>
    <x v="0"/>
  </r>
  <r>
    <x v="0"/>
    <x v="38"/>
    <x v="38"/>
    <x v="77"/>
    <x v="77"/>
    <x v="77"/>
    <x v="17"/>
    <x v="126"/>
    <x v="193"/>
    <x v="86"/>
    <x v="370"/>
    <x v="43"/>
    <x v="234"/>
    <x v="0"/>
  </r>
  <r>
    <x v="0"/>
    <x v="38"/>
    <x v="38"/>
    <x v="18"/>
    <x v="18"/>
    <x v="18"/>
    <x v="17"/>
    <x v="126"/>
    <x v="193"/>
    <x v="91"/>
    <x v="371"/>
    <x v="40"/>
    <x v="43"/>
    <x v="0"/>
  </r>
  <r>
    <x v="0"/>
    <x v="39"/>
    <x v="39"/>
    <x v="12"/>
    <x v="12"/>
    <x v="12"/>
    <x v="0"/>
    <x v="129"/>
    <x v="292"/>
    <x v="120"/>
    <x v="189"/>
    <x v="41"/>
    <x v="239"/>
    <x v="0"/>
  </r>
  <r>
    <x v="0"/>
    <x v="39"/>
    <x v="39"/>
    <x v="5"/>
    <x v="5"/>
    <x v="5"/>
    <x v="0"/>
    <x v="129"/>
    <x v="292"/>
    <x v="85"/>
    <x v="372"/>
    <x v="43"/>
    <x v="161"/>
    <x v="0"/>
  </r>
  <r>
    <x v="0"/>
    <x v="39"/>
    <x v="39"/>
    <x v="28"/>
    <x v="28"/>
    <x v="28"/>
    <x v="2"/>
    <x v="130"/>
    <x v="183"/>
    <x v="122"/>
    <x v="373"/>
    <x v="43"/>
    <x v="161"/>
    <x v="0"/>
  </r>
  <r>
    <x v="0"/>
    <x v="39"/>
    <x v="39"/>
    <x v="3"/>
    <x v="3"/>
    <x v="3"/>
    <x v="2"/>
    <x v="130"/>
    <x v="183"/>
    <x v="85"/>
    <x v="372"/>
    <x v="39"/>
    <x v="39"/>
    <x v="0"/>
  </r>
  <r>
    <x v="0"/>
    <x v="39"/>
    <x v="39"/>
    <x v="41"/>
    <x v="41"/>
    <x v="41"/>
    <x v="2"/>
    <x v="130"/>
    <x v="183"/>
    <x v="120"/>
    <x v="189"/>
    <x v="39"/>
    <x v="39"/>
    <x v="0"/>
  </r>
  <r>
    <x v="0"/>
    <x v="39"/>
    <x v="39"/>
    <x v="36"/>
    <x v="36"/>
    <x v="36"/>
    <x v="5"/>
    <x v="132"/>
    <x v="293"/>
    <x v="122"/>
    <x v="373"/>
    <x v="39"/>
    <x v="39"/>
    <x v="0"/>
  </r>
  <r>
    <x v="0"/>
    <x v="39"/>
    <x v="39"/>
    <x v="23"/>
    <x v="23"/>
    <x v="23"/>
    <x v="5"/>
    <x v="132"/>
    <x v="293"/>
    <x v="93"/>
    <x v="374"/>
    <x v="43"/>
    <x v="161"/>
    <x v="0"/>
  </r>
  <r>
    <x v="0"/>
    <x v="39"/>
    <x v="39"/>
    <x v="15"/>
    <x v="15"/>
    <x v="15"/>
    <x v="5"/>
    <x v="132"/>
    <x v="293"/>
    <x v="122"/>
    <x v="373"/>
    <x v="39"/>
    <x v="39"/>
    <x v="0"/>
  </r>
  <r>
    <x v="0"/>
    <x v="39"/>
    <x v="39"/>
    <x v="7"/>
    <x v="7"/>
    <x v="7"/>
    <x v="5"/>
    <x v="132"/>
    <x v="293"/>
    <x v="122"/>
    <x v="373"/>
    <x v="39"/>
    <x v="39"/>
    <x v="0"/>
  </r>
  <r>
    <x v="0"/>
    <x v="39"/>
    <x v="39"/>
    <x v="2"/>
    <x v="2"/>
    <x v="2"/>
    <x v="5"/>
    <x v="132"/>
    <x v="293"/>
    <x v="122"/>
    <x v="373"/>
    <x v="39"/>
    <x v="39"/>
    <x v="0"/>
  </r>
  <r>
    <x v="0"/>
    <x v="39"/>
    <x v="39"/>
    <x v="8"/>
    <x v="8"/>
    <x v="8"/>
    <x v="5"/>
    <x v="132"/>
    <x v="293"/>
    <x v="122"/>
    <x v="373"/>
    <x v="39"/>
    <x v="39"/>
    <x v="0"/>
  </r>
  <r>
    <x v="0"/>
    <x v="39"/>
    <x v="39"/>
    <x v="66"/>
    <x v="66"/>
    <x v="66"/>
    <x v="10"/>
    <x v="133"/>
    <x v="109"/>
    <x v="120"/>
    <x v="189"/>
    <x v="43"/>
    <x v="161"/>
    <x v="0"/>
  </r>
  <r>
    <x v="0"/>
    <x v="39"/>
    <x v="39"/>
    <x v="24"/>
    <x v="24"/>
    <x v="24"/>
    <x v="10"/>
    <x v="133"/>
    <x v="109"/>
    <x v="120"/>
    <x v="189"/>
    <x v="43"/>
    <x v="161"/>
    <x v="0"/>
  </r>
  <r>
    <x v="0"/>
    <x v="39"/>
    <x v="39"/>
    <x v="129"/>
    <x v="129"/>
    <x v="129"/>
    <x v="10"/>
    <x v="133"/>
    <x v="109"/>
    <x v="93"/>
    <x v="374"/>
    <x v="39"/>
    <x v="39"/>
    <x v="0"/>
  </r>
  <r>
    <x v="0"/>
    <x v="39"/>
    <x v="39"/>
    <x v="130"/>
    <x v="130"/>
    <x v="130"/>
    <x v="10"/>
    <x v="133"/>
    <x v="109"/>
    <x v="120"/>
    <x v="189"/>
    <x v="43"/>
    <x v="161"/>
    <x v="0"/>
  </r>
  <r>
    <x v="0"/>
    <x v="39"/>
    <x v="39"/>
    <x v="131"/>
    <x v="131"/>
    <x v="131"/>
    <x v="10"/>
    <x v="133"/>
    <x v="109"/>
    <x v="120"/>
    <x v="189"/>
    <x v="43"/>
    <x v="161"/>
    <x v="0"/>
  </r>
  <r>
    <x v="0"/>
    <x v="39"/>
    <x v="39"/>
    <x v="46"/>
    <x v="46"/>
    <x v="46"/>
    <x v="10"/>
    <x v="133"/>
    <x v="109"/>
    <x v="93"/>
    <x v="374"/>
    <x v="39"/>
    <x v="39"/>
    <x v="0"/>
  </r>
  <r>
    <x v="0"/>
    <x v="39"/>
    <x v="39"/>
    <x v="132"/>
    <x v="132"/>
    <x v="132"/>
    <x v="10"/>
    <x v="133"/>
    <x v="109"/>
    <x v="120"/>
    <x v="189"/>
    <x v="43"/>
    <x v="161"/>
    <x v="0"/>
  </r>
  <r>
    <x v="0"/>
    <x v="39"/>
    <x v="39"/>
    <x v="93"/>
    <x v="93"/>
    <x v="93"/>
    <x v="10"/>
    <x v="133"/>
    <x v="109"/>
    <x v="120"/>
    <x v="189"/>
    <x v="43"/>
    <x v="161"/>
    <x v="0"/>
  </r>
  <r>
    <x v="0"/>
    <x v="39"/>
    <x v="39"/>
    <x v="109"/>
    <x v="109"/>
    <x v="109"/>
    <x v="10"/>
    <x v="133"/>
    <x v="109"/>
    <x v="120"/>
    <x v="189"/>
    <x v="43"/>
    <x v="161"/>
    <x v="0"/>
  </r>
  <r>
    <x v="0"/>
    <x v="39"/>
    <x v="39"/>
    <x v="54"/>
    <x v="54"/>
    <x v="54"/>
    <x v="10"/>
    <x v="133"/>
    <x v="109"/>
    <x v="120"/>
    <x v="189"/>
    <x v="39"/>
    <x v="39"/>
    <x v="0"/>
  </r>
  <r>
    <x v="0"/>
    <x v="39"/>
    <x v="39"/>
    <x v="33"/>
    <x v="33"/>
    <x v="33"/>
    <x v="10"/>
    <x v="133"/>
    <x v="109"/>
    <x v="93"/>
    <x v="374"/>
    <x v="39"/>
    <x v="39"/>
    <x v="0"/>
  </r>
  <r>
    <x v="0"/>
    <x v="39"/>
    <x v="39"/>
    <x v="69"/>
    <x v="69"/>
    <x v="69"/>
    <x v="10"/>
    <x v="133"/>
    <x v="109"/>
    <x v="120"/>
    <x v="189"/>
    <x v="43"/>
    <x v="161"/>
    <x v="0"/>
  </r>
  <r>
    <x v="0"/>
    <x v="39"/>
    <x v="39"/>
    <x v="133"/>
    <x v="133"/>
    <x v="133"/>
    <x v="10"/>
    <x v="133"/>
    <x v="109"/>
    <x v="93"/>
    <x v="374"/>
    <x v="39"/>
    <x v="39"/>
    <x v="0"/>
  </r>
  <r>
    <x v="0"/>
    <x v="39"/>
    <x v="39"/>
    <x v="134"/>
    <x v="134"/>
    <x v="134"/>
    <x v="10"/>
    <x v="133"/>
    <x v="109"/>
    <x v="93"/>
    <x v="374"/>
    <x v="39"/>
    <x v="39"/>
    <x v="0"/>
  </r>
  <r>
    <x v="0"/>
    <x v="39"/>
    <x v="39"/>
    <x v="56"/>
    <x v="56"/>
    <x v="56"/>
    <x v="10"/>
    <x v="133"/>
    <x v="109"/>
    <x v="93"/>
    <x v="374"/>
    <x v="39"/>
    <x v="39"/>
    <x v="0"/>
  </r>
  <r>
    <x v="0"/>
    <x v="39"/>
    <x v="39"/>
    <x v="37"/>
    <x v="37"/>
    <x v="37"/>
    <x v="10"/>
    <x v="133"/>
    <x v="109"/>
    <x v="93"/>
    <x v="374"/>
    <x v="39"/>
    <x v="39"/>
    <x v="0"/>
  </r>
  <r>
    <x v="0"/>
    <x v="39"/>
    <x v="39"/>
    <x v="38"/>
    <x v="38"/>
    <x v="38"/>
    <x v="10"/>
    <x v="133"/>
    <x v="109"/>
    <x v="120"/>
    <x v="189"/>
    <x v="43"/>
    <x v="161"/>
    <x v="0"/>
  </r>
  <r>
    <x v="0"/>
    <x v="39"/>
    <x v="39"/>
    <x v="92"/>
    <x v="92"/>
    <x v="92"/>
    <x v="10"/>
    <x v="133"/>
    <x v="109"/>
    <x v="93"/>
    <x v="374"/>
    <x v="39"/>
    <x v="39"/>
    <x v="0"/>
  </r>
  <r>
    <x v="0"/>
    <x v="39"/>
    <x v="39"/>
    <x v="11"/>
    <x v="11"/>
    <x v="11"/>
    <x v="10"/>
    <x v="133"/>
    <x v="109"/>
    <x v="120"/>
    <x v="189"/>
    <x v="43"/>
    <x v="161"/>
    <x v="0"/>
  </r>
  <r>
    <x v="0"/>
    <x v="39"/>
    <x v="39"/>
    <x v="27"/>
    <x v="27"/>
    <x v="27"/>
    <x v="10"/>
    <x v="133"/>
    <x v="109"/>
    <x v="93"/>
    <x v="374"/>
    <x v="39"/>
    <x v="39"/>
    <x v="0"/>
  </r>
  <r>
    <x v="0"/>
    <x v="39"/>
    <x v="39"/>
    <x v="1"/>
    <x v="1"/>
    <x v="1"/>
    <x v="10"/>
    <x v="133"/>
    <x v="109"/>
    <x v="93"/>
    <x v="374"/>
    <x v="39"/>
    <x v="39"/>
    <x v="0"/>
  </r>
  <r>
    <x v="0"/>
    <x v="39"/>
    <x v="39"/>
    <x v="84"/>
    <x v="84"/>
    <x v="84"/>
    <x v="10"/>
    <x v="133"/>
    <x v="109"/>
    <x v="93"/>
    <x v="374"/>
    <x v="39"/>
    <x v="39"/>
    <x v="0"/>
  </r>
  <r>
    <x v="0"/>
    <x v="39"/>
    <x v="39"/>
    <x v="26"/>
    <x v="26"/>
    <x v="26"/>
    <x v="10"/>
    <x v="133"/>
    <x v="109"/>
    <x v="93"/>
    <x v="374"/>
    <x v="39"/>
    <x v="39"/>
    <x v="0"/>
  </r>
  <r>
    <x v="0"/>
    <x v="39"/>
    <x v="39"/>
    <x v="74"/>
    <x v="74"/>
    <x v="74"/>
    <x v="10"/>
    <x v="133"/>
    <x v="109"/>
    <x v="93"/>
    <x v="374"/>
    <x v="39"/>
    <x v="39"/>
    <x v="0"/>
  </r>
  <r>
    <x v="0"/>
    <x v="39"/>
    <x v="39"/>
    <x v="44"/>
    <x v="44"/>
    <x v="44"/>
    <x v="10"/>
    <x v="133"/>
    <x v="109"/>
    <x v="120"/>
    <x v="189"/>
    <x v="39"/>
    <x v="39"/>
    <x v="0"/>
  </r>
  <r>
    <x v="0"/>
    <x v="40"/>
    <x v="40"/>
    <x v="15"/>
    <x v="15"/>
    <x v="15"/>
    <x v="0"/>
    <x v="116"/>
    <x v="294"/>
    <x v="99"/>
    <x v="375"/>
    <x v="40"/>
    <x v="191"/>
    <x v="0"/>
  </r>
  <r>
    <x v="0"/>
    <x v="40"/>
    <x v="40"/>
    <x v="26"/>
    <x v="26"/>
    <x v="26"/>
    <x v="1"/>
    <x v="138"/>
    <x v="295"/>
    <x v="63"/>
    <x v="376"/>
    <x v="46"/>
    <x v="240"/>
    <x v="0"/>
  </r>
  <r>
    <x v="0"/>
    <x v="40"/>
    <x v="40"/>
    <x v="14"/>
    <x v="14"/>
    <x v="14"/>
    <x v="2"/>
    <x v="122"/>
    <x v="52"/>
    <x v="53"/>
    <x v="377"/>
    <x v="39"/>
    <x v="39"/>
    <x v="0"/>
  </r>
  <r>
    <x v="0"/>
    <x v="40"/>
    <x v="40"/>
    <x v="72"/>
    <x v="72"/>
    <x v="72"/>
    <x v="2"/>
    <x v="122"/>
    <x v="52"/>
    <x v="79"/>
    <x v="378"/>
    <x v="51"/>
    <x v="241"/>
    <x v="0"/>
  </r>
  <r>
    <x v="0"/>
    <x v="40"/>
    <x v="40"/>
    <x v="38"/>
    <x v="38"/>
    <x v="38"/>
    <x v="4"/>
    <x v="131"/>
    <x v="296"/>
    <x v="86"/>
    <x v="151"/>
    <x v="30"/>
    <x v="242"/>
    <x v="0"/>
  </r>
  <r>
    <x v="0"/>
    <x v="40"/>
    <x v="40"/>
    <x v="27"/>
    <x v="27"/>
    <x v="27"/>
    <x v="4"/>
    <x v="131"/>
    <x v="296"/>
    <x v="121"/>
    <x v="217"/>
    <x v="43"/>
    <x v="243"/>
    <x v="0"/>
  </r>
  <r>
    <x v="0"/>
    <x v="40"/>
    <x v="40"/>
    <x v="92"/>
    <x v="92"/>
    <x v="92"/>
    <x v="18"/>
    <x v="134"/>
    <x v="297"/>
    <x v="91"/>
    <x v="379"/>
    <x v="53"/>
    <x v="244"/>
    <x v="0"/>
  </r>
  <r>
    <x v="0"/>
    <x v="40"/>
    <x v="40"/>
    <x v="5"/>
    <x v="5"/>
    <x v="5"/>
    <x v="6"/>
    <x v="124"/>
    <x v="264"/>
    <x v="55"/>
    <x v="380"/>
    <x v="39"/>
    <x v="39"/>
    <x v="0"/>
  </r>
  <r>
    <x v="0"/>
    <x v="40"/>
    <x v="40"/>
    <x v="33"/>
    <x v="33"/>
    <x v="33"/>
    <x v="7"/>
    <x v="125"/>
    <x v="179"/>
    <x v="56"/>
    <x v="381"/>
    <x v="43"/>
    <x v="243"/>
    <x v="0"/>
  </r>
  <r>
    <x v="0"/>
    <x v="40"/>
    <x v="40"/>
    <x v="6"/>
    <x v="6"/>
    <x v="6"/>
    <x v="7"/>
    <x v="125"/>
    <x v="179"/>
    <x v="54"/>
    <x v="382"/>
    <x v="39"/>
    <x v="39"/>
    <x v="0"/>
  </r>
  <r>
    <x v="0"/>
    <x v="40"/>
    <x v="40"/>
    <x v="3"/>
    <x v="3"/>
    <x v="3"/>
    <x v="7"/>
    <x v="125"/>
    <x v="179"/>
    <x v="54"/>
    <x v="382"/>
    <x v="39"/>
    <x v="39"/>
    <x v="0"/>
  </r>
  <r>
    <x v="0"/>
    <x v="40"/>
    <x v="40"/>
    <x v="78"/>
    <x v="78"/>
    <x v="78"/>
    <x v="10"/>
    <x v="126"/>
    <x v="57"/>
    <x v="56"/>
    <x v="381"/>
    <x v="39"/>
    <x v="39"/>
    <x v="0"/>
  </r>
  <r>
    <x v="0"/>
    <x v="40"/>
    <x v="40"/>
    <x v="22"/>
    <x v="22"/>
    <x v="22"/>
    <x v="11"/>
    <x v="127"/>
    <x v="44"/>
    <x v="86"/>
    <x v="151"/>
    <x v="39"/>
    <x v="39"/>
    <x v="0"/>
  </r>
  <r>
    <x v="0"/>
    <x v="40"/>
    <x v="40"/>
    <x v="37"/>
    <x v="37"/>
    <x v="37"/>
    <x v="12"/>
    <x v="128"/>
    <x v="110"/>
    <x v="76"/>
    <x v="339"/>
    <x v="39"/>
    <x v="39"/>
    <x v="0"/>
  </r>
  <r>
    <x v="0"/>
    <x v="40"/>
    <x v="40"/>
    <x v="100"/>
    <x v="100"/>
    <x v="100"/>
    <x v="12"/>
    <x v="128"/>
    <x v="110"/>
    <x v="76"/>
    <x v="339"/>
    <x v="39"/>
    <x v="39"/>
    <x v="0"/>
  </r>
  <r>
    <x v="0"/>
    <x v="40"/>
    <x v="40"/>
    <x v="28"/>
    <x v="28"/>
    <x v="28"/>
    <x v="12"/>
    <x v="128"/>
    <x v="110"/>
    <x v="76"/>
    <x v="339"/>
    <x v="39"/>
    <x v="39"/>
    <x v="0"/>
  </r>
  <r>
    <x v="0"/>
    <x v="40"/>
    <x v="40"/>
    <x v="12"/>
    <x v="12"/>
    <x v="12"/>
    <x v="15"/>
    <x v="129"/>
    <x v="298"/>
    <x v="93"/>
    <x v="81"/>
    <x v="40"/>
    <x v="191"/>
    <x v="0"/>
  </r>
  <r>
    <x v="0"/>
    <x v="40"/>
    <x v="40"/>
    <x v="93"/>
    <x v="93"/>
    <x v="93"/>
    <x v="15"/>
    <x v="129"/>
    <x v="298"/>
    <x v="120"/>
    <x v="189"/>
    <x v="41"/>
    <x v="245"/>
    <x v="0"/>
  </r>
  <r>
    <x v="0"/>
    <x v="40"/>
    <x v="40"/>
    <x v="9"/>
    <x v="9"/>
    <x v="9"/>
    <x v="15"/>
    <x v="129"/>
    <x v="298"/>
    <x v="85"/>
    <x v="145"/>
    <x v="43"/>
    <x v="243"/>
    <x v="0"/>
  </r>
  <r>
    <x v="0"/>
    <x v="40"/>
    <x v="40"/>
    <x v="39"/>
    <x v="39"/>
    <x v="39"/>
    <x v="15"/>
    <x v="129"/>
    <x v="298"/>
    <x v="91"/>
    <x v="379"/>
    <x v="39"/>
    <x v="39"/>
    <x v="0"/>
  </r>
  <r>
    <x v="0"/>
    <x v="41"/>
    <x v="41"/>
    <x v="50"/>
    <x v="50"/>
    <x v="50"/>
    <x v="0"/>
    <x v="84"/>
    <x v="299"/>
    <x v="106"/>
    <x v="347"/>
    <x v="39"/>
    <x v="39"/>
    <x v="0"/>
  </r>
  <r>
    <x v="0"/>
    <x v="41"/>
    <x v="41"/>
    <x v="76"/>
    <x v="76"/>
    <x v="76"/>
    <x v="1"/>
    <x v="134"/>
    <x v="300"/>
    <x v="62"/>
    <x v="383"/>
    <x v="43"/>
    <x v="246"/>
    <x v="0"/>
  </r>
  <r>
    <x v="0"/>
    <x v="41"/>
    <x v="41"/>
    <x v="15"/>
    <x v="15"/>
    <x v="15"/>
    <x v="2"/>
    <x v="123"/>
    <x v="301"/>
    <x v="54"/>
    <x v="384"/>
    <x v="51"/>
    <x v="247"/>
    <x v="0"/>
  </r>
  <r>
    <x v="0"/>
    <x v="41"/>
    <x v="41"/>
    <x v="3"/>
    <x v="3"/>
    <x v="3"/>
    <x v="3"/>
    <x v="127"/>
    <x v="37"/>
    <x v="86"/>
    <x v="199"/>
    <x v="39"/>
    <x v="39"/>
    <x v="0"/>
  </r>
  <r>
    <x v="0"/>
    <x v="41"/>
    <x v="41"/>
    <x v="28"/>
    <x v="28"/>
    <x v="28"/>
    <x v="4"/>
    <x v="128"/>
    <x v="302"/>
    <x v="91"/>
    <x v="385"/>
    <x v="43"/>
    <x v="246"/>
    <x v="0"/>
  </r>
  <r>
    <x v="0"/>
    <x v="41"/>
    <x v="41"/>
    <x v="27"/>
    <x v="27"/>
    <x v="27"/>
    <x v="4"/>
    <x v="128"/>
    <x v="302"/>
    <x v="85"/>
    <x v="201"/>
    <x v="51"/>
    <x v="247"/>
    <x v="0"/>
  </r>
  <r>
    <x v="0"/>
    <x v="41"/>
    <x v="41"/>
    <x v="6"/>
    <x v="6"/>
    <x v="6"/>
    <x v="18"/>
    <x v="129"/>
    <x v="303"/>
    <x v="85"/>
    <x v="201"/>
    <x v="43"/>
    <x v="246"/>
    <x v="0"/>
  </r>
  <r>
    <x v="0"/>
    <x v="41"/>
    <x v="41"/>
    <x v="26"/>
    <x v="26"/>
    <x v="26"/>
    <x v="18"/>
    <x v="129"/>
    <x v="303"/>
    <x v="93"/>
    <x v="26"/>
    <x v="43"/>
    <x v="246"/>
    <x v="3"/>
  </r>
  <r>
    <x v="0"/>
    <x v="41"/>
    <x v="41"/>
    <x v="113"/>
    <x v="113"/>
    <x v="113"/>
    <x v="7"/>
    <x v="130"/>
    <x v="304"/>
    <x v="122"/>
    <x v="386"/>
    <x v="43"/>
    <x v="246"/>
    <x v="0"/>
  </r>
  <r>
    <x v="0"/>
    <x v="41"/>
    <x v="41"/>
    <x v="48"/>
    <x v="48"/>
    <x v="48"/>
    <x v="7"/>
    <x v="130"/>
    <x v="304"/>
    <x v="120"/>
    <x v="189"/>
    <x v="40"/>
    <x v="248"/>
    <x v="0"/>
  </r>
  <r>
    <x v="0"/>
    <x v="41"/>
    <x v="41"/>
    <x v="0"/>
    <x v="0"/>
    <x v="0"/>
    <x v="7"/>
    <x v="130"/>
    <x v="304"/>
    <x v="85"/>
    <x v="201"/>
    <x v="39"/>
    <x v="39"/>
    <x v="0"/>
  </r>
  <r>
    <x v="0"/>
    <x v="41"/>
    <x v="41"/>
    <x v="41"/>
    <x v="41"/>
    <x v="41"/>
    <x v="7"/>
    <x v="130"/>
    <x v="304"/>
    <x v="93"/>
    <x v="26"/>
    <x v="43"/>
    <x v="246"/>
    <x v="0"/>
  </r>
  <r>
    <x v="0"/>
    <x v="41"/>
    <x v="41"/>
    <x v="12"/>
    <x v="12"/>
    <x v="12"/>
    <x v="11"/>
    <x v="132"/>
    <x v="14"/>
    <x v="120"/>
    <x v="189"/>
    <x v="51"/>
    <x v="247"/>
    <x v="0"/>
  </r>
  <r>
    <x v="0"/>
    <x v="41"/>
    <x v="41"/>
    <x v="29"/>
    <x v="29"/>
    <x v="29"/>
    <x v="11"/>
    <x v="132"/>
    <x v="14"/>
    <x v="93"/>
    <x v="26"/>
    <x v="43"/>
    <x v="246"/>
    <x v="0"/>
  </r>
  <r>
    <x v="0"/>
    <x v="41"/>
    <x v="41"/>
    <x v="64"/>
    <x v="64"/>
    <x v="64"/>
    <x v="11"/>
    <x v="132"/>
    <x v="14"/>
    <x v="122"/>
    <x v="386"/>
    <x v="39"/>
    <x v="39"/>
    <x v="0"/>
  </r>
  <r>
    <x v="0"/>
    <x v="41"/>
    <x v="41"/>
    <x v="123"/>
    <x v="123"/>
    <x v="123"/>
    <x v="11"/>
    <x v="132"/>
    <x v="14"/>
    <x v="93"/>
    <x v="26"/>
    <x v="43"/>
    <x v="246"/>
    <x v="0"/>
  </r>
  <r>
    <x v="0"/>
    <x v="41"/>
    <x v="41"/>
    <x v="132"/>
    <x v="132"/>
    <x v="132"/>
    <x v="11"/>
    <x v="132"/>
    <x v="14"/>
    <x v="120"/>
    <x v="189"/>
    <x v="51"/>
    <x v="247"/>
    <x v="0"/>
  </r>
  <r>
    <x v="0"/>
    <x v="41"/>
    <x v="41"/>
    <x v="34"/>
    <x v="34"/>
    <x v="34"/>
    <x v="11"/>
    <x v="132"/>
    <x v="14"/>
    <x v="122"/>
    <x v="386"/>
    <x v="39"/>
    <x v="39"/>
    <x v="0"/>
  </r>
  <r>
    <x v="0"/>
    <x v="41"/>
    <x v="41"/>
    <x v="77"/>
    <x v="77"/>
    <x v="77"/>
    <x v="11"/>
    <x v="132"/>
    <x v="14"/>
    <x v="93"/>
    <x v="26"/>
    <x v="43"/>
    <x v="246"/>
    <x v="0"/>
  </r>
  <r>
    <x v="0"/>
    <x v="41"/>
    <x v="41"/>
    <x v="36"/>
    <x v="36"/>
    <x v="36"/>
    <x v="11"/>
    <x v="132"/>
    <x v="14"/>
    <x v="122"/>
    <x v="386"/>
    <x v="39"/>
    <x v="39"/>
    <x v="0"/>
  </r>
  <r>
    <x v="0"/>
    <x v="41"/>
    <x v="41"/>
    <x v="23"/>
    <x v="23"/>
    <x v="23"/>
    <x v="11"/>
    <x v="132"/>
    <x v="14"/>
    <x v="122"/>
    <x v="386"/>
    <x v="39"/>
    <x v="39"/>
    <x v="0"/>
  </r>
  <r>
    <x v="0"/>
    <x v="41"/>
    <x v="41"/>
    <x v="9"/>
    <x v="9"/>
    <x v="9"/>
    <x v="11"/>
    <x v="132"/>
    <x v="14"/>
    <x v="93"/>
    <x v="26"/>
    <x v="43"/>
    <x v="246"/>
    <x v="0"/>
  </r>
  <r>
    <x v="0"/>
    <x v="41"/>
    <x v="41"/>
    <x v="1"/>
    <x v="1"/>
    <x v="1"/>
    <x v="11"/>
    <x v="132"/>
    <x v="14"/>
    <x v="122"/>
    <x v="386"/>
    <x v="39"/>
    <x v="39"/>
    <x v="0"/>
  </r>
  <r>
    <x v="0"/>
    <x v="41"/>
    <x v="41"/>
    <x v="14"/>
    <x v="14"/>
    <x v="14"/>
    <x v="11"/>
    <x v="132"/>
    <x v="14"/>
    <x v="122"/>
    <x v="386"/>
    <x v="39"/>
    <x v="39"/>
    <x v="0"/>
  </r>
  <r>
    <x v="0"/>
    <x v="41"/>
    <x v="41"/>
    <x v="2"/>
    <x v="2"/>
    <x v="2"/>
    <x v="11"/>
    <x v="132"/>
    <x v="14"/>
    <x v="122"/>
    <x v="386"/>
    <x v="39"/>
    <x v="39"/>
    <x v="0"/>
  </r>
  <r>
    <x v="0"/>
    <x v="41"/>
    <x v="41"/>
    <x v="4"/>
    <x v="4"/>
    <x v="4"/>
    <x v="11"/>
    <x v="132"/>
    <x v="14"/>
    <x v="122"/>
    <x v="386"/>
    <x v="39"/>
    <x v="3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E102A2C-BBBB-4B2F-A5AF-409CD292C972}" name="pvt_L" cacheId="2266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673" firstHeaderRow="0" firstDataRow="1" firstDataCol="1"/>
  <pivotFields count="11">
    <pivotField showAll="0"/>
    <pivotField showAll="0"/>
    <pivotField axis="axisRow" showAl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6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637">
      <pivotArea field="2" type="button" dataOnly="0" labelOnly="1" outline="0" axis="axisRow" fieldPosition="0"/>
    </format>
    <format dxfId="636">
      <pivotArea outline="0" fieldPosition="0">
        <references count="1">
          <reference field="4294967294" count="1">
            <x v="0"/>
          </reference>
        </references>
      </pivotArea>
    </format>
    <format dxfId="635">
      <pivotArea outline="0" fieldPosition="0">
        <references count="1">
          <reference field="4294967294" count="1">
            <x v="1"/>
          </reference>
        </references>
      </pivotArea>
    </format>
    <format dxfId="634">
      <pivotArea outline="0" fieldPosition="0">
        <references count="1">
          <reference field="4294967294" count="1">
            <x v="2"/>
          </reference>
        </references>
      </pivotArea>
    </format>
    <format dxfId="633">
      <pivotArea outline="0" fieldPosition="0">
        <references count="1">
          <reference field="4294967294" count="1">
            <x v="3"/>
          </reference>
        </references>
      </pivotArea>
    </format>
    <format dxfId="632">
      <pivotArea outline="0" fieldPosition="0">
        <references count="1">
          <reference field="4294967294" count="1">
            <x v="4"/>
          </reference>
        </references>
      </pivotArea>
    </format>
    <format dxfId="631">
      <pivotArea outline="0" fieldPosition="0">
        <references count="1">
          <reference field="4294967294" count="1">
            <x v="5"/>
          </reference>
        </references>
      </pivotArea>
    </format>
    <format dxfId="630">
      <pivotArea outline="0" fieldPosition="0">
        <references count="1">
          <reference field="4294967294" count="1">
            <x v="6"/>
          </reference>
        </references>
      </pivotArea>
    </format>
    <format dxfId="629">
      <pivotArea field="2" type="button" dataOnly="0" labelOnly="1" outline="0" axis="axisRow" fieldPosition="0"/>
    </format>
    <format dxfId="62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27">
      <pivotArea field="2" type="button" dataOnly="0" labelOnly="1" outline="0" axis="axisRow" fieldPosition="0"/>
    </format>
    <format dxfId="62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25">
      <pivotArea field="2" type="button" dataOnly="0" labelOnly="1" outline="0" axis="axisRow" fieldPosition="0"/>
    </format>
    <format dxfId="62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2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2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B01DDF-05C6-49E8-9608-827217DB60CE}" name="pvt_M" cacheId="2267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975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42">
        <item x="9"/>
        <item x="4"/>
        <item x="0"/>
        <item x="7"/>
        <item x="2"/>
        <item x="39"/>
        <item x="10"/>
        <item x="20"/>
        <item x="17"/>
        <item x="18"/>
        <item x="19"/>
        <item x="12"/>
        <item x="15"/>
        <item x="13"/>
        <item x="14"/>
        <item x="16"/>
        <item x="6"/>
        <item x="3"/>
        <item x="22"/>
        <item x="26"/>
        <item x="25"/>
        <item x="21"/>
        <item x="23"/>
        <item x="24"/>
        <item x="31"/>
        <item x="36"/>
        <item x="35"/>
        <item x="37"/>
        <item x="30"/>
        <item x="29"/>
        <item x="32"/>
        <item x="33"/>
        <item x="28"/>
        <item x="38"/>
        <item x="34"/>
        <item x="27"/>
        <item x="1"/>
        <item x="11"/>
        <item x="40"/>
        <item x="41"/>
        <item x="8"/>
        <item x="5"/>
      </items>
    </pivotField>
    <pivotField axis="axisRow" showAll="0" insertBlankRow="1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showAll="0" defaultSubtotal="0">
      <items count="55">
        <item x="6"/>
        <item x="10"/>
        <item x="9"/>
        <item x="23"/>
        <item x="32"/>
        <item x="35"/>
        <item x="36"/>
        <item x="52"/>
        <item x="43"/>
        <item x="37"/>
        <item x="53"/>
        <item x="31"/>
        <item x="27"/>
        <item x="54"/>
        <item x="40"/>
        <item x="48"/>
        <item x="34"/>
        <item x="46"/>
        <item x="30"/>
        <item x="28"/>
        <item x="50"/>
        <item x="42"/>
        <item x="38"/>
        <item x="49"/>
        <item x="24"/>
        <item x="25"/>
        <item x="20"/>
        <item x="22"/>
        <item x="7"/>
        <item x="4"/>
        <item x="8"/>
        <item x="3"/>
        <item x="41"/>
        <item x="44"/>
        <item x="17"/>
        <item x="1"/>
        <item x="29"/>
        <item x="51"/>
        <item x="11"/>
        <item x="47"/>
        <item x="12"/>
        <item x="14"/>
        <item x="0"/>
        <item x="26"/>
        <item x="2"/>
        <item x="19"/>
        <item x="18"/>
        <item x="5"/>
        <item x="13"/>
        <item x="16"/>
        <item x="39"/>
        <item x="15"/>
        <item x="45"/>
        <item x="21"/>
        <item x="33"/>
      </items>
    </pivotField>
    <pivotField showAll="0" defaultSubtotal="0">
      <items count="55">
        <item x="33"/>
        <item x="22"/>
        <item x="5"/>
        <item x="21"/>
        <item x="3"/>
        <item x="19"/>
        <item x="40"/>
        <item x="13"/>
        <item x="43"/>
        <item x="0"/>
        <item x="24"/>
        <item x="4"/>
        <item x="32"/>
        <item x="38"/>
        <item x="46"/>
        <item x="37"/>
        <item x="52"/>
        <item x="51"/>
        <item x="20"/>
        <item x="8"/>
        <item x="45"/>
        <item x="12"/>
        <item x="27"/>
        <item x="25"/>
        <item x="18"/>
        <item x="47"/>
        <item x="26"/>
        <item x="15"/>
        <item x="16"/>
        <item x="14"/>
        <item x="7"/>
        <item x="10"/>
        <item x="23"/>
        <item x="50"/>
        <item x="34"/>
        <item x="53"/>
        <item x="9"/>
        <item x="11"/>
        <item x="2"/>
        <item x="35"/>
        <item x="42"/>
        <item x="6"/>
        <item x="48"/>
        <item x="28"/>
        <item x="30"/>
        <item x="39"/>
        <item x="17"/>
        <item x="1"/>
        <item x="29"/>
        <item x="44"/>
        <item x="41"/>
        <item x="36"/>
        <item x="54"/>
        <item x="49"/>
        <item x="31"/>
      </items>
    </pivotField>
    <pivotField axis="axisRow" showAll="0" defaultSubtotal="0">
      <items count="55">
        <item x="6"/>
        <item x="10"/>
        <item x="9"/>
        <item x="23"/>
        <item x="32"/>
        <item x="35"/>
        <item x="36"/>
        <item x="52"/>
        <item x="43"/>
        <item x="37"/>
        <item x="53"/>
        <item x="31"/>
        <item x="27"/>
        <item x="54"/>
        <item x="40"/>
        <item x="48"/>
        <item x="34"/>
        <item x="46"/>
        <item x="30"/>
        <item x="28"/>
        <item x="50"/>
        <item x="42"/>
        <item x="38"/>
        <item x="49"/>
        <item x="24"/>
        <item x="25"/>
        <item x="20"/>
        <item x="22"/>
        <item x="7"/>
        <item x="4"/>
        <item x="8"/>
        <item x="3"/>
        <item x="41"/>
        <item x="44"/>
        <item x="17"/>
        <item x="1"/>
        <item x="29"/>
        <item x="51"/>
        <item x="11"/>
        <item x="47"/>
        <item x="12"/>
        <item x="14"/>
        <item x="0"/>
        <item x="26"/>
        <item x="2"/>
        <item x="19"/>
        <item x="18"/>
        <item x="5"/>
        <item x="13"/>
        <item x="16"/>
        <item x="39"/>
        <item x="15"/>
        <item x="45"/>
        <item x="21"/>
        <item x="33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66">
        <item x="152"/>
        <item x="148"/>
        <item x="147"/>
        <item x="146"/>
        <item x="145"/>
        <item x="151"/>
        <item x="150"/>
        <item x="149"/>
        <item x="144"/>
        <item x="158"/>
        <item x="153"/>
        <item x="143"/>
        <item x="140"/>
        <item x="142"/>
        <item x="156"/>
        <item x="125"/>
        <item x="97"/>
        <item x="96"/>
        <item x="107"/>
        <item x="124"/>
        <item x="95"/>
        <item x="159"/>
        <item x="139"/>
        <item x="94"/>
        <item x="56"/>
        <item x="73"/>
        <item x="72"/>
        <item x="71"/>
        <item x="93"/>
        <item x="106"/>
        <item x="55"/>
        <item x="70"/>
        <item x="155"/>
        <item x="105"/>
        <item x="69"/>
        <item x="137"/>
        <item x="123"/>
        <item x="118"/>
        <item x="122"/>
        <item x="92"/>
        <item x="141"/>
        <item x="121"/>
        <item x="68"/>
        <item x="86"/>
        <item x="161"/>
        <item x="67"/>
        <item x="54"/>
        <item x="53"/>
        <item x="52"/>
        <item x="154"/>
        <item x="51"/>
        <item x="66"/>
        <item x="120"/>
        <item x="163"/>
        <item x="117"/>
        <item x="116"/>
        <item x="138"/>
        <item x="165"/>
        <item x="50"/>
        <item x="85"/>
        <item x="49"/>
        <item x="84"/>
        <item x="83"/>
        <item x="48"/>
        <item x="47"/>
        <item x="65"/>
        <item x="91"/>
        <item x="46"/>
        <item x="64"/>
        <item x="90"/>
        <item x="45"/>
        <item x="115"/>
        <item x="82"/>
        <item x="104"/>
        <item x="63"/>
        <item x="131"/>
        <item x="114"/>
        <item x="160"/>
        <item x="136"/>
        <item x="103"/>
        <item x="81"/>
        <item x="113"/>
        <item x="162"/>
        <item x="119"/>
        <item x="80"/>
        <item x="79"/>
        <item x="102"/>
        <item x="130"/>
        <item x="135"/>
        <item x="78"/>
        <item x="62"/>
        <item x="77"/>
        <item x="101"/>
        <item x="44"/>
        <item x="89"/>
        <item x="61"/>
        <item x="100"/>
        <item x="157"/>
        <item x="60"/>
        <item x="112"/>
        <item x="59"/>
        <item x="39"/>
        <item x="38"/>
        <item x="37"/>
        <item x="36"/>
        <item x="99"/>
        <item x="134"/>
        <item x="43"/>
        <item x="58"/>
        <item x="35"/>
        <item x="34"/>
        <item x="33"/>
        <item x="129"/>
        <item x="133"/>
        <item x="88"/>
        <item x="98"/>
        <item x="42"/>
        <item x="164"/>
        <item x="32"/>
        <item x="111"/>
        <item x="31"/>
        <item x="30"/>
        <item x="29"/>
        <item x="41"/>
        <item x="28"/>
        <item x="76"/>
        <item x="110"/>
        <item x="128"/>
        <item x="132"/>
        <item x="87"/>
        <item x="40"/>
        <item x="57"/>
        <item x="27"/>
        <item x="109"/>
        <item x="26"/>
        <item x="127"/>
        <item x="126"/>
        <item x="75"/>
        <item x="19"/>
        <item x="25"/>
        <item x="24"/>
        <item x="74"/>
        <item x="108"/>
        <item x="18"/>
        <item x="17"/>
        <item x="23"/>
        <item x="16"/>
        <item x="15"/>
        <item x="14"/>
        <item x="13"/>
        <item x="12"/>
        <item x="22"/>
        <item x="11"/>
        <item x="10"/>
        <item x="9"/>
        <item x="8"/>
        <item x="7"/>
        <item x="21"/>
        <item x="6"/>
        <item x="20"/>
        <item x="5"/>
        <item x="4"/>
        <item x="3"/>
        <item x="2"/>
        <item x="1"/>
        <item x="0"/>
      </items>
    </pivotField>
    <pivotField dataField="1" showAll="0" defaultSubtotal="0">
      <items count="404">
        <item x="354"/>
        <item x="206"/>
        <item x="403"/>
        <item x="217"/>
        <item x="399"/>
        <item x="132"/>
        <item x="256"/>
        <item x="268"/>
        <item x="245"/>
        <item x="227"/>
        <item x="205"/>
        <item x="131"/>
        <item x="159"/>
        <item x="99"/>
        <item x="55"/>
        <item x="158"/>
        <item x="398"/>
        <item x="331"/>
        <item x="98"/>
        <item x="157"/>
        <item x="130"/>
        <item x="216"/>
        <item x="267"/>
        <item x="114"/>
        <item x="146"/>
        <item x="18"/>
        <item x="323"/>
        <item x="353"/>
        <item x="236"/>
        <item x="71"/>
        <item x="37"/>
        <item x="36"/>
        <item x="35"/>
        <item x="34"/>
        <item x="54"/>
        <item x="86"/>
        <item x="341"/>
        <item x="322"/>
        <item x="70"/>
        <item x="85"/>
        <item x="226"/>
        <item x="389"/>
        <item x="266"/>
        <item x="291"/>
        <item x="33"/>
        <item x="321"/>
        <item x="17"/>
        <item x="69"/>
        <item x="378"/>
        <item x="32"/>
        <item x="16"/>
        <item x="68"/>
        <item x="215"/>
        <item x="290"/>
        <item x="320"/>
        <item x="186"/>
        <item x="204"/>
        <item x="113"/>
        <item x="179"/>
        <item x="97"/>
        <item x="112"/>
        <item x="67"/>
        <item x="129"/>
        <item x="15"/>
        <item x="14"/>
        <item x="255"/>
        <item x="214"/>
        <item x="170"/>
        <item x="13"/>
        <item x="96"/>
        <item x="309"/>
        <item x="31"/>
        <item x="340"/>
        <item x="235"/>
        <item x="225"/>
        <item x="84"/>
        <item x="111"/>
        <item x="397"/>
        <item x="12"/>
        <item x="95"/>
        <item x="169"/>
        <item x="110"/>
        <item x="213"/>
        <item x="83"/>
        <item x="289"/>
        <item x="11"/>
        <item x="53"/>
        <item x="109"/>
        <item x="128"/>
        <item x="52"/>
        <item x="339"/>
        <item x="30"/>
        <item x="299"/>
        <item x="145"/>
        <item x="10"/>
        <item x="51"/>
        <item x="29"/>
        <item x="28"/>
        <item x="244"/>
        <item x="27"/>
        <item x="254"/>
        <item x="50"/>
        <item x="66"/>
        <item x="288"/>
        <item x="203"/>
        <item x="168"/>
        <item x="127"/>
        <item x="126"/>
        <item x="82"/>
        <item x="144"/>
        <item x="9"/>
        <item x="277"/>
        <item x="287"/>
        <item x="125"/>
        <item x="8"/>
        <item x="360"/>
        <item x="352"/>
        <item x="124"/>
        <item x="94"/>
        <item x="286"/>
        <item x="7"/>
        <item x="143"/>
        <item x="65"/>
        <item x="49"/>
        <item x="347"/>
        <item x="156"/>
        <item x="276"/>
        <item x="81"/>
        <item x="253"/>
        <item x="388"/>
        <item x="123"/>
        <item x="185"/>
        <item x="48"/>
        <item x="167"/>
        <item x="155"/>
        <item x="212"/>
        <item x="122"/>
        <item x="108"/>
        <item x="338"/>
        <item x="142"/>
        <item x="224"/>
        <item x="80"/>
        <item x="319"/>
        <item x="47"/>
        <item x="141"/>
        <item x="79"/>
        <item x="337"/>
        <item x="46"/>
        <item x="202"/>
        <item x="140"/>
        <item x="26"/>
        <item x="45"/>
        <item x="285"/>
        <item x="78"/>
        <item x="330"/>
        <item x="77"/>
        <item x="178"/>
        <item x="234"/>
        <item x="154"/>
        <item x="166"/>
        <item x="275"/>
        <item x="139"/>
        <item x="76"/>
        <item x="44"/>
        <item x="93"/>
        <item x="138"/>
        <item x="107"/>
        <item x="298"/>
        <item x="6"/>
        <item x="329"/>
        <item x="318"/>
        <item x="137"/>
        <item x="25"/>
        <item x="211"/>
        <item x="64"/>
        <item x="243"/>
        <item x="265"/>
        <item x="393"/>
        <item x="373"/>
        <item x="336"/>
        <item x="153"/>
        <item x="63"/>
        <item x="264"/>
        <item x="177"/>
        <item x="335"/>
        <item x="308"/>
        <item x="263"/>
        <item x="366"/>
        <item x="242"/>
        <item x="233"/>
        <item x="328"/>
        <item x="396"/>
        <item x="62"/>
        <item x="201"/>
        <item x="346"/>
        <item x="307"/>
        <item x="274"/>
        <item x="284"/>
        <item x="192"/>
        <item x="121"/>
        <item x="165"/>
        <item x="136"/>
        <item x="383"/>
        <item x="306"/>
        <item x="223"/>
        <item x="75"/>
        <item x="317"/>
        <item x="152"/>
        <item x="241"/>
        <item x="92"/>
        <item x="120"/>
        <item x="252"/>
        <item x="316"/>
        <item x="334"/>
        <item x="283"/>
        <item x="164"/>
        <item x="43"/>
        <item x="91"/>
        <item x="382"/>
        <item x="24"/>
        <item x="23"/>
        <item x="273"/>
        <item x="315"/>
        <item x="74"/>
        <item x="163"/>
        <item x="200"/>
        <item x="359"/>
        <item x="5"/>
        <item x="106"/>
        <item x="351"/>
        <item x="61"/>
        <item x="232"/>
        <item x="4"/>
        <item x="151"/>
        <item x="176"/>
        <item x="297"/>
        <item x="345"/>
        <item x="372"/>
        <item x="251"/>
        <item x="105"/>
        <item x="296"/>
        <item x="60"/>
        <item x="305"/>
        <item x="262"/>
        <item x="365"/>
        <item x="231"/>
        <item x="175"/>
        <item x="250"/>
        <item x="363"/>
        <item x="282"/>
        <item x="119"/>
        <item x="240"/>
        <item x="314"/>
        <item x="261"/>
        <item x="22"/>
        <item x="42"/>
        <item x="191"/>
        <item x="260"/>
        <item x="377"/>
        <item x="295"/>
        <item x="104"/>
        <item x="174"/>
        <item x="313"/>
        <item x="150"/>
        <item x="230"/>
        <item x="3"/>
        <item x="59"/>
        <item x="210"/>
        <item x="304"/>
        <item x="272"/>
        <item x="118"/>
        <item x="41"/>
        <item x="184"/>
        <item x="239"/>
        <item x="222"/>
        <item x="249"/>
        <item x="58"/>
        <item x="103"/>
        <item x="312"/>
        <item x="90"/>
        <item x="303"/>
        <item x="229"/>
        <item x="392"/>
        <item x="135"/>
        <item x="371"/>
        <item x="221"/>
        <item x="190"/>
        <item x="248"/>
        <item x="162"/>
        <item x="387"/>
        <item x="333"/>
        <item x="386"/>
        <item x="358"/>
        <item x="57"/>
        <item x="364"/>
        <item x="385"/>
        <item x="199"/>
        <item x="294"/>
        <item x="183"/>
        <item x="281"/>
        <item x="102"/>
        <item x="302"/>
        <item x="271"/>
        <item x="21"/>
        <item x="209"/>
        <item x="134"/>
        <item x="327"/>
        <item x="117"/>
        <item x="189"/>
        <item x="228"/>
        <item x="40"/>
        <item x="311"/>
        <item x="381"/>
        <item x="310"/>
        <item x="220"/>
        <item x="173"/>
        <item x="391"/>
        <item x="326"/>
        <item x="2"/>
        <item x="368"/>
        <item x="89"/>
        <item x="161"/>
        <item x="301"/>
        <item x="101"/>
        <item x="188"/>
        <item x="293"/>
        <item x="1"/>
        <item x="325"/>
        <item x="172"/>
        <item x="357"/>
        <item x="402"/>
        <item x="39"/>
        <item x="195"/>
        <item x="116"/>
        <item x="182"/>
        <item x="238"/>
        <item x="300"/>
        <item x="259"/>
        <item x="149"/>
        <item x="219"/>
        <item x="133"/>
        <item x="171"/>
        <item x="376"/>
        <item x="258"/>
        <item x="198"/>
        <item x="181"/>
        <item x="292"/>
        <item x="257"/>
        <item x="384"/>
        <item x="208"/>
        <item x="218"/>
        <item x="362"/>
        <item x="197"/>
        <item x="344"/>
        <item x="88"/>
        <item x="280"/>
        <item x="247"/>
        <item x="100"/>
        <item x="279"/>
        <item x="194"/>
        <item x="270"/>
        <item x="375"/>
        <item x="278"/>
        <item x="20"/>
        <item x="380"/>
        <item x="148"/>
        <item x="401"/>
        <item x="38"/>
        <item x="379"/>
        <item x="73"/>
        <item x="395"/>
        <item x="350"/>
        <item x="147"/>
        <item x="324"/>
        <item x="160"/>
        <item x="0"/>
        <item x="356"/>
        <item x="400"/>
        <item x="390"/>
        <item x="72"/>
        <item x="343"/>
        <item x="56"/>
        <item x="370"/>
        <item x="115"/>
        <item x="196"/>
        <item x="269"/>
        <item x="374"/>
        <item x="367"/>
        <item x="19"/>
        <item x="87"/>
        <item x="187"/>
        <item x="332"/>
        <item x="342"/>
        <item x="237"/>
        <item x="355"/>
        <item x="180"/>
        <item x="246"/>
        <item x="193"/>
        <item x="394"/>
        <item x="349"/>
        <item x="361"/>
        <item x="369"/>
        <item x="207"/>
        <item x="348"/>
      </items>
    </pivotField>
    <pivotField dataField="1" showAll="0" defaultSubtotal="0">
      <items count="145">
        <item x="134"/>
        <item x="95"/>
        <item x="119"/>
        <item x="66"/>
        <item x="111"/>
        <item x="88"/>
        <item x="87"/>
        <item x="44"/>
        <item x="36"/>
        <item x="77"/>
        <item x="86"/>
        <item x="51"/>
        <item x="75"/>
        <item x="64"/>
        <item x="94"/>
        <item x="96"/>
        <item x="35"/>
        <item x="45"/>
        <item x="65"/>
        <item x="78"/>
        <item x="71"/>
        <item x="135"/>
        <item x="50"/>
        <item x="97"/>
        <item x="63"/>
        <item x="28"/>
        <item x="85"/>
        <item x="61"/>
        <item x="38"/>
        <item x="110"/>
        <item x="47"/>
        <item x="109"/>
        <item x="60"/>
        <item x="62"/>
        <item x="128"/>
        <item x="118"/>
        <item x="79"/>
        <item x="141"/>
        <item x="84"/>
        <item x="73"/>
        <item x="136"/>
        <item x="108"/>
        <item x="32"/>
        <item x="31"/>
        <item x="127"/>
        <item x="48"/>
        <item x="46"/>
        <item x="106"/>
        <item x="76"/>
        <item x="49"/>
        <item x="126"/>
        <item x="133"/>
        <item x="33"/>
        <item x="132"/>
        <item x="72"/>
        <item x="138"/>
        <item x="142"/>
        <item x="59"/>
        <item x="124"/>
        <item x="143"/>
        <item x="116"/>
        <item x="58"/>
        <item x="105"/>
        <item x="91"/>
        <item x="37"/>
        <item x="139"/>
        <item x="125"/>
        <item x="74"/>
        <item x="41"/>
        <item x="56"/>
        <item x="117"/>
        <item x="123"/>
        <item x="131"/>
        <item x="70"/>
        <item x="104"/>
        <item x="57"/>
        <item x="140"/>
        <item x="93"/>
        <item x="43"/>
        <item x="55"/>
        <item x="130"/>
        <item x="16"/>
        <item x="29"/>
        <item x="92"/>
        <item x="83"/>
        <item x="115"/>
        <item x="129"/>
        <item x="82"/>
        <item x="42"/>
        <item x="137"/>
        <item x="103"/>
        <item x="100"/>
        <item x="107"/>
        <item x="54"/>
        <item x="17"/>
        <item x="34"/>
        <item x="69"/>
        <item x="90"/>
        <item x="122"/>
        <item x="101"/>
        <item x="53"/>
        <item x="114"/>
        <item x="144"/>
        <item x="102"/>
        <item x="81"/>
        <item x="121"/>
        <item x="89"/>
        <item x="27"/>
        <item x="40"/>
        <item x="30"/>
        <item x="6"/>
        <item x="26"/>
        <item x="19"/>
        <item x="113"/>
        <item x="120"/>
        <item x="80"/>
        <item x="52"/>
        <item x="39"/>
        <item x="99"/>
        <item x="112"/>
        <item x="9"/>
        <item x="67"/>
        <item x="25"/>
        <item x="12"/>
        <item x="18"/>
        <item x="68"/>
        <item x="24"/>
        <item x="23"/>
        <item x="10"/>
        <item x="98"/>
        <item x="14"/>
        <item x="11"/>
        <item x="15"/>
        <item x="13"/>
        <item x="7"/>
        <item x="21"/>
        <item x="22"/>
        <item x="8"/>
        <item x="5"/>
        <item x="20"/>
        <item x="4"/>
        <item x="3"/>
        <item x="1"/>
        <item x="2"/>
        <item x="0"/>
      </items>
    </pivotField>
    <pivotField dataField="1" showAll="0" defaultSubtotal="0">
      <items count="424">
        <item x="188"/>
        <item x="116"/>
        <item x="36"/>
        <item x="181"/>
        <item x="72"/>
        <item x="131"/>
        <item x="35"/>
        <item x="100"/>
        <item x="411"/>
        <item x="121"/>
        <item x="398"/>
        <item x="16"/>
        <item x="284"/>
        <item x="86"/>
        <item x="292"/>
        <item x="28"/>
        <item x="87"/>
        <item x="136"/>
        <item x="324"/>
        <item x="216"/>
        <item x="38"/>
        <item x="152"/>
        <item x="17"/>
        <item x="46"/>
        <item x="166"/>
        <item x="235"/>
        <item x="102"/>
        <item x="54"/>
        <item x="409"/>
        <item x="266"/>
        <item x="151"/>
        <item x="84"/>
        <item x="335"/>
        <item x="360"/>
        <item x="134"/>
        <item x="202"/>
        <item x="32"/>
        <item x="343"/>
        <item x="31"/>
        <item x="105"/>
        <item x="55"/>
        <item x="231"/>
        <item x="141"/>
        <item x="97"/>
        <item x="165"/>
        <item x="337"/>
        <item x="323"/>
        <item x="33"/>
        <item x="222"/>
        <item x="6"/>
        <item x="101"/>
        <item x="422"/>
        <item x="399"/>
        <item x="70"/>
        <item x="170"/>
        <item x="251"/>
        <item x="88"/>
        <item x="19"/>
        <item x="233"/>
        <item x="302"/>
        <item x="77"/>
        <item x="37"/>
        <item x="120"/>
        <item x="283"/>
        <item x="96"/>
        <item x="410"/>
        <item x="317"/>
        <item x="293"/>
        <item x="62"/>
        <item x="47"/>
        <item x="268"/>
        <item x="161"/>
        <item x="135"/>
        <item x="149"/>
        <item x="282"/>
        <item x="122"/>
        <item x="9"/>
        <item x="232"/>
        <item x="162"/>
        <item x="71"/>
        <item x="352"/>
        <item x="219"/>
        <item x="112"/>
        <item x="203"/>
        <item x="179"/>
        <item x="147"/>
        <item x="407"/>
        <item x="194"/>
        <item x="12"/>
        <item x="29"/>
        <item x="359"/>
        <item x="18"/>
        <item x="314"/>
        <item x="104"/>
        <item x="115"/>
        <item x="193"/>
        <item x="163"/>
        <item x="278"/>
        <item x="357"/>
        <item x="180"/>
        <item x="82"/>
        <item x="336"/>
        <item x="146"/>
        <item x="79"/>
        <item x="51"/>
        <item x="69"/>
        <item x="223"/>
        <item x="281"/>
        <item x="103"/>
        <item x="366"/>
        <item x="423"/>
        <item x="397"/>
        <item x="89"/>
        <item x="10"/>
        <item x="291"/>
        <item x="164"/>
        <item x="67"/>
        <item x="246"/>
        <item x="277"/>
        <item x="98"/>
        <item x="34"/>
        <item x="81"/>
        <item x="234"/>
        <item x="200"/>
        <item x="304"/>
        <item x="49"/>
        <item x="348"/>
        <item x="332"/>
        <item x="114"/>
        <item x="280"/>
        <item x="14"/>
        <item x="419"/>
        <item x="221"/>
        <item x="118"/>
        <item x="78"/>
        <item x="11"/>
        <item x="258"/>
        <item x="402"/>
        <item x="133"/>
        <item x="316"/>
        <item x="192"/>
        <item x="230"/>
        <item x="66"/>
        <item x="119"/>
        <item x="99"/>
        <item x="178"/>
        <item x="68"/>
        <item x="358"/>
        <item x="117"/>
        <item x="15"/>
        <item x="85"/>
        <item x="321"/>
        <item x="303"/>
        <item x="243"/>
        <item x="354"/>
        <item x="13"/>
        <item x="7"/>
        <item x="315"/>
        <item x="331"/>
        <item x="201"/>
        <item x="396"/>
        <item x="301"/>
        <item x="187"/>
        <item x="418"/>
        <item x="384"/>
        <item x="80"/>
        <item x="252"/>
        <item x="267"/>
        <item x="53"/>
        <item x="175"/>
        <item x="8"/>
        <item x="190"/>
        <item x="27"/>
        <item x="312"/>
        <item x="158"/>
        <item x="229"/>
        <item x="138"/>
        <item x="220"/>
        <item x="177"/>
        <item x="356"/>
        <item x="345"/>
        <item x="259"/>
        <item x="50"/>
        <item x="373"/>
        <item x="48"/>
        <item x="416"/>
        <item x="355"/>
        <item x="210"/>
        <item x="30"/>
        <item x="132"/>
        <item x="279"/>
        <item x="94"/>
        <item x="244"/>
        <item x="347"/>
        <item x="52"/>
        <item x="218"/>
        <item x="159"/>
        <item x="191"/>
        <item x="176"/>
        <item x="365"/>
        <item x="83"/>
        <item x="160"/>
        <item x="45"/>
        <item x="130"/>
        <item x="334"/>
        <item x="308"/>
        <item x="344"/>
        <item x="64"/>
        <item x="26"/>
        <item x="353"/>
        <item x="408"/>
        <item x="217"/>
        <item x="76"/>
        <item x="272"/>
        <item x="173"/>
        <item x="143"/>
        <item x="313"/>
        <item x="65"/>
        <item x="276"/>
        <item x="241"/>
        <item x="145"/>
        <item x="417"/>
        <item x="150"/>
        <item x="63"/>
        <item x="311"/>
        <item x="189"/>
        <item x="95"/>
        <item x="290"/>
        <item x="395"/>
        <item x="129"/>
        <item x="300"/>
        <item x="265"/>
        <item x="113"/>
        <item x="144"/>
        <item x="406"/>
        <item x="174"/>
        <item x="346"/>
        <item x="299"/>
        <item x="257"/>
        <item x="41"/>
        <item x="289"/>
        <item x="171"/>
        <item x="157"/>
        <item x="148"/>
        <item x="207"/>
        <item x="238"/>
        <item x="172"/>
        <item x="60"/>
        <item x="215"/>
        <item x="370"/>
        <item x="364"/>
        <item x="333"/>
        <item x="389"/>
        <item x="128"/>
        <item x="125"/>
        <item x="328"/>
        <item x="44"/>
        <item x="61"/>
        <item x="386"/>
        <item x="248"/>
        <item x="322"/>
        <item x="25"/>
        <item x="139"/>
        <item x="59"/>
        <item x="371"/>
        <item x="198"/>
        <item x="273"/>
        <item x="108"/>
        <item x="228"/>
        <item x="5"/>
        <item x="310"/>
        <item x="142"/>
        <item x="404"/>
        <item x="126"/>
        <item x="275"/>
        <item x="211"/>
        <item x="4"/>
        <item x="24"/>
        <item x="274"/>
        <item x="381"/>
        <item x="23"/>
        <item x="239"/>
        <item x="3"/>
        <item x="298"/>
        <item x="156"/>
        <item x="256"/>
        <item x="330"/>
        <item x="42"/>
        <item x="127"/>
        <item x="111"/>
        <item x="329"/>
        <item x="186"/>
        <item x="307"/>
        <item x="264"/>
        <item x="340"/>
        <item x="318"/>
        <item x="242"/>
        <item x="250"/>
        <item x="185"/>
        <item x="110"/>
        <item x="309"/>
        <item x="341"/>
        <item x="287"/>
        <item x="320"/>
        <item x="199"/>
        <item x="263"/>
        <item x="297"/>
        <item x="288"/>
        <item x="43"/>
        <item x="58"/>
        <item x="351"/>
        <item x="385"/>
        <item x="1"/>
        <item x="247"/>
        <item x="93"/>
        <item x="394"/>
        <item x="109"/>
        <item x="255"/>
        <item x="294"/>
        <item x="401"/>
        <item x="342"/>
        <item x="169"/>
        <item x="226"/>
        <item x="393"/>
        <item x="262"/>
        <item x="92"/>
        <item x="374"/>
        <item x="227"/>
        <item x="214"/>
        <item x="249"/>
        <item x="213"/>
        <item x="403"/>
        <item x="57"/>
        <item x="196"/>
        <item x="240"/>
        <item x="392"/>
        <item x="377"/>
        <item x="75"/>
        <item x="197"/>
        <item x="184"/>
        <item x="405"/>
        <item x="327"/>
        <item x="254"/>
        <item x="21"/>
        <item x="22"/>
        <item x="245"/>
        <item x="306"/>
        <item x="206"/>
        <item x="168"/>
        <item x="2"/>
        <item x="107"/>
        <item x="140"/>
        <item x="363"/>
        <item x="183"/>
        <item x="350"/>
        <item x="326"/>
        <item x="155"/>
        <item x="325"/>
        <item x="339"/>
        <item x="270"/>
        <item x="261"/>
        <item x="205"/>
        <item x="236"/>
        <item x="271"/>
        <item x="40"/>
        <item x="124"/>
        <item x="269"/>
        <item x="319"/>
        <item x="225"/>
        <item x="415"/>
        <item x="296"/>
        <item x="413"/>
        <item x="182"/>
        <item x="400"/>
        <item x="421"/>
        <item x="237"/>
        <item x="305"/>
        <item x="91"/>
        <item x="391"/>
        <item x="154"/>
        <item x="369"/>
        <item x="209"/>
        <item x="390"/>
        <item x="286"/>
        <item x="106"/>
        <item x="137"/>
        <item x="153"/>
        <item x="167"/>
        <item x="388"/>
        <item x="73"/>
        <item x="295"/>
        <item x="362"/>
        <item x="39"/>
        <item x="380"/>
        <item x="212"/>
        <item x="412"/>
        <item x="420"/>
        <item x="0"/>
        <item x="376"/>
        <item x="56"/>
        <item x="74"/>
        <item x="338"/>
        <item x="285"/>
        <item x="361"/>
        <item x="123"/>
        <item x="368"/>
        <item x="349"/>
        <item x="387"/>
        <item x="90"/>
        <item x="383"/>
        <item x="20"/>
        <item x="379"/>
        <item x="414"/>
        <item x="195"/>
        <item x="260"/>
        <item x="224"/>
        <item x="372"/>
        <item x="382"/>
        <item x="208"/>
        <item x="253"/>
        <item x="375"/>
        <item x="204"/>
        <item x="367"/>
        <item x="378"/>
      </items>
    </pivotField>
    <pivotField dataField="1" showAll="0" defaultSubtotal="0">
      <items count="104">
        <item x="103"/>
        <item x="53"/>
        <item x="87"/>
        <item x="68"/>
        <item x="82"/>
        <item x="98"/>
        <item x="77"/>
        <item x="54"/>
        <item x="67"/>
        <item x="57"/>
        <item x="44"/>
        <item x="66"/>
        <item x="83"/>
        <item x="84"/>
        <item x="58"/>
        <item x="64"/>
        <item x="51"/>
        <item x="40"/>
        <item x="85"/>
        <item x="65"/>
        <item x="49"/>
        <item x="46"/>
        <item x="62"/>
        <item x="71"/>
        <item x="45"/>
        <item x="30"/>
        <item x="86"/>
        <item x="91"/>
        <item x="59"/>
        <item x="41"/>
        <item x="56"/>
        <item x="90"/>
        <item x="102"/>
        <item x="50"/>
        <item x="80"/>
        <item x="70"/>
        <item x="52"/>
        <item x="34"/>
        <item x="61"/>
        <item x="96"/>
        <item x="81"/>
        <item x="55"/>
        <item x="43"/>
        <item x="95"/>
        <item x="60"/>
        <item x="100"/>
        <item x="48"/>
        <item x="99"/>
        <item x="97"/>
        <item x="75"/>
        <item x="76"/>
        <item x="79"/>
        <item x="94"/>
        <item x="74"/>
        <item x="78"/>
        <item x="15"/>
        <item x="72"/>
        <item x="63"/>
        <item x="47"/>
        <item x="89"/>
        <item x="37"/>
        <item x="93"/>
        <item x="92"/>
        <item x="73"/>
        <item x="24"/>
        <item x="101"/>
        <item x="13"/>
        <item x="39"/>
        <item x="33"/>
        <item x="26"/>
        <item x="38"/>
        <item x="42"/>
        <item x="22"/>
        <item x="25"/>
        <item x="35"/>
        <item x="36"/>
        <item x="27"/>
        <item x="88"/>
        <item x="69"/>
        <item x="29"/>
        <item x="32"/>
        <item x="14"/>
        <item x="20"/>
        <item x="31"/>
        <item x="18"/>
        <item x="28"/>
        <item x="23"/>
        <item x="8"/>
        <item x="19"/>
        <item x="5"/>
        <item x="11"/>
        <item x="7"/>
        <item x="4"/>
        <item x="2"/>
        <item x="12"/>
        <item x="0"/>
        <item x="10"/>
        <item x="17"/>
        <item x="16"/>
        <item x="21"/>
        <item x="9"/>
        <item x="3"/>
        <item x="6"/>
        <item x="1"/>
      </items>
    </pivotField>
    <pivotField dataField="1" showAll="0" defaultSubtotal="0">
      <items count="322">
        <item x="181"/>
        <item x="52"/>
        <item x="95"/>
        <item x="140"/>
        <item x="268"/>
        <item x="179"/>
        <item x="169"/>
        <item x="109"/>
        <item x="15"/>
        <item x="79"/>
        <item x="70"/>
        <item x="309"/>
        <item x="83"/>
        <item x="167"/>
        <item x="30"/>
        <item x="105"/>
        <item x="156"/>
        <item x="138"/>
        <item x="274"/>
        <item x="182"/>
        <item x="257"/>
        <item x="93"/>
        <item x="13"/>
        <item x="263"/>
        <item x="152"/>
        <item x="103"/>
        <item x="53"/>
        <item x="34"/>
        <item x="157"/>
        <item x="90"/>
        <item x="121"/>
        <item x="240"/>
        <item x="183"/>
        <item x="202"/>
        <item x="118"/>
        <item x="144"/>
        <item x="56"/>
        <item x="160"/>
        <item x="126"/>
        <item x="232"/>
        <item x="113"/>
        <item x="43"/>
        <item x="212"/>
        <item x="287"/>
        <item x="14"/>
        <item x="273"/>
        <item x="69"/>
        <item x="80"/>
        <item x="18"/>
        <item x="302"/>
        <item x="59"/>
        <item x="264"/>
        <item x="283"/>
        <item x="131"/>
        <item x="194"/>
        <item x="311"/>
        <item x="8"/>
        <item x="67"/>
        <item x="163"/>
        <item x="177"/>
        <item x="149"/>
        <item x="57"/>
        <item x="19"/>
        <item x="143"/>
        <item x="230"/>
        <item x="5"/>
        <item x="68"/>
        <item x="245"/>
        <item x="97"/>
        <item x="75"/>
        <item x="50"/>
        <item x="234"/>
        <item x="267"/>
        <item x="158"/>
        <item x="24"/>
        <item x="135"/>
        <item x="170"/>
        <item x="39"/>
        <item x="92"/>
        <item x="11"/>
        <item x="247"/>
        <item x="282"/>
        <item x="142"/>
        <item x="127"/>
        <item x="208"/>
        <item x="111"/>
        <item x="265"/>
        <item x="151"/>
        <item x="87"/>
        <item x="180"/>
        <item x="136"/>
        <item x="226"/>
        <item x="166"/>
        <item x="99"/>
        <item x="48"/>
        <item x="218"/>
        <item x="251"/>
        <item x="65"/>
        <item x="7"/>
        <item x="45"/>
        <item x="38"/>
        <item x="72"/>
        <item x="161"/>
        <item x="100"/>
        <item x="33"/>
        <item x="316"/>
        <item x="4"/>
        <item x="277"/>
        <item x="26"/>
        <item x="2"/>
        <item x="37"/>
        <item x="98"/>
        <item x="289"/>
        <item x="60"/>
        <item x="128"/>
        <item x="22"/>
        <item x="125"/>
        <item x="303"/>
        <item x="77"/>
        <item x="44"/>
        <item x="116"/>
        <item x="82"/>
        <item x="227"/>
        <item x="172"/>
        <item x="102"/>
        <item x="266"/>
        <item x="250"/>
        <item x="148"/>
        <item x="25"/>
        <item x="35"/>
        <item x="133"/>
        <item x="36"/>
        <item x="159"/>
        <item x="12"/>
        <item x="27"/>
        <item x="112"/>
        <item x="117"/>
        <item x="0"/>
        <item x="206"/>
        <item x="173"/>
        <item x="29"/>
        <item x="248"/>
        <item x="155"/>
        <item x="252"/>
        <item x="285"/>
        <item x="66"/>
        <item x="85"/>
        <item x="10"/>
        <item x="165"/>
        <item x="40"/>
        <item x="223"/>
        <item x="139"/>
        <item x="107"/>
        <item x="63"/>
        <item x="55"/>
        <item x="215"/>
        <item x="178"/>
        <item x="32"/>
        <item x="168"/>
        <item x="124"/>
        <item x="141"/>
        <item x="17"/>
        <item x="146"/>
        <item x="233"/>
        <item x="84"/>
        <item x="249"/>
        <item x="49"/>
        <item x="288"/>
        <item x="279"/>
        <item x="187"/>
        <item x="123"/>
        <item x="16"/>
        <item x="201"/>
        <item x="134"/>
        <item x="110"/>
        <item x="20"/>
        <item x="171"/>
        <item x="270"/>
        <item x="31"/>
        <item x="78"/>
        <item x="281"/>
        <item x="51"/>
        <item x="81"/>
        <item x="96"/>
        <item x="106"/>
        <item x="147"/>
        <item x="137"/>
        <item x="76"/>
        <item x="242"/>
        <item x="58"/>
        <item x="195"/>
        <item x="9"/>
        <item x="312"/>
        <item x="258"/>
        <item x="210"/>
        <item x="73"/>
        <item x="91"/>
        <item x="236"/>
        <item x="294"/>
        <item x="54"/>
        <item x="28"/>
        <item x="219"/>
        <item x="42"/>
        <item x="23"/>
        <item x="199"/>
        <item x="108"/>
        <item x="306"/>
        <item x="315"/>
        <item x="253"/>
        <item x="122"/>
        <item x="150"/>
        <item x="3"/>
        <item x="310"/>
        <item x="94"/>
        <item x="235"/>
        <item x="164"/>
        <item x="225"/>
        <item x="261"/>
        <item x="259"/>
        <item x="246"/>
        <item x="145"/>
        <item x="47"/>
        <item x="192"/>
        <item x="62"/>
        <item x="271"/>
        <item x="115"/>
        <item x="319"/>
        <item x="209"/>
        <item x="74"/>
        <item x="321"/>
        <item x="278"/>
        <item x="239"/>
        <item x="154"/>
        <item x="286"/>
        <item x="186"/>
        <item x="120"/>
        <item x="198"/>
        <item x="214"/>
        <item x="119"/>
        <item x="175"/>
        <item x="61"/>
        <item x="269"/>
        <item x="222"/>
        <item x="244"/>
        <item x="205"/>
        <item x="46"/>
        <item x="291"/>
        <item x="86"/>
        <item x="153"/>
        <item x="190"/>
        <item x="6"/>
        <item x="272"/>
        <item x="130"/>
        <item x="88"/>
        <item x="231"/>
        <item x="213"/>
        <item x="304"/>
        <item x="275"/>
        <item x="203"/>
        <item x="132"/>
        <item x="308"/>
        <item x="318"/>
        <item x="89"/>
        <item x="228"/>
        <item x="211"/>
        <item x="243"/>
        <item x="295"/>
        <item x="320"/>
        <item x="276"/>
        <item x="220"/>
        <item x="229"/>
        <item x="64"/>
        <item x="237"/>
        <item x="184"/>
        <item x="284"/>
        <item x="101"/>
        <item x="217"/>
        <item x="313"/>
        <item x="71"/>
        <item x="262"/>
        <item x="1"/>
        <item x="200"/>
        <item x="254"/>
        <item x="317"/>
        <item x="189"/>
        <item x="176"/>
        <item x="301"/>
        <item x="238"/>
        <item x="104"/>
        <item x="305"/>
        <item x="174"/>
        <item x="204"/>
        <item x="129"/>
        <item x="114"/>
        <item x="197"/>
        <item x="224"/>
        <item x="256"/>
        <item x="21"/>
        <item x="185"/>
        <item x="41"/>
        <item x="216"/>
        <item x="255"/>
        <item x="207"/>
        <item x="290"/>
        <item x="280"/>
        <item x="260"/>
        <item x="299"/>
        <item x="162"/>
        <item x="241"/>
        <item x="196"/>
        <item x="307"/>
        <item x="298"/>
        <item x="293"/>
        <item x="193"/>
        <item x="191"/>
        <item x="314"/>
        <item x="221"/>
        <item x="297"/>
        <item x="188"/>
        <item x="300"/>
        <item x="292"/>
        <item x="296"/>
      </items>
    </pivotField>
    <pivotField dataField="1" showAll="0" defaultSubtotal="0">
      <items count="13">
        <item x="2"/>
        <item x="6"/>
        <item x="3"/>
        <item x="7"/>
        <item x="0"/>
        <item x="1"/>
        <item x="11"/>
        <item x="9"/>
        <item x="12"/>
        <item x="10"/>
        <item x="4"/>
        <item x="8"/>
        <item x="5"/>
      </items>
    </pivotField>
  </pivotFields>
  <rowFields count="3">
    <field x="2"/>
    <field x="6"/>
    <field x="5"/>
  </rowFields>
  <rowItems count="974">
    <i>
      <x/>
    </i>
    <i r="1">
      <x/>
      <x v="42"/>
    </i>
    <i r="1">
      <x v="1"/>
      <x v="35"/>
    </i>
    <i r="1">
      <x v="2"/>
      <x v="44"/>
    </i>
    <i r="1">
      <x v="3"/>
      <x v="31"/>
    </i>
    <i r="1">
      <x v="4"/>
      <x v="29"/>
    </i>
    <i r="1">
      <x v="5"/>
      <x v="47"/>
    </i>
    <i r="1">
      <x v="6"/>
      <x/>
    </i>
    <i r="1">
      <x v="7"/>
      <x v="28"/>
    </i>
    <i r="1">
      <x v="8"/>
      <x v="30"/>
    </i>
    <i r="1">
      <x v="9"/>
      <x v="2"/>
    </i>
    <i r="1">
      <x v="10"/>
      <x v="1"/>
    </i>
    <i r="1">
      <x v="11"/>
      <x v="38"/>
    </i>
    <i r="1">
      <x v="12"/>
      <x v="40"/>
    </i>
    <i r="1">
      <x v="13"/>
      <x v="48"/>
    </i>
    <i r="1">
      <x v="14"/>
      <x v="41"/>
    </i>
    <i r="1">
      <x v="15"/>
      <x v="51"/>
    </i>
    <i r="1">
      <x v="16"/>
      <x v="49"/>
    </i>
    <i r="1">
      <x v="17"/>
      <x v="34"/>
    </i>
    <i r="1">
      <x v="18"/>
      <x v="46"/>
    </i>
    <i r="1">
      <x v="19"/>
      <x v="45"/>
    </i>
    <i t="blank">
      <x/>
    </i>
    <i>
      <x v="1"/>
    </i>
    <i r="1">
      <x/>
      <x v="42"/>
    </i>
    <i r="1">
      <x v="1"/>
      <x v="35"/>
    </i>
    <i r="1">
      <x v="2"/>
      <x v="44"/>
    </i>
    <i r="1">
      <x v="3"/>
      <x v="31"/>
    </i>
    <i r="1">
      <x v="4"/>
      <x v="47"/>
    </i>
    <i r="1">
      <x v="5"/>
      <x v="29"/>
    </i>
    <i r="1">
      <x v="6"/>
      <x v="28"/>
    </i>
    <i r="1">
      <x v="7"/>
      <x v="38"/>
    </i>
    <i r="1">
      <x v="8"/>
      <x/>
    </i>
    <i r="1">
      <x v="9"/>
      <x v="40"/>
    </i>
    <i r="1">
      <x v="10"/>
      <x v="48"/>
    </i>
    <i r="1">
      <x v="11"/>
      <x v="34"/>
    </i>
    <i r="1">
      <x v="12"/>
      <x v="2"/>
    </i>
    <i r="1">
      <x v="13"/>
      <x v="1"/>
    </i>
    <i r="1">
      <x v="14"/>
      <x v="30"/>
    </i>
    <i r="1">
      <x v="15"/>
      <x v="49"/>
    </i>
    <i r="1">
      <x v="16"/>
      <x v="26"/>
    </i>
    <i r="1">
      <x v="17"/>
      <x v="45"/>
    </i>
    <i r="1">
      <x v="18"/>
      <x v="53"/>
    </i>
    <i r="1">
      <x v="19"/>
      <x v="27"/>
    </i>
    <i t="blank">
      <x v="1"/>
    </i>
    <i>
      <x v="2"/>
    </i>
    <i r="1">
      <x/>
      <x v="42"/>
    </i>
    <i r="1">
      <x v="1"/>
      <x v="44"/>
    </i>
    <i r="1">
      <x v="2"/>
      <x v="35"/>
    </i>
    <i r="1">
      <x v="3"/>
      <x v="31"/>
    </i>
    <i r="1">
      <x v="4"/>
      <x v="47"/>
    </i>
    <i r="1">
      <x v="5"/>
      <x v="30"/>
    </i>
    <i r="1">
      <x v="6"/>
      <x v="29"/>
    </i>
    <i r="1">
      <x v="7"/>
      <x/>
    </i>
    <i r="1">
      <x v="8"/>
      <x v="2"/>
    </i>
    <i r="1">
      <x v="9"/>
      <x v="28"/>
    </i>
    <i r="1">
      <x v="10"/>
      <x v="1"/>
    </i>
    <i r="2">
      <x v="38"/>
    </i>
    <i r="1">
      <x v="12"/>
      <x v="40"/>
    </i>
    <i r="1">
      <x v="13"/>
      <x v="51"/>
    </i>
    <i r="1">
      <x v="14"/>
      <x v="48"/>
    </i>
    <i r="1">
      <x v="15"/>
      <x v="49"/>
    </i>
    <i r="1">
      <x v="16"/>
      <x v="34"/>
    </i>
    <i r="1">
      <x v="17"/>
      <x v="46"/>
    </i>
    <i r="1">
      <x v="18"/>
      <x v="27"/>
    </i>
    <i r="2">
      <x v="45"/>
    </i>
    <i t="blank">
      <x v="2"/>
    </i>
    <i>
      <x v="3"/>
    </i>
    <i r="1">
      <x/>
      <x v="42"/>
    </i>
    <i r="1">
      <x v="1"/>
      <x v="44"/>
    </i>
    <i r="1">
      <x v="2"/>
      <x v="29"/>
    </i>
    <i r="1">
      <x v="3"/>
      <x v="31"/>
    </i>
    <i r="1">
      <x v="4"/>
      <x v="35"/>
    </i>
    <i r="1">
      <x v="5"/>
      <x v="41"/>
    </i>
    <i r="1">
      <x v="6"/>
      <x/>
    </i>
    <i r="2">
      <x v="46"/>
    </i>
    <i r="1">
      <x v="8"/>
      <x v="28"/>
    </i>
    <i r="1">
      <x v="9"/>
      <x v="47"/>
    </i>
    <i r="1">
      <x v="10"/>
      <x v="3"/>
    </i>
    <i r="1">
      <x v="11"/>
      <x v="40"/>
    </i>
    <i r="1">
      <x v="12"/>
      <x v="30"/>
    </i>
    <i r="1">
      <x v="13"/>
      <x v="1"/>
    </i>
    <i r="2">
      <x v="48"/>
    </i>
    <i r="1">
      <x v="15"/>
      <x v="2"/>
    </i>
    <i r="1">
      <x v="16"/>
      <x v="51"/>
    </i>
    <i r="1">
      <x v="17"/>
      <x v="45"/>
    </i>
    <i r="1">
      <x v="18"/>
      <x v="49"/>
    </i>
    <i r="1">
      <x v="19"/>
      <x v="38"/>
    </i>
    <i t="blank">
      <x v="3"/>
    </i>
    <i>
      <x v="4"/>
    </i>
    <i r="1">
      <x/>
      <x v="35"/>
    </i>
    <i r="1">
      <x v="1"/>
      <x v="42"/>
    </i>
    <i r="1">
      <x v="2"/>
      <x v="44"/>
    </i>
    <i r="1">
      <x v="3"/>
      <x v="47"/>
    </i>
    <i r="1">
      <x v="4"/>
      <x v="31"/>
    </i>
    <i r="1">
      <x v="5"/>
      <x/>
    </i>
    <i r="1">
      <x v="6"/>
      <x v="29"/>
    </i>
    <i r="1">
      <x v="7"/>
      <x v="1"/>
    </i>
    <i r="1">
      <x v="8"/>
      <x v="2"/>
    </i>
    <i r="1">
      <x v="9"/>
      <x v="38"/>
    </i>
    <i r="2">
      <x v="40"/>
    </i>
    <i r="1">
      <x v="11"/>
      <x v="28"/>
    </i>
    <i r="1">
      <x v="12"/>
      <x v="48"/>
    </i>
    <i r="1">
      <x v="13"/>
      <x v="49"/>
    </i>
    <i r="1">
      <x v="14"/>
      <x v="30"/>
    </i>
    <i r="1">
      <x v="15"/>
      <x v="34"/>
    </i>
    <i r="1">
      <x v="16"/>
      <x v="26"/>
    </i>
    <i r="1">
      <x v="17"/>
      <x v="27"/>
    </i>
    <i r="1">
      <x v="18"/>
      <x v="45"/>
    </i>
    <i r="1">
      <x v="19"/>
      <x v="24"/>
    </i>
    <i r="2">
      <x v="51"/>
    </i>
    <i t="blank">
      <x v="4"/>
    </i>
    <i>
      <x v="5"/>
    </i>
    <i r="1">
      <x/>
      <x v="42"/>
    </i>
    <i r="1">
      <x v="1"/>
      <x v="44"/>
    </i>
    <i r="1">
      <x v="2"/>
      <x v="31"/>
    </i>
    <i r="1">
      <x v="3"/>
      <x v="29"/>
    </i>
    <i r="1">
      <x v="4"/>
      <x v="35"/>
    </i>
    <i r="1">
      <x v="5"/>
      <x v="47"/>
    </i>
    <i r="1">
      <x v="6"/>
      <x/>
    </i>
    <i r="1">
      <x v="7"/>
      <x v="30"/>
    </i>
    <i r="1">
      <x v="8"/>
      <x v="40"/>
    </i>
    <i r="1">
      <x v="9"/>
      <x v="28"/>
    </i>
    <i r="1">
      <x v="10"/>
      <x v="48"/>
    </i>
    <i r="2">
      <x v="49"/>
    </i>
    <i r="1">
      <x v="12"/>
      <x v="1"/>
    </i>
    <i r="1">
      <x v="13"/>
      <x v="51"/>
    </i>
    <i r="1">
      <x v="14"/>
      <x v="2"/>
    </i>
    <i r="2">
      <x v="34"/>
    </i>
    <i r="1">
      <x v="16"/>
      <x v="38"/>
    </i>
    <i r="1">
      <x v="17"/>
      <x v="24"/>
    </i>
    <i r="1">
      <x v="18"/>
      <x v="41"/>
    </i>
    <i r="1">
      <x v="19"/>
      <x v="26"/>
    </i>
    <i r="2">
      <x v="45"/>
    </i>
    <i t="blank">
      <x v="5"/>
    </i>
    <i>
      <x v="6"/>
    </i>
    <i r="1">
      <x/>
      <x v="42"/>
    </i>
    <i r="1">
      <x v="1"/>
      <x v="44"/>
    </i>
    <i r="1">
      <x v="2"/>
      <x v="35"/>
    </i>
    <i r="1">
      <x v="3"/>
      <x v="29"/>
    </i>
    <i r="1">
      <x v="4"/>
      <x v="31"/>
    </i>
    <i r="1">
      <x v="5"/>
      <x v="47"/>
    </i>
    <i r="1">
      <x v="6"/>
      <x/>
    </i>
    <i r="1">
      <x v="7"/>
      <x v="51"/>
    </i>
    <i r="1">
      <x v="8"/>
      <x v="1"/>
    </i>
    <i r="1">
      <x v="9"/>
      <x v="2"/>
    </i>
    <i r="1">
      <x v="10"/>
      <x v="49"/>
    </i>
    <i r="1">
      <x v="11"/>
      <x v="40"/>
    </i>
    <i r="1">
      <x v="12"/>
      <x v="30"/>
    </i>
    <i r="1">
      <x v="13"/>
      <x v="28"/>
    </i>
    <i r="1">
      <x v="14"/>
      <x v="38"/>
    </i>
    <i r="2">
      <x v="48"/>
    </i>
    <i r="1">
      <x v="16"/>
      <x v="3"/>
    </i>
    <i r="2">
      <x v="25"/>
    </i>
    <i r="2">
      <x v="45"/>
    </i>
    <i r="1">
      <x v="19"/>
      <x v="34"/>
    </i>
    <i r="2">
      <x v="43"/>
    </i>
    <i t="blank">
      <x v="6"/>
    </i>
    <i>
      <x v="7"/>
    </i>
    <i r="1">
      <x/>
      <x v="42"/>
    </i>
    <i r="1">
      <x v="1"/>
      <x v="44"/>
    </i>
    <i r="1">
      <x v="2"/>
      <x v="35"/>
    </i>
    <i r="1">
      <x v="3"/>
      <x v="31"/>
    </i>
    <i r="1">
      <x v="4"/>
      <x v="47"/>
    </i>
    <i r="1">
      <x v="5"/>
      <x v="29"/>
    </i>
    <i r="1">
      <x v="6"/>
      <x v="30"/>
    </i>
    <i r="1">
      <x v="7"/>
      <x v="28"/>
    </i>
    <i r="1">
      <x v="8"/>
      <x/>
    </i>
    <i r="1">
      <x v="9"/>
      <x v="34"/>
    </i>
    <i r="2">
      <x v="51"/>
    </i>
    <i r="1">
      <x v="11"/>
      <x v="48"/>
    </i>
    <i r="1">
      <x v="12"/>
      <x v="2"/>
    </i>
    <i r="1">
      <x v="13"/>
      <x v="1"/>
    </i>
    <i r="1">
      <x v="14"/>
      <x v="38"/>
    </i>
    <i r="1">
      <x v="15"/>
      <x v="49"/>
    </i>
    <i r="1">
      <x v="16"/>
      <x v="40"/>
    </i>
    <i r="1">
      <x v="17"/>
      <x v="45"/>
    </i>
    <i r="1">
      <x v="18"/>
      <x v="53"/>
    </i>
    <i r="1">
      <x v="19"/>
      <x v="41"/>
    </i>
    <i t="blank">
      <x v="7"/>
    </i>
    <i>
      <x v="8"/>
    </i>
    <i r="1">
      <x/>
      <x v="44"/>
    </i>
    <i r="1">
      <x v="1"/>
      <x v="35"/>
    </i>
    <i r="1">
      <x v="2"/>
      <x v="31"/>
    </i>
    <i r="2">
      <x v="47"/>
    </i>
    <i r="1">
      <x v="4"/>
      <x/>
    </i>
    <i r="2">
      <x v="42"/>
    </i>
    <i r="1">
      <x v="6"/>
      <x v="1"/>
    </i>
    <i r="1">
      <x v="7"/>
      <x v="29"/>
    </i>
    <i r="1">
      <x v="8"/>
      <x v="30"/>
    </i>
    <i r="1">
      <x v="9"/>
      <x v="38"/>
    </i>
    <i r="1">
      <x v="10"/>
      <x v="2"/>
    </i>
    <i r="1">
      <x v="11"/>
      <x v="28"/>
    </i>
    <i r="1">
      <x v="12"/>
      <x v="51"/>
    </i>
    <i r="1">
      <x v="13"/>
      <x v="49"/>
    </i>
    <i r="1">
      <x v="14"/>
      <x v="48"/>
    </i>
    <i r="1">
      <x v="15"/>
      <x v="34"/>
    </i>
    <i r="1">
      <x v="16"/>
      <x v="40"/>
    </i>
    <i r="1">
      <x v="17"/>
      <x v="26"/>
    </i>
    <i r="1">
      <x v="18"/>
      <x v="25"/>
    </i>
    <i r="1">
      <x v="19"/>
      <x v="45"/>
    </i>
    <i t="blank">
      <x v="8"/>
    </i>
    <i>
      <x v="9"/>
    </i>
    <i r="1">
      <x/>
      <x v="42"/>
    </i>
    <i r="1">
      <x v="1"/>
      <x v="35"/>
    </i>
    <i r="1">
      <x v="2"/>
      <x v="44"/>
    </i>
    <i r="1">
      <x v="3"/>
      <x v="31"/>
    </i>
    <i r="1">
      <x v="4"/>
      <x v="29"/>
    </i>
    <i r="1">
      <x v="5"/>
      <x v="47"/>
    </i>
    <i r="1">
      <x v="6"/>
      <x v="1"/>
    </i>
    <i r="1">
      <x v="7"/>
      <x v="30"/>
    </i>
    <i r="1">
      <x v="8"/>
      <x v="51"/>
    </i>
    <i r="1">
      <x v="9"/>
      <x/>
    </i>
    <i r="1">
      <x v="10"/>
      <x v="2"/>
    </i>
    <i r="1">
      <x v="11"/>
      <x v="28"/>
    </i>
    <i r="1">
      <x v="12"/>
      <x v="40"/>
    </i>
    <i r="1">
      <x v="13"/>
      <x v="48"/>
    </i>
    <i r="1">
      <x v="14"/>
      <x v="49"/>
    </i>
    <i r="1">
      <x v="15"/>
      <x v="38"/>
    </i>
    <i r="1">
      <x v="16"/>
      <x v="3"/>
    </i>
    <i r="2">
      <x v="34"/>
    </i>
    <i r="1">
      <x v="18"/>
      <x v="45"/>
    </i>
    <i r="1">
      <x v="19"/>
      <x v="12"/>
    </i>
    <i t="blank">
      <x v="9"/>
    </i>
    <i>
      <x v="10"/>
    </i>
    <i r="1">
      <x/>
      <x v="42"/>
    </i>
    <i r="1">
      <x v="1"/>
      <x v="44"/>
    </i>
    <i r="1">
      <x v="2"/>
      <x v="29"/>
    </i>
    <i r="1">
      <x v="3"/>
      <x/>
    </i>
    <i r="1">
      <x v="4"/>
      <x v="31"/>
    </i>
    <i r="1">
      <x v="5"/>
      <x v="47"/>
    </i>
    <i r="1">
      <x v="6"/>
      <x v="35"/>
    </i>
    <i r="1">
      <x v="7"/>
      <x v="41"/>
    </i>
    <i r="1">
      <x v="8"/>
      <x v="46"/>
    </i>
    <i r="1">
      <x v="9"/>
      <x v="28"/>
    </i>
    <i r="1">
      <x v="10"/>
      <x v="3"/>
    </i>
    <i r="1">
      <x v="11"/>
      <x v="51"/>
    </i>
    <i r="1">
      <x v="12"/>
      <x v="30"/>
    </i>
    <i r="2">
      <x v="40"/>
    </i>
    <i r="1">
      <x v="14"/>
      <x v="2"/>
    </i>
    <i r="1">
      <x v="15"/>
      <x v="1"/>
    </i>
    <i r="1">
      <x v="16"/>
      <x v="19"/>
    </i>
    <i r="1">
      <x v="17"/>
      <x v="48"/>
    </i>
    <i r="1">
      <x v="18"/>
      <x v="38"/>
    </i>
    <i r="1">
      <x v="19"/>
      <x v="36"/>
    </i>
    <i r="2">
      <x v="49"/>
    </i>
    <i t="blank">
      <x v="10"/>
    </i>
    <i>
      <x v="11"/>
    </i>
    <i r="1">
      <x/>
      <x v="42"/>
    </i>
    <i r="1">
      <x v="1"/>
      <x v="31"/>
    </i>
    <i r="1">
      <x v="2"/>
      <x v="44"/>
    </i>
    <i r="1">
      <x v="3"/>
      <x v="47"/>
    </i>
    <i r="1">
      <x v="4"/>
      <x v="29"/>
    </i>
    <i r="1">
      <x v="5"/>
      <x/>
    </i>
    <i r="1">
      <x v="6"/>
      <x v="2"/>
    </i>
    <i r="1">
      <x v="7"/>
      <x v="49"/>
    </i>
    <i r="2">
      <x v="51"/>
    </i>
    <i r="1">
      <x v="9"/>
      <x v="1"/>
    </i>
    <i r="1">
      <x v="10"/>
      <x v="18"/>
    </i>
    <i r="1">
      <x v="11"/>
      <x v="30"/>
    </i>
    <i r="2">
      <x v="35"/>
    </i>
    <i r="1">
      <x v="13"/>
      <x v="48"/>
    </i>
    <i r="1">
      <x v="14"/>
      <x v="40"/>
    </i>
    <i r="1">
      <x v="15"/>
      <x v="11"/>
    </i>
    <i r="2">
      <x v="19"/>
    </i>
    <i r="2">
      <x v="41"/>
    </i>
    <i r="1">
      <x v="18"/>
      <x v="12"/>
    </i>
    <i r="2">
      <x v="38"/>
    </i>
    <i t="blank">
      <x v="11"/>
    </i>
    <i>
      <x v="12"/>
    </i>
    <i r="1">
      <x/>
      <x v="42"/>
    </i>
    <i r="1">
      <x v="1"/>
      <x v="29"/>
    </i>
    <i r="1">
      <x v="2"/>
      <x v="31"/>
    </i>
    <i r="1">
      <x v="3"/>
      <x v="41"/>
    </i>
    <i r="1">
      <x v="4"/>
      <x v="44"/>
    </i>
    <i r="1">
      <x v="5"/>
      <x v="35"/>
    </i>
    <i r="1">
      <x v="6"/>
      <x v="3"/>
    </i>
    <i r="2">
      <x v="47"/>
    </i>
    <i r="2">
      <x v="51"/>
    </i>
    <i r="1">
      <x v="9"/>
      <x v="24"/>
    </i>
    <i r="2">
      <x v="45"/>
    </i>
    <i r="1">
      <x v="11"/>
      <x v="2"/>
    </i>
    <i r="2">
      <x v="46"/>
    </i>
    <i r="1">
      <x v="13"/>
      <x/>
    </i>
    <i r="2">
      <x v="1"/>
    </i>
    <i r="2">
      <x v="4"/>
    </i>
    <i r="2">
      <x v="19"/>
    </i>
    <i r="2">
      <x v="25"/>
    </i>
    <i r="2">
      <x v="30"/>
    </i>
    <i r="2">
      <x v="38"/>
    </i>
    <i r="2">
      <x v="48"/>
    </i>
    <i t="blank">
      <x v="12"/>
    </i>
    <i>
      <x v="13"/>
    </i>
    <i r="1">
      <x/>
      <x v="31"/>
    </i>
    <i r="1">
      <x v="1"/>
      <x v="29"/>
    </i>
    <i r="1">
      <x v="2"/>
      <x v="11"/>
    </i>
    <i r="1">
      <x v="3"/>
      <x/>
    </i>
    <i r="1">
      <x v="4"/>
      <x v="44"/>
    </i>
    <i r="2">
      <x v="47"/>
    </i>
    <i r="1">
      <x v="6"/>
      <x v="42"/>
    </i>
    <i r="2">
      <x v="54"/>
    </i>
    <i r="1">
      <x v="8"/>
      <x v="4"/>
    </i>
    <i r="2">
      <x v="19"/>
    </i>
    <i r="2">
      <x v="49"/>
    </i>
    <i r="1">
      <x v="11"/>
      <x v="16"/>
    </i>
    <i r="2">
      <x v="24"/>
    </i>
    <i r="2">
      <x v="38"/>
    </i>
    <i r="2">
      <x v="40"/>
    </i>
    <i r="2">
      <x v="41"/>
    </i>
    <i r="1">
      <x v="16"/>
      <x v="2"/>
    </i>
    <i r="2">
      <x v="3"/>
    </i>
    <i r="2">
      <x v="5"/>
    </i>
    <i r="2">
      <x v="6"/>
    </i>
    <i r="2">
      <x v="9"/>
    </i>
    <i r="2">
      <x v="18"/>
    </i>
    <i r="2">
      <x v="30"/>
    </i>
    <i r="2">
      <x v="43"/>
    </i>
    <i r="2">
      <x v="45"/>
    </i>
    <i r="2">
      <x v="46"/>
    </i>
    <i t="blank">
      <x v="13"/>
    </i>
    <i>
      <x v="14"/>
    </i>
    <i r="1">
      <x/>
      <x v="31"/>
    </i>
    <i r="1">
      <x v="1"/>
      <x v="29"/>
    </i>
    <i r="1">
      <x v="2"/>
      <x v="42"/>
    </i>
    <i r="1">
      <x v="3"/>
      <x v="41"/>
    </i>
    <i r="1">
      <x v="4"/>
      <x/>
    </i>
    <i r="1">
      <x v="5"/>
      <x v="3"/>
    </i>
    <i r="2">
      <x v="6"/>
    </i>
    <i r="2">
      <x v="46"/>
    </i>
    <i r="1">
      <x v="8"/>
      <x v="1"/>
    </i>
    <i r="2">
      <x v="5"/>
    </i>
    <i r="2">
      <x v="9"/>
    </i>
    <i r="2">
      <x v="19"/>
    </i>
    <i r="2">
      <x v="27"/>
    </i>
    <i r="2">
      <x v="30"/>
    </i>
    <i r="2">
      <x v="38"/>
    </i>
    <i r="2">
      <x v="45"/>
    </i>
    <i r="2">
      <x v="47"/>
    </i>
    <i r="2">
      <x v="48"/>
    </i>
    <i r="2">
      <x v="51"/>
    </i>
    <i t="blank">
      <x v="14"/>
    </i>
    <i>
      <x v="15"/>
    </i>
    <i r="1">
      <x/>
      <x v="42"/>
    </i>
    <i r="1">
      <x v="1"/>
      <x v="41"/>
    </i>
    <i r="1">
      <x v="2"/>
      <x v="31"/>
    </i>
    <i r="1">
      <x v="3"/>
      <x v="29"/>
    </i>
    <i r="2">
      <x v="44"/>
    </i>
    <i r="1">
      <x v="5"/>
      <x v="35"/>
    </i>
    <i r="1">
      <x v="6"/>
      <x/>
    </i>
    <i r="1">
      <x v="7"/>
      <x v="1"/>
    </i>
    <i r="2">
      <x v="47"/>
    </i>
    <i r="1">
      <x v="9"/>
      <x v="3"/>
    </i>
    <i r="2">
      <x v="51"/>
    </i>
    <i r="1">
      <x v="11"/>
      <x v="46"/>
    </i>
    <i r="1">
      <x v="12"/>
      <x v="2"/>
    </i>
    <i r="2">
      <x v="30"/>
    </i>
    <i r="2">
      <x v="49"/>
    </i>
    <i r="2">
      <x v="54"/>
    </i>
    <i r="1">
      <x v="16"/>
      <x v="43"/>
    </i>
    <i r="1">
      <x v="17"/>
      <x v="36"/>
    </i>
    <i r="1">
      <x v="18"/>
      <x v="4"/>
    </i>
    <i r="2">
      <x v="5"/>
    </i>
    <i r="2">
      <x v="11"/>
    </i>
    <i r="2">
      <x v="12"/>
    </i>
    <i r="2">
      <x v="22"/>
    </i>
    <i r="2">
      <x v="25"/>
    </i>
    <i r="2">
      <x v="38"/>
    </i>
    <i r="2">
      <x v="40"/>
    </i>
    <i r="2">
      <x v="50"/>
    </i>
    <i t="blank">
      <x v="15"/>
    </i>
    <i>
      <x v="16"/>
    </i>
    <i r="1">
      <x/>
      <x v="42"/>
    </i>
    <i r="1">
      <x v="1"/>
      <x v="29"/>
    </i>
    <i r="1">
      <x v="2"/>
      <x v="31"/>
    </i>
    <i r="1">
      <x v="3"/>
      <x v="44"/>
    </i>
    <i r="1">
      <x v="4"/>
      <x v="41"/>
    </i>
    <i r="1">
      <x v="5"/>
      <x v="3"/>
    </i>
    <i r="1">
      <x v="6"/>
      <x v="35"/>
    </i>
    <i r="2">
      <x v="47"/>
    </i>
    <i r="1">
      <x v="8"/>
      <x/>
    </i>
    <i r="1">
      <x v="9"/>
      <x v="46"/>
    </i>
    <i r="1">
      <x v="10"/>
      <x v="2"/>
    </i>
    <i r="2">
      <x v="28"/>
    </i>
    <i r="1">
      <x v="12"/>
      <x v="24"/>
    </i>
    <i r="2">
      <x v="40"/>
    </i>
    <i r="1">
      <x v="14"/>
      <x v="1"/>
    </i>
    <i r="2">
      <x v="38"/>
    </i>
    <i r="2">
      <x v="48"/>
    </i>
    <i r="1">
      <x v="17"/>
      <x v="11"/>
    </i>
    <i r="2">
      <x v="12"/>
    </i>
    <i r="2">
      <x v="27"/>
    </i>
    <i r="2">
      <x v="30"/>
    </i>
    <i r="2">
      <x v="43"/>
    </i>
    <i t="blank">
      <x v="16"/>
    </i>
    <i>
      <x v="17"/>
    </i>
    <i r="1">
      <x/>
      <x v="31"/>
    </i>
    <i r="1">
      <x v="1"/>
      <x v="29"/>
    </i>
    <i r="1">
      <x v="2"/>
      <x v="46"/>
    </i>
    <i r="1">
      <x v="3"/>
      <x v="35"/>
    </i>
    <i r="2">
      <x v="42"/>
    </i>
    <i r="1">
      <x v="5"/>
      <x/>
    </i>
    <i r="1">
      <x v="6"/>
      <x v="41"/>
    </i>
    <i r="1">
      <x v="7"/>
      <x v="44"/>
    </i>
    <i r="2">
      <x v="47"/>
    </i>
    <i r="1">
      <x v="9"/>
      <x v="2"/>
    </i>
    <i r="2">
      <x v="45"/>
    </i>
    <i r="1">
      <x v="11"/>
      <x v="3"/>
    </i>
    <i r="1">
      <x v="12"/>
      <x v="11"/>
    </i>
    <i r="2">
      <x v="34"/>
    </i>
    <i r="2">
      <x v="51"/>
    </i>
    <i r="1">
      <x v="15"/>
      <x v="50"/>
    </i>
    <i r="1">
      <x v="16"/>
      <x v="1"/>
    </i>
    <i r="2">
      <x v="12"/>
    </i>
    <i r="2">
      <x v="14"/>
    </i>
    <i r="2">
      <x v="24"/>
    </i>
    <i r="2">
      <x v="28"/>
    </i>
    <i r="2">
      <x v="40"/>
    </i>
    <i r="2">
      <x v="48"/>
    </i>
    <i r="2">
      <x v="49"/>
    </i>
    <i r="2">
      <x v="53"/>
    </i>
    <i t="blank">
      <x v="17"/>
    </i>
    <i>
      <x v="18"/>
    </i>
    <i r="1">
      <x/>
      <x v="42"/>
    </i>
    <i r="1">
      <x v="1"/>
      <x/>
    </i>
    <i r="2">
      <x v="35"/>
    </i>
    <i r="1">
      <x v="3"/>
      <x v="2"/>
    </i>
    <i r="2">
      <x v="29"/>
    </i>
    <i r="2">
      <x v="44"/>
    </i>
    <i r="2">
      <x v="46"/>
    </i>
    <i r="1">
      <x v="7"/>
      <x v="31"/>
    </i>
    <i r="1">
      <x v="8"/>
      <x v="47"/>
    </i>
    <i r="1">
      <x v="9"/>
      <x v="49"/>
    </i>
    <i r="1">
      <x v="10"/>
      <x v="43"/>
    </i>
    <i r="1">
      <x v="11"/>
      <x v="24"/>
    </i>
    <i r="2">
      <x v="41"/>
    </i>
    <i r="2">
      <x v="45"/>
    </i>
    <i r="1">
      <x v="14"/>
      <x v="1"/>
    </i>
    <i r="2">
      <x v="48"/>
    </i>
    <i r="2">
      <x v="51"/>
    </i>
    <i r="1">
      <x v="17"/>
      <x v="3"/>
    </i>
    <i r="2">
      <x v="19"/>
    </i>
    <i r="2">
      <x v="30"/>
    </i>
    <i r="2">
      <x v="32"/>
    </i>
    <i r="2">
      <x v="50"/>
    </i>
    <i t="blank">
      <x v="18"/>
    </i>
    <i>
      <x v="19"/>
    </i>
    <i r="1">
      <x/>
      <x v="42"/>
    </i>
    <i r="1">
      <x v="1"/>
      <x v="35"/>
    </i>
    <i r="1">
      <x v="2"/>
      <x v="31"/>
    </i>
    <i r="1">
      <x v="3"/>
      <x v="44"/>
    </i>
    <i r="1">
      <x v="4"/>
      <x v="29"/>
    </i>
    <i r="1">
      <x v="5"/>
      <x/>
    </i>
    <i r="1">
      <x v="6"/>
      <x v="2"/>
    </i>
    <i r="1">
      <x v="7"/>
      <x v="47"/>
    </i>
    <i r="1">
      <x v="8"/>
      <x v="38"/>
    </i>
    <i r="1">
      <x v="9"/>
      <x v="30"/>
    </i>
    <i r="2">
      <x v="51"/>
    </i>
    <i r="1">
      <x v="11"/>
      <x v="4"/>
    </i>
    <i r="2">
      <x v="45"/>
    </i>
    <i r="2">
      <x v="46"/>
    </i>
    <i r="1">
      <x v="14"/>
      <x v="3"/>
    </i>
    <i r="2">
      <x v="40"/>
    </i>
    <i r="1">
      <x v="16"/>
      <x v="1"/>
    </i>
    <i r="2">
      <x v="28"/>
    </i>
    <i r="1">
      <x v="18"/>
      <x v="32"/>
    </i>
    <i r="2">
      <x v="48"/>
    </i>
    <i r="2">
      <x v="49"/>
    </i>
    <i t="blank">
      <x v="19"/>
    </i>
    <i>
      <x v="20"/>
    </i>
    <i r="1">
      <x/>
      <x v="42"/>
    </i>
    <i r="1">
      <x v="1"/>
      <x v="29"/>
    </i>
    <i r="1">
      <x v="2"/>
      <x v="44"/>
    </i>
    <i r="1">
      <x v="3"/>
      <x v="41"/>
    </i>
    <i r="1">
      <x v="4"/>
      <x v="35"/>
    </i>
    <i r="1">
      <x v="5"/>
      <x v="31"/>
    </i>
    <i r="1">
      <x v="6"/>
      <x/>
    </i>
    <i r="1">
      <x v="7"/>
      <x v="2"/>
    </i>
    <i r="2">
      <x v="47"/>
    </i>
    <i r="1">
      <x v="9"/>
      <x v="3"/>
    </i>
    <i r="2">
      <x v="30"/>
    </i>
    <i r="2">
      <x v="46"/>
    </i>
    <i r="1">
      <x v="12"/>
      <x v="1"/>
    </i>
    <i r="2">
      <x v="24"/>
    </i>
    <i r="2">
      <x v="45"/>
    </i>
    <i r="2">
      <x v="50"/>
    </i>
    <i r="1">
      <x v="16"/>
      <x v="4"/>
    </i>
    <i r="2">
      <x v="28"/>
    </i>
    <i r="2">
      <x v="49"/>
    </i>
    <i r="1">
      <x v="19"/>
      <x v="12"/>
    </i>
    <i r="2">
      <x v="21"/>
    </i>
    <i r="2">
      <x v="36"/>
    </i>
    <i r="2">
      <x v="40"/>
    </i>
    <i t="blank">
      <x v="20"/>
    </i>
    <i>
      <x v="21"/>
    </i>
    <i r="1">
      <x/>
      <x v="42"/>
    </i>
    <i r="1">
      <x v="1"/>
      <x v="44"/>
    </i>
    <i r="1">
      <x v="2"/>
      <x v="5"/>
    </i>
    <i r="1">
      <x v="3"/>
      <x v="35"/>
    </i>
    <i r="1">
      <x v="4"/>
      <x v="31"/>
    </i>
    <i r="2">
      <x v="47"/>
    </i>
    <i r="1">
      <x v="6"/>
      <x v="11"/>
    </i>
    <i r="1">
      <x v="7"/>
      <x v="29"/>
    </i>
    <i r="1">
      <x v="8"/>
      <x v="2"/>
    </i>
    <i r="1">
      <x v="9"/>
      <x/>
    </i>
    <i r="1">
      <x v="10"/>
      <x v="51"/>
    </i>
    <i r="1">
      <x v="11"/>
      <x v="49"/>
    </i>
    <i r="1">
      <x v="12"/>
      <x v="48"/>
    </i>
    <i r="1">
      <x v="13"/>
      <x v="30"/>
    </i>
    <i r="1">
      <x v="14"/>
      <x v="1"/>
    </i>
    <i r="1">
      <x v="15"/>
      <x v="46"/>
    </i>
    <i r="1">
      <x v="16"/>
      <x v="40"/>
    </i>
    <i r="1">
      <x v="17"/>
      <x v="38"/>
    </i>
    <i r="2">
      <x v="45"/>
    </i>
    <i r="1">
      <x v="19"/>
      <x v="3"/>
    </i>
    <i r="2">
      <x v="12"/>
    </i>
    <i r="2">
      <x v="28"/>
    </i>
    <i r="2">
      <x v="36"/>
    </i>
    <i r="2">
      <x v="41"/>
    </i>
    <i r="2">
      <x v="43"/>
    </i>
    <i t="blank">
      <x v="21"/>
    </i>
    <i>
      <x v="22"/>
    </i>
    <i r="1">
      <x/>
      <x v="42"/>
    </i>
    <i r="1">
      <x v="1"/>
      <x v="44"/>
    </i>
    <i r="1">
      <x v="2"/>
      <x v="47"/>
    </i>
    <i r="1">
      <x v="3"/>
      <x v="29"/>
    </i>
    <i r="1">
      <x v="4"/>
      <x v="31"/>
    </i>
    <i r="1">
      <x v="5"/>
      <x v="35"/>
    </i>
    <i r="1">
      <x v="6"/>
      <x v="2"/>
    </i>
    <i r="1">
      <x v="7"/>
      <x v="51"/>
    </i>
    <i r="1">
      <x v="8"/>
      <x v="1"/>
    </i>
    <i r="1">
      <x v="9"/>
      <x v="28"/>
    </i>
    <i r="1">
      <x v="10"/>
      <x v="30"/>
    </i>
    <i r="1">
      <x v="11"/>
      <x/>
    </i>
    <i r="2">
      <x v="38"/>
    </i>
    <i r="2">
      <x v="40"/>
    </i>
    <i r="2">
      <x v="43"/>
    </i>
    <i r="1">
      <x v="15"/>
      <x v="45"/>
    </i>
    <i r="1">
      <x v="16"/>
      <x v="8"/>
    </i>
    <i r="2">
      <x v="14"/>
    </i>
    <i r="2">
      <x v="24"/>
    </i>
    <i r="1">
      <x v="19"/>
      <x v="18"/>
    </i>
    <i t="blank">
      <x v="22"/>
    </i>
    <i>
      <x v="23"/>
    </i>
    <i r="1">
      <x/>
      <x v="35"/>
    </i>
    <i r="1">
      <x v="1"/>
      <x v="44"/>
    </i>
    <i r="1">
      <x v="2"/>
      <x v="42"/>
    </i>
    <i r="1">
      <x v="3"/>
      <x v="31"/>
    </i>
    <i r="1">
      <x v="4"/>
      <x v="47"/>
    </i>
    <i r="1">
      <x v="5"/>
      <x v="28"/>
    </i>
    <i r="1">
      <x v="6"/>
      <x v="29"/>
    </i>
    <i r="1">
      <x v="7"/>
      <x/>
    </i>
    <i r="1">
      <x v="8"/>
      <x v="30"/>
    </i>
    <i r="1">
      <x v="9"/>
      <x v="40"/>
    </i>
    <i r="1">
      <x v="10"/>
      <x v="34"/>
    </i>
    <i r="1">
      <x v="11"/>
      <x v="2"/>
    </i>
    <i r="2">
      <x v="41"/>
    </i>
    <i r="1">
      <x v="13"/>
      <x v="1"/>
    </i>
    <i r="2">
      <x v="49"/>
    </i>
    <i r="1">
      <x v="15"/>
      <x v="46"/>
    </i>
    <i r="2">
      <x v="48"/>
    </i>
    <i r="1">
      <x v="17"/>
      <x v="38"/>
    </i>
    <i r="1">
      <x v="18"/>
      <x v="45"/>
    </i>
    <i r="1">
      <x v="19"/>
      <x v="27"/>
    </i>
    <i r="2">
      <x v="51"/>
    </i>
    <i t="blank">
      <x v="23"/>
    </i>
    <i>
      <x v="24"/>
    </i>
    <i r="1">
      <x/>
      <x v="44"/>
    </i>
    <i r="1">
      <x v="1"/>
      <x v="42"/>
    </i>
    <i r="1">
      <x v="2"/>
      <x v="31"/>
    </i>
    <i r="1">
      <x v="3"/>
      <x v="35"/>
    </i>
    <i r="1">
      <x v="4"/>
      <x v="28"/>
    </i>
    <i r="1">
      <x v="5"/>
      <x v="29"/>
    </i>
    <i r="1">
      <x v="6"/>
      <x v="30"/>
    </i>
    <i r="1">
      <x v="7"/>
      <x v="47"/>
    </i>
    <i r="1">
      <x v="8"/>
      <x v="51"/>
    </i>
    <i r="1">
      <x v="9"/>
      <x v="2"/>
    </i>
    <i r="2">
      <x v="48"/>
    </i>
    <i r="1">
      <x v="11"/>
      <x/>
    </i>
    <i r="1">
      <x v="12"/>
      <x v="34"/>
    </i>
    <i r="2">
      <x v="40"/>
    </i>
    <i r="1">
      <x v="14"/>
      <x v="38"/>
    </i>
    <i r="1">
      <x v="15"/>
      <x v="18"/>
    </i>
    <i r="2">
      <x v="49"/>
    </i>
    <i r="1">
      <x v="17"/>
      <x v="1"/>
    </i>
    <i r="1">
      <x v="18"/>
      <x v="11"/>
    </i>
    <i r="2">
      <x v="33"/>
    </i>
    <i r="2">
      <x v="45"/>
    </i>
    <i t="blank">
      <x v="24"/>
    </i>
    <i>
      <x v="25"/>
    </i>
    <i r="1">
      <x/>
      <x v="1"/>
    </i>
    <i r="1">
      <x v="1"/>
      <x v="51"/>
    </i>
    <i r="1">
      <x v="2"/>
      <x v="44"/>
    </i>
    <i r="1">
      <x v="3"/>
      <x v="35"/>
    </i>
    <i r="1">
      <x v="4"/>
      <x v="31"/>
    </i>
    <i r="1">
      <x v="5"/>
      <x/>
    </i>
    <i r="2">
      <x v="2"/>
    </i>
    <i r="1">
      <x v="7"/>
      <x v="29"/>
    </i>
    <i r="1">
      <x v="8"/>
      <x v="47"/>
    </i>
    <i r="1">
      <x v="9"/>
      <x v="30"/>
    </i>
    <i r="1">
      <x v="10"/>
      <x v="42"/>
    </i>
    <i r="1">
      <x v="11"/>
      <x v="49"/>
    </i>
    <i r="1">
      <x v="12"/>
      <x v="40"/>
    </i>
    <i r="1">
      <x v="13"/>
      <x v="26"/>
    </i>
    <i r="2">
      <x v="38"/>
    </i>
    <i r="1">
      <x v="15"/>
      <x v="12"/>
    </i>
    <i r="1">
      <x v="16"/>
      <x v="18"/>
    </i>
    <i r="2">
      <x v="24"/>
    </i>
    <i r="2">
      <x v="25"/>
    </i>
    <i r="2">
      <x v="48"/>
    </i>
    <i t="blank">
      <x v="25"/>
    </i>
    <i>
      <x v="26"/>
    </i>
    <i r="1">
      <x/>
      <x v="42"/>
    </i>
    <i r="1">
      <x v="1"/>
      <x v="44"/>
    </i>
    <i r="1">
      <x v="2"/>
      <x v="47"/>
    </i>
    <i r="1">
      <x v="3"/>
      <x v="1"/>
    </i>
    <i r="1">
      <x v="4"/>
      <x v="30"/>
    </i>
    <i r="2">
      <x v="31"/>
    </i>
    <i r="1">
      <x v="6"/>
      <x v="35"/>
    </i>
    <i r="1">
      <x v="7"/>
      <x v="2"/>
    </i>
    <i r="1">
      <x v="8"/>
      <x/>
    </i>
    <i r="1">
      <x v="9"/>
      <x v="51"/>
    </i>
    <i r="1">
      <x v="10"/>
      <x v="29"/>
    </i>
    <i r="1">
      <x v="11"/>
      <x v="12"/>
    </i>
    <i r="1">
      <x v="12"/>
      <x v="49"/>
    </i>
    <i r="1">
      <x v="13"/>
      <x v="38"/>
    </i>
    <i r="1">
      <x v="14"/>
      <x v="34"/>
    </i>
    <i r="1">
      <x v="15"/>
      <x v="48"/>
    </i>
    <i r="2">
      <x v="52"/>
    </i>
    <i r="1">
      <x v="17"/>
      <x v="40"/>
    </i>
    <i r="1">
      <x v="18"/>
      <x v="25"/>
    </i>
    <i r="2">
      <x v="28"/>
    </i>
    <i t="blank">
      <x v="26"/>
    </i>
    <i>
      <x v="27"/>
    </i>
    <i r="1">
      <x/>
      <x v="42"/>
    </i>
    <i r="1">
      <x v="1"/>
      <x v="44"/>
    </i>
    <i r="1">
      <x v="2"/>
      <x v="35"/>
    </i>
    <i r="1">
      <x v="3"/>
      <x v="31"/>
    </i>
    <i r="1">
      <x v="4"/>
      <x v="47"/>
    </i>
    <i r="1">
      <x v="5"/>
      <x/>
    </i>
    <i r="1">
      <x v="6"/>
      <x v="1"/>
    </i>
    <i r="1">
      <x v="7"/>
      <x v="30"/>
    </i>
    <i r="2">
      <x v="51"/>
    </i>
    <i r="1">
      <x v="9"/>
      <x v="29"/>
    </i>
    <i r="2">
      <x v="49"/>
    </i>
    <i r="1">
      <x v="11"/>
      <x v="38"/>
    </i>
    <i r="2">
      <x v="48"/>
    </i>
    <i r="1">
      <x v="13"/>
      <x v="26"/>
    </i>
    <i r="1">
      <x v="14"/>
      <x v="2"/>
    </i>
    <i r="2">
      <x v="28"/>
    </i>
    <i r="1">
      <x v="16"/>
      <x v="32"/>
    </i>
    <i r="2">
      <x v="40"/>
    </i>
    <i r="1">
      <x v="18"/>
      <x v="27"/>
    </i>
    <i r="2">
      <x v="43"/>
    </i>
    <i t="blank">
      <x v="27"/>
    </i>
    <i>
      <x v="28"/>
    </i>
    <i r="1">
      <x/>
      <x v="35"/>
    </i>
    <i r="1">
      <x v="1"/>
      <x v="44"/>
    </i>
    <i r="1">
      <x v="2"/>
      <x v="42"/>
    </i>
    <i r="1">
      <x v="3"/>
      <x v="47"/>
    </i>
    <i r="1">
      <x v="4"/>
      <x/>
    </i>
    <i r="1">
      <x v="5"/>
      <x v="31"/>
    </i>
    <i r="1">
      <x v="6"/>
      <x v="2"/>
    </i>
    <i r="1">
      <x v="7"/>
      <x v="1"/>
    </i>
    <i r="1">
      <x v="8"/>
      <x v="30"/>
    </i>
    <i r="1">
      <x v="9"/>
      <x v="29"/>
    </i>
    <i r="1">
      <x v="10"/>
      <x v="5"/>
    </i>
    <i r="2">
      <x v="38"/>
    </i>
    <i r="1">
      <x v="12"/>
      <x v="8"/>
    </i>
    <i r="2">
      <x v="40"/>
    </i>
    <i r="2">
      <x v="48"/>
    </i>
    <i r="1">
      <x v="15"/>
      <x v="49"/>
    </i>
    <i r="1">
      <x v="16"/>
      <x v="12"/>
    </i>
    <i r="2">
      <x v="28"/>
    </i>
    <i r="1">
      <x v="18"/>
      <x v="27"/>
    </i>
    <i r="2">
      <x v="45"/>
    </i>
    <i r="2">
      <x v="51"/>
    </i>
    <i t="blank">
      <x v="28"/>
    </i>
    <i>
      <x v="29"/>
    </i>
    <i r="1">
      <x/>
      <x v="46"/>
    </i>
    <i r="1">
      <x v="1"/>
      <x v="41"/>
    </i>
    <i r="1">
      <x v="2"/>
      <x v="42"/>
    </i>
    <i r="1">
      <x v="3"/>
      <x v="29"/>
    </i>
    <i r="1">
      <x v="4"/>
      <x/>
    </i>
    <i r="2">
      <x v="43"/>
    </i>
    <i r="2">
      <x v="53"/>
    </i>
    <i r="1">
      <x v="7"/>
      <x v="35"/>
    </i>
    <i r="2">
      <x v="36"/>
    </i>
    <i r="2">
      <x v="44"/>
    </i>
    <i r="2">
      <x v="45"/>
    </i>
    <i r="2">
      <x v="49"/>
    </i>
    <i r="1">
      <x v="12"/>
      <x v="2"/>
    </i>
    <i r="2">
      <x v="11"/>
    </i>
    <i r="2">
      <x v="16"/>
    </i>
    <i r="2">
      <x v="17"/>
    </i>
    <i r="2">
      <x v="18"/>
    </i>
    <i r="2">
      <x v="19"/>
    </i>
    <i r="2">
      <x v="22"/>
    </i>
    <i r="2">
      <x v="38"/>
    </i>
    <i r="2">
      <x v="39"/>
    </i>
    <i r="2">
      <x v="48"/>
    </i>
    <i r="2">
      <x v="50"/>
    </i>
    <i t="blank">
      <x v="29"/>
    </i>
    <i>
      <x v="30"/>
    </i>
    <i r="1">
      <x/>
      <x v="41"/>
    </i>
    <i r="1">
      <x v="1"/>
      <x v="46"/>
    </i>
    <i r="1">
      <x v="2"/>
      <x v="42"/>
    </i>
    <i r="1">
      <x v="3"/>
      <x v="29"/>
    </i>
    <i r="2">
      <x v="36"/>
    </i>
    <i r="1">
      <x v="5"/>
      <x v="31"/>
    </i>
    <i r="1">
      <x v="6"/>
      <x v="47"/>
    </i>
    <i r="1">
      <x v="7"/>
      <x v="1"/>
    </i>
    <i r="2">
      <x v="11"/>
    </i>
    <i r="2">
      <x v="19"/>
    </i>
    <i r="2">
      <x v="28"/>
    </i>
    <i r="2">
      <x v="43"/>
    </i>
    <i r="2">
      <x v="49"/>
    </i>
    <i r="1">
      <x v="13"/>
      <x/>
    </i>
    <i r="2">
      <x v="2"/>
    </i>
    <i r="2">
      <x v="16"/>
    </i>
    <i r="2">
      <x v="22"/>
    </i>
    <i r="2">
      <x v="27"/>
    </i>
    <i r="2">
      <x v="35"/>
    </i>
    <i t="blank">
      <x v="30"/>
    </i>
    <i>
      <x v="31"/>
    </i>
    <i r="1">
      <x/>
      <x v="41"/>
    </i>
    <i r="1">
      <x v="1"/>
      <x v="29"/>
    </i>
    <i r="1">
      <x v="2"/>
      <x v="31"/>
    </i>
    <i r="1">
      <x v="3"/>
      <x v="3"/>
    </i>
    <i r="2">
      <x v="42"/>
    </i>
    <i r="1">
      <x v="5"/>
      <x v="19"/>
    </i>
    <i r="2">
      <x v="46"/>
    </i>
    <i r="2">
      <x v="49"/>
    </i>
    <i r="1">
      <x v="8"/>
      <x/>
    </i>
    <i r="2">
      <x v="11"/>
    </i>
    <i r="2">
      <x v="15"/>
    </i>
    <i r="2">
      <x v="16"/>
    </i>
    <i r="2">
      <x v="22"/>
    </i>
    <i r="2">
      <x v="23"/>
    </i>
    <i r="2">
      <x v="45"/>
    </i>
    <i t="blank">
      <x v="31"/>
    </i>
    <i>
      <x v="32"/>
    </i>
    <i r="1">
      <x/>
      <x v="29"/>
    </i>
    <i r="2">
      <x v="41"/>
    </i>
    <i r="1">
      <x v="2"/>
      <x v="42"/>
    </i>
    <i r="1">
      <x v="3"/>
      <x v="11"/>
    </i>
    <i r="2">
      <x v="15"/>
    </i>
    <i r="2">
      <x v="16"/>
    </i>
    <i r="2">
      <x v="20"/>
    </i>
    <i r="2">
      <x v="31"/>
    </i>
    <i r="2">
      <x v="48"/>
    </i>
    <i t="blank">
      <x v="32"/>
    </i>
    <i>
      <x v="33"/>
    </i>
    <i r="1">
      <x/>
      <x v="42"/>
    </i>
    <i r="1">
      <x v="1"/>
      <x v="31"/>
    </i>
    <i r="1">
      <x v="2"/>
      <x v="21"/>
    </i>
    <i r="2">
      <x v="29"/>
    </i>
    <i r="2">
      <x v="47"/>
    </i>
    <i r="1">
      <x v="5"/>
      <x v="41"/>
    </i>
    <i r="2">
      <x v="46"/>
    </i>
    <i r="2">
      <x v="50"/>
    </i>
    <i r="2">
      <x v="51"/>
    </i>
    <i r="1">
      <x v="9"/>
      <x/>
    </i>
    <i r="2">
      <x v="3"/>
    </i>
    <i r="2">
      <x v="4"/>
    </i>
    <i r="2">
      <x v="15"/>
    </i>
    <i r="2">
      <x v="25"/>
    </i>
    <i r="2">
      <x v="32"/>
    </i>
    <i r="2">
      <x v="36"/>
    </i>
    <i r="2">
      <x v="37"/>
    </i>
    <i r="2">
      <x v="40"/>
    </i>
    <i r="2">
      <x v="44"/>
    </i>
    <i r="2">
      <x v="45"/>
    </i>
    <i r="2">
      <x v="54"/>
    </i>
    <i t="blank">
      <x v="33"/>
    </i>
    <i>
      <x v="34"/>
    </i>
    <i r="1">
      <x/>
      <x v="29"/>
    </i>
    <i r="1">
      <x v="1"/>
      <x v="42"/>
    </i>
    <i r="2">
      <x v="50"/>
    </i>
    <i r="1">
      <x v="3"/>
      <x v="19"/>
    </i>
    <i r="2">
      <x v="22"/>
    </i>
    <i r="2">
      <x v="31"/>
    </i>
    <i r="2">
      <x v="43"/>
    </i>
    <i r="1">
      <x v="7"/>
      <x/>
    </i>
    <i r="2">
      <x v="3"/>
    </i>
    <i r="2">
      <x v="15"/>
    </i>
    <i r="2">
      <x v="16"/>
    </i>
    <i r="2">
      <x v="21"/>
    </i>
    <i r="2">
      <x v="30"/>
    </i>
    <i r="2">
      <x v="40"/>
    </i>
    <i r="2">
      <x v="41"/>
    </i>
    <i r="2">
      <x v="44"/>
    </i>
    <i r="2">
      <x v="47"/>
    </i>
    <i r="2">
      <x v="48"/>
    </i>
    <i r="2">
      <x v="51"/>
    </i>
    <i t="blank">
      <x v="34"/>
    </i>
    <i>
      <x v="35"/>
    </i>
    <i r="1">
      <x/>
      <x v="29"/>
    </i>
    <i r="1">
      <x v="1"/>
      <x v="42"/>
    </i>
    <i r="1">
      <x v="2"/>
      <x v="3"/>
    </i>
    <i r="1">
      <x v="3"/>
      <x/>
    </i>
    <i r="2">
      <x v="41"/>
    </i>
    <i r="1">
      <x v="5"/>
      <x v="4"/>
    </i>
    <i r="2">
      <x v="11"/>
    </i>
    <i r="2">
      <x v="31"/>
    </i>
    <i r="2">
      <x v="44"/>
    </i>
    <i r="1">
      <x v="9"/>
      <x v="2"/>
    </i>
    <i r="2">
      <x v="9"/>
    </i>
    <i r="2">
      <x v="22"/>
    </i>
    <i r="2">
      <x v="23"/>
    </i>
    <i r="2">
      <x v="25"/>
    </i>
    <i r="2">
      <x v="35"/>
    </i>
    <i r="2">
      <x v="46"/>
    </i>
    <i r="2">
      <x v="47"/>
    </i>
    <i r="2">
      <x v="48"/>
    </i>
    <i r="2">
      <x v="50"/>
    </i>
    <i r="2">
      <x v="51"/>
    </i>
    <i r="2">
      <x v="54"/>
    </i>
    <i t="blank">
      <x v="35"/>
    </i>
    <i>
      <x v="36"/>
    </i>
    <i r="1">
      <x/>
      <x/>
    </i>
    <i r="2">
      <x v="29"/>
    </i>
    <i r="1">
      <x v="2"/>
      <x v="42"/>
    </i>
    <i r="1">
      <x v="3"/>
      <x v="41"/>
    </i>
    <i r="1">
      <x v="4"/>
      <x v="44"/>
    </i>
    <i r="1">
      <x v="5"/>
      <x v="27"/>
    </i>
    <i r="2">
      <x v="30"/>
    </i>
    <i r="2">
      <x v="31"/>
    </i>
    <i r="1">
      <x v="8"/>
      <x v="2"/>
    </i>
    <i r="2">
      <x v="3"/>
    </i>
    <i r="2">
      <x v="4"/>
    </i>
    <i r="2">
      <x v="11"/>
    </i>
    <i r="2">
      <x v="19"/>
    </i>
    <i r="2">
      <x v="24"/>
    </i>
    <i r="2">
      <x v="35"/>
    </i>
    <i r="2">
      <x v="36"/>
    </i>
    <i r="2">
      <x v="45"/>
    </i>
    <i r="2">
      <x v="46"/>
    </i>
    <i r="2">
      <x v="47"/>
    </i>
    <i r="2">
      <x v="48"/>
    </i>
    <i r="2">
      <x v="50"/>
    </i>
    <i r="2">
      <x v="52"/>
    </i>
    <i t="blank">
      <x v="36"/>
    </i>
    <i>
      <x v="37"/>
    </i>
    <i r="1">
      <x/>
      <x v="5"/>
    </i>
    <i r="1">
      <x v="1"/>
      <x v="42"/>
    </i>
    <i r="1">
      <x v="2"/>
      <x v="29"/>
    </i>
    <i r="2">
      <x v="35"/>
    </i>
    <i r="1">
      <x v="4"/>
      <x v="44"/>
    </i>
    <i r="1">
      <x v="5"/>
      <x v="31"/>
    </i>
    <i r="1">
      <x v="6"/>
      <x v="3"/>
    </i>
    <i r="1">
      <x v="7"/>
      <x v="41"/>
    </i>
    <i r="1">
      <x v="8"/>
      <x v="46"/>
    </i>
    <i r="1">
      <x v="9"/>
      <x v="47"/>
    </i>
    <i r="1">
      <x v="10"/>
      <x v="2"/>
    </i>
    <i r="2">
      <x v="30"/>
    </i>
    <i r="2">
      <x v="36"/>
    </i>
    <i r="2">
      <x v="48"/>
    </i>
    <i r="2">
      <x v="49"/>
    </i>
    <i r="1">
      <x v="15"/>
      <x v="24"/>
    </i>
    <i r="2">
      <x v="40"/>
    </i>
    <i r="1">
      <x v="17"/>
      <x/>
    </i>
    <i r="2">
      <x v="26"/>
    </i>
    <i r="2">
      <x v="28"/>
    </i>
    <i r="2">
      <x v="50"/>
    </i>
    <i t="blank">
      <x v="37"/>
    </i>
    <i>
      <x v="38"/>
    </i>
    <i r="1">
      <x/>
      <x v="44"/>
    </i>
    <i r="1">
      <x v="1"/>
      <x v="31"/>
    </i>
    <i r="1">
      <x v="2"/>
      <x/>
    </i>
    <i r="1">
      <x v="3"/>
      <x v="29"/>
    </i>
    <i r="2">
      <x v="35"/>
    </i>
    <i r="2">
      <x v="42"/>
    </i>
    <i r="1">
      <x v="6"/>
      <x v="1"/>
    </i>
    <i r="1">
      <x v="7"/>
      <x v="47"/>
    </i>
    <i r="1">
      <x v="8"/>
      <x v="2"/>
    </i>
    <i r="2">
      <x v="30"/>
    </i>
    <i r="1">
      <x v="10"/>
      <x v="40"/>
    </i>
    <i r="2">
      <x v="49"/>
    </i>
    <i r="1">
      <x v="12"/>
      <x v="51"/>
    </i>
    <i r="1">
      <x v="13"/>
      <x v="48"/>
    </i>
    <i r="1">
      <x v="14"/>
      <x v="38"/>
    </i>
    <i r="1">
      <x v="15"/>
      <x v="3"/>
    </i>
    <i r="2">
      <x v="24"/>
    </i>
    <i r="2">
      <x v="25"/>
    </i>
    <i r="2">
      <x v="45"/>
    </i>
    <i r="1">
      <x v="19"/>
      <x v="7"/>
    </i>
    <i r="2">
      <x v="19"/>
    </i>
    <i r="2">
      <x v="26"/>
    </i>
    <i r="2">
      <x v="53"/>
    </i>
    <i t="blank">
      <x v="38"/>
    </i>
    <i>
      <x v="39"/>
    </i>
    <i r="1">
      <x/>
      <x v="29"/>
    </i>
    <i r="1">
      <x v="1"/>
      <x v="41"/>
    </i>
    <i r="2">
      <x v="42"/>
    </i>
    <i r="1">
      <x v="3"/>
      <x/>
    </i>
    <i r="2">
      <x v="44"/>
    </i>
    <i r="1">
      <x v="5"/>
      <x v="3"/>
    </i>
    <i r="2">
      <x v="47"/>
    </i>
    <i r="1">
      <x v="7"/>
      <x v="2"/>
    </i>
    <i r="2">
      <x v="30"/>
    </i>
    <i r="2">
      <x v="31"/>
    </i>
    <i r="2">
      <x v="51"/>
    </i>
    <i r="1">
      <x v="11"/>
      <x v="1"/>
    </i>
    <i r="2">
      <x v="10"/>
    </i>
    <i r="2">
      <x v="11"/>
    </i>
    <i r="2">
      <x v="15"/>
    </i>
    <i r="2">
      <x v="16"/>
    </i>
    <i r="2">
      <x v="19"/>
    </i>
    <i r="2">
      <x v="27"/>
    </i>
    <i r="2">
      <x v="36"/>
    </i>
    <i r="2">
      <x v="40"/>
    </i>
    <i r="2">
      <x v="43"/>
    </i>
    <i r="2">
      <x v="46"/>
    </i>
    <i r="2">
      <x v="48"/>
    </i>
    <i r="2">
      <x v="49"/>
    </i>
    <i t="blank">
      <x v="39"/>
    </i>
    <i>
      <x v="40"/>
    </i>
    <i r="1">
      <x/>
      <x v="41"/>
    </i>
    <i r="1">
      <x v="1"/>
      <x v="42"/>
    </i>
    <i r="1">
      <x v="2"/>
      <x v="46"/>
    </i>
    <i r="1">
      <x v="3"/>
      <x v="31"/>
    </i>
    <i r="1">
      <x v="4"/>
      <x v="29"/>
    </i>
    <i r="2">
      <x v="36"/>
    </i>
    <i r="1">
      <x v="6"/>
      <x v="45"/>
    </i>
    <i r="1">
      <x v="7"/>
      <x v="19"/>
    </i>
    <i r="1">
      <x v="8"/>
      <x v="3"/>
    </i>
    <i r="1">
      <x v="9"/>
      <x v="11"/>
    </i>
    <i r="2">
      <x v="28"/>
    </i>
    <i r="1">
      <x v="11"/>
      <x/>
    </i>
    <i r="2">
      <x v="20"/>
    </i>
    <i r="2">
      <x v="22"/>
    </i>
    <i r="1">
      <x v="14"/>
      <x v="44"/>
    </i>
    <i r="1">
      <x v="15"/>
      <x v="2"/>
    </i>
    <i r="2">
      <x v="5"/>
    </i>
    <i r="2">
      <x v="10"/>
    </i>
    <i r="2">
      <x v="35"/>
    </i>
    <i r="2">
      <x v="37"/>
    </i>
    <i r="2">
      <x v="40"/>
    </i>
    <i r="2">
      <x v="47"/>
    </i>
    <i t="blank">
      <x v="40"/>
    </i>
    <i>
      <x v="41"/>
    </i>
    <i r="1">
      <x/>
      <x v="5"/>
    </i>
    <i r="1">
      <x v="1"/>
      <x v="42"/>
    </i>
    <i r="1">
      <x v="2"/>
      <x v="3"/>
    </i>
    <i r="1">
      <x v="3"/>
      <x v="41"/>
    </i>
    <i r="1">
      <x v="4"/>
      <x v="29"/>
    </i>
    <i r="1">
      <x v="5"/>
      <x v="47"/>
    </i>
    <i r="1">
      <x v="6"/>
      <x/>
    </i>
    <i r="2">
      <x v="31"/>
    </i>
    <i r="2">
      <x v="46"/>
    </i>
    <i r="1">
      <x v="9"/>
      <x v="4"/>
    </i>
    <i r="2">
      <x v="11"/>
    </i>
    <i r="2">
      <x v="35"/>
    </i>
    <i r="2">
      <x v="44"/>
    </i>
    <i r="1">
      <x v="13"/>
      <x v="9"/>
    </i>
    <i r="2">
      <x v="10"/>
    </i>
    <i r="2">
      <x v="14"/>
    </i>
    <i r="2">
      <x v="28"/>
    </i>
    <i r="2">
      <x v="48"/>
    </i>
    <i r="2">
      <x v="49"/>
    </i>
    <i r="1">
      <x v="19"/>
      <x v="2"/>
    </i>
    <i r="2">
      <x v="6"/>
    </i>
    <i r="2">
      <x v="13"/>
    </i>
    <i r="2">
      <x v="15"/>
    </i>
    <i r="2">
      <x v="16"/>
    </i>
    <i r="2">
      <x v="18"/>
    </i>
    <i r="2">
      <x v="22"/>
    </i>
    <i r="2">
      <x v="30"/>
    </i>
    <i r="2">
      <x v="32"/>
    </i>
    <i r="2">
      <x v="36"/>
    </i>
    <i r="2">
      <x v="40"/>
    </i>
    <i r="2">
      <x v="45"/>
    </i>
    <i r="2">
      <x v="50"/>
    </i>
    <i r="2">
      <x v="51"/>
    </i>
    <i t="blank">
      <x v="41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621">
      <pivotArea field="2" type="button" dataOnly="0" labelOnly="1" outline="0" axis="axisRow" fieldPosition="0"/>
    </format>
    <format dxfId="620">
      <pivotArea outline="0" fieldPosition="0">
        <references count="1">
          <reference field="4294967294" count="1">
            <x v="0"/>
          </reference>
        </references>
      </pivotArea>
    </format>
    <format dxfId="619">
      <pivotArea outline="0" fieldPosition="0">
        <references count="1">
          <reference field="4294967294" count="1">
            <x v="1"/>
          </reference>
        </references>
      </pivotArea>
    </format>
    <format dxfId="618">
      <pivotArea outline="0" fieldPosition="0">
        <references count="1">
          <reference field="4294967294" count="1">
            <x v="2"/>
          </reference>
        </references>
      </pivotArea>
    </format>
    <format dxfId="617">
      <pivotArea outline="0" fieldPosition="0">
        <references count="1">
          <reference field="4294967294" count="1">
            <x v="3"/>
          </reference>
        </references>
      </pivotArea>
    </format>
    <format dxfId="616">
      <pivotArea outline="0" fieldPosition="0">
        <references count="1">
          <reference field="4294967294" count="1">
            <x v="4"/>
          </reference>
        </references>
      </pivotArea>
    </format>
    <format dxfId="615">
      <pivotArea outline="0" fieldPosition="0">
        <references count="1">
          <reference field="4294967294" count="1">
            <x v="5"/>
          </reference>
        </references>
      </pivotArea>
    </format>
    <format dxfId="614">
      <pivotArea outline="0" fieldPosition="0">
        <references count="1">
          <reference field="4294967294" count="1">
            <x v="6"/>
          </reference>
        </references>
      </pivotArea>
    </format>
    <format dxfId="613">
      <pivotArea field="2" type="button" dataOnly="0" labelOnly="1" outline="0" axis="axisRow" fieldPosition="0"/>
    </format>
    <format dxfId="61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11">
      <pivotArea field="2" type="button" dataOnly="0" labelOnly="1" outline="0" axis="axisRow" fieldPosition="0"/>
    </format>
    <format dxfId="61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09">
      <pivotArea field="2" type="button" dataOnly="0" labelOnly="1" outline="0" axis="axisRow" fieldPosition="0"/>
    </format>
    <format dxfId="60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0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0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05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B45C7D-59CF-4AAB-BB92-A9FF0AE5CA3F}" name="pvt_S" cacheId="2268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100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42">
        <item x="9"/>
        <item x="4"/>
        <item x="0"/>
        <item x="7"/>
        <item x="2"/>
        <item x="39"/>
        <item x="10"/>
        <item x="20"/>
        <item x="17"/>
        <item x="18"/>
        <item x="19"/>
        <item x="12"/>
        <item x="15"/>
        <item x="13"/>
        <item x="14"/>
        <item x="16"/>
        <item x="6"/>
        <item x="3"/>
        <item x="22"/>
        <item x="26"/>
        <item x="25"/>
        <item x="21"/>
        <item x="23"/>
        <item x="24"/>
        <item x="31"/>
        <item x="36"/>
        <item x="35"/>
        <item x="37"/>
        <item x="30"/>
        <item x="29"/>
        <item x="32"/>
        <item x="33"/>
        <item x="28"/>
        <item x="38"/>
        <item x="34"/>
        <item x="27"/>
        <item x="1"/>
        <item x="11"/>
        <item x="40"/>
        <item x="41"/>
        <item x="8"/>
        <item x="5"/>
      </items>
    </pivotField>
    <pivotField axis="axisRow" showAll="0" insertBlankRow="1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showAll="0" defaultSubtotal="0">
      <items count="135">
        <item x="75"/>
        <item x="12"/>
        <item x="65"/>
        <item x="29"/>
        <item x="45"/>
        <item x="102"/>
        <item x="66"/>
        <item x="89"/>
        <item x="103"/>
        <item x="90"/>
        <item x="24"/>
        <item x="129"/>
        <item x="25"/>
        <item x="130"/>
        <item x="113"/>
        <item x="131"/>
        <item x="64"/>
        <item x="108"/>
        <item x="46"/>
        <item x="76"/>
        <item x="47"/>
        <item x="48"/>
        <item x="122"/>
        <item x="49"/>
        <item x="50"/>
        <item x="67"/>
        <item x="86"/>
        <item x="51"/>
        <item x="87"/>
        <item x="123"/>
        <item x="68"/>
        <item x="52"/>
        <item x="132"/>
        <item x="93"/>
        <item x="40"/>
        <item x="79"/>
        <item x="109"/>
        <item x="53"/>
        <item x="54"/>
        <item x="94"/>
        <item x="35"/>
        <item x="33"/>
        <item x="101"/>
        <item x="111"/>
        <item x="112"/>
        <item x="124"/>
        <item x="104"/>
        <item x="95"/>
        <item x="110"/>
        <item x="80"/>
        <item x="43"/>
        <item x="125"/>
        <item x="114"/>
        <item x="128"/>
        <item x="105"/>
        <item x="69"/>
        <item x="88"/>
        <item x="21"/>
        <item x="22"/>
        <item x="34"/>
        <item x="55"/>
        <item x="133"/>
        <item x="77"/>
        <item x="36"/>
        <item x="23"/>
        <item x="5"/>
        <item x="10"/>
        <item x="134"/>
        <item x="56"/>
        <item x="57"/>
        <item x="37"/>
        <item x="18"/>
        <item x="115"/>
        <item x="38"/>
        <item x="31"/>
        <item x="32"/>
        <item x="9"/>
        <item x="83"/>
        <item x="116"/>
        <item x="20"/>
        <item x="19"/>
        <item x="0"/>
        <item x="91"/>
        <item x="117"/>
        <item x="92"/>
        <item x="100"/>
        <item x="118"/>
        <item x="58"/>
        <item x="96"/>
        <item x="59"/>
        <item x="70"/>
        <item x="97"/>
        <item x="11"/>
        <item x="60"/>
        <item x="15"/>
        <item x="28"/>
        <item x="106"/>
        <item x="71"/>
        <item x="27"/>
        <item x="6"/>
        <item x="78"/>
        <item x="85"/>
        <item x="3"/>
        <item x="1"/>
        <item x="14"/>
        <item x="39"/>
        <item x="84"/>
        <item x="61"/>
        <item x="7"/>
        <item x="2"/>
        <item x="17"/>
        <item x="62"/>
        <item x="126"/>
        <item x="72"/>
        <item x="73"/>
        <item x="98"/>
        <item x="119"/>
        <item x="26"/>
        <item x="41"/>
        <item x="120"/>
        <item x="16"/>
        <item x="4"/>
        <item x="74"/>
        <item x="13"/>
        <item x="30"/>
        <item x="44"/>
        <item x="63"/>
        <item x="107"/>
        <item x="81"/>
        <item x="121"/>
        <item x="8"/>
        <item x="127"/>
        <item x="99"/>
        <item x="82"/>
        <item x="42"/>
      </items>
    </pivotField>
    <pivotField showAll="0" defaultSubtotal="0">
      <items count="135">
        <item x="37"/>
        <item x="85"/>
        <item x="100"/>
        <item x="73"/>
        <item x="32"/>
        <item x="93"/>
        <item x="39"/>
        <item x="5"/>
        <item x="95"/>
        <item x="60"/>
        <item x="26"/>
        <item x="107"/>
        <item x="71"/>
        <item x="22"/>
        <item x="90"/>
        <item x="76"/>
        <item x="70"/>
        <item x="17"/>
        <item x="86"/>
        <item x="51"/>
        <item x="78"/>
        <item x="96"/>
        <item x="66"/>
        <item x="1"/>
        <item x="46"/>
        <item x="18"/>
        <item x="33"/>
        <item x="35"/>
        <item x="75"/>
        <item x="81"/>
        <item x="87"/>
        <item x="104"/>
        <item x="111"/>
        <item x="106"/>
        <item x="52"/>
        <item x="57"/>
        <item x="126"/>
        <item x="23"/>
        <item x="101"/>
        <item x="34"/>
        <item x="16"/>
        <item x="25"/>
        <item x="53"/>
        <item x="28"/>
        <item x="56"/>
        <item x="127"/>
        <item x="14"/>
        <item x="4"/>
        <item x="79"/>
        <item x="45"/>
        <item x="29"/>
        <item x="125"/>
        <item x="99"/>
        <item x="98"/>
        <item x="58"/>
        <item x="97"/>
        <item x="94"/>
        <item x="124"/>
        <item x="128"/>
        <item x="121"/>
        <item x="117"/>
        <item x="105"/>
        <item x="49"/>
        <item x="74"/>
        <item x="30"/>
        <item x="84"/>
        <item x="118"/>
        <item x="134"/>
        <item x="10"/>
        <item x="8"/>
        <item x="92"/>
        <item x="116"/>
        <item x="41"/>
        <item x="36"/>
        <item x="3"/>
        <item x="48"/>
        <item x="42"/>
        <item x="31"/>
        <item x="103"/>
        <item x="63"/>
        <item x="54"/>
        <item x="50"/>
        <item x="120"/>
        <item x="27"/>
        <item x="133"/>
        <item x="43"/>
        <item x="113"/>
        <item x="47"/>
        <item x="122"/>
        <item x="114"/>
        <item x="6"/>
        <item x="77"/>
        <item x="112"/>
        <item x="69"/>
        <item x="82"/>
        <item x="9"/>
        <item x="72"/>
        <item x="0"/>
        <item x="102"/>
        <item x="88"/>
        <item x="130"/>
        <item x="59"/>
        <item x="64"/>
        <item x="83"/>
        <item x="109"/>
        <item x="24"/>
        <item x="129"/>
        <item x="89"/>
        <item x="11"/>
        <item x="12"/>
        <item x="108"/>
        <item x="40"/>
        <item x="38"/>
        <item x="115"/>
        <item x="80"/>
        <item x="61"/>
        <item x="2"/>
        <item x="91"/>
        <item x="20"/>
        <item x="19"/>
        <item x="21"/>
        <item x="65"/>
        <item x="132"/>
        <item x="123"/>
        <item x="55"/>
        <item x="131"/>
        <item x="68"/>
        <item x="119"/>
        <item x="110"/>
        <item x="7"/>
        <item x="15"/>
        <item x="62"/>
        <item x="13"/>
        <item x="44"/>
        <item x="67"/>
      </items>
    </pivotField>
    <pivotField axis="axisRow" showAll="0" defaultSubtotal="0">
      <items count="135">
        <item x="75"/>
        <item x="12"/>
        <item x="65"/>
        <item x="29"/>
        <item x="45"/>
        <item x="102"/>
        <item x="66"/>
        <item x="89"/>
        <item x="103"/>
        <item x="90"/>
        <item x="24"/>
        <item x="129"/>
        <item x="25"/>
        <item x="130"/>
        <item x="113"/>
        <item x="131"/>
        <item x="64"/>
        <item x="108"/>
        <item x="46"/>
        <item x="76"/>
        <item x="47"/>
        <item x="48"/>
        <item x="122"/>
        <item x="49"/>
        <item x="50"/>
        <item x="67"/>
        <item x="86"/>
        <item x="51"/>
        <item x="87"/>
        <item x="123"/>
        <item x="68"/>
        <item x="52"/>
        <item x="132"/>
        <item x="93"/>
        <item x="40"/>
        <item x="79"/>
        <item x="109"/>
        <item x="53"/>
        <item x="54"/>
        <item x="94"/>
        <item x="35"/>
        <item x="33"/>
        <item x="101"/>
        <item x="111"/>
        <item x="112"/>
        <item x="124"/>
        <item x="104"/>
        <item x="95"/>
        <item x="110"/>
        <item x="80"/>
        <item x="43"/>
        <item x="125"/>
        <item x="114"/>
        <item x="128"/>
        <item x="105"/>
        <item x="69"/>
        <item x="88"/>
        <item x="21"/>
        <item x="22"/>
        <item x="34"/>
        <item x="55"/>
        <item x="133"/>
        <item x="77"/>
        <item x="36"/>
        <item x="23"/>
        <item x="5"/>
        <item x="10"/>
        <item x="134"/>
        <item x="56"/>
        <item x="57"/>
        <item x="37"/>
        <item x="18"/>
        <item x="115"/>
        <item x="38"/>
        <item x="31"/>
        <item x="32"/>
        <item x="9"/>
        <item x="83"/>
        <item x="116"/>
        <item x="20"/>
        <item x="19"/>
        <item x="0"/>
        <item x="91"/>
        <item x="117"/>
        <item x="92"/>
        <item x="100"/>
        <item x="118"/>
        <item x="58"/>
        <item x="96"/>
        <item x="59"/>
        <item x="70"/>
        <item x="97"/>
        <item x="11"/>
        <item x="60"/>
        <item x="15"/>
        <item x="28"/>
        <item x="106"/>
        <item x="71"/>
        <item x="27"/>
        <item x="6"/>
        <item x="78"/>
        <item x="85"/>
        <item x="3"/>
        <item x="1"/>
        <item x="14"/>
        <item x="39"/>
        <item x="84"/>
        <item x="61"/>
        <item x="7"/>
        <item x="2"/>
        <item x="17"/>
        <item x="62"/>
        <item x="126"/>
        <item x="72"/>
        <item x="73"/>
        <item x="98"/>
        <item x="119"/>
        <item x="26"/>
        <item x="41"/>
        <item x="120"/>
        <item x="16"/>
        <item x="4"/>
        <item x="74"/>
        <item x="13"/>
        <item x="30"/>
        <item x="44"/>
        <item x="63"/>
        <item x="107"/>
        <item x="81"/>
        <item x="121"/>
        <item x="8"/>
        <item x="127"/>
        <item x="99"/>
        <item x="82"/>
        <item x="4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18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39">
        <item x="133"/>
        <item x="132"/>
        <item x="130"/>
        <item x="129"/>
        <item x="128"/>
        <item x="127"/>
        <item x="126"/>
        <item x="125"/>
        <item x="124"/>
        <item x="123"/>
        <item x="134"/>
        <item x="131"/>
        <item x="135"/>
        <item x="122"/>
        <item x="121"/>
        <item x="120"/>
        <item x="106"/>
        <item x="105"/>
        <item x="85"/>
        <item x="89"/>
        <item x="84"/>
        <item x="88"/>
        <item x="83"/>
        <item x="104"/>
        <item x="82"/>
        <item x="53"/>
        <item x="52"/>
        <item x="118"/>
        <item x="65"/>
        <item x="64"/>
        <item x="63"/>
        <item x="113"/>
        <item x="87"/>
        <item x="62"/>
        <item x="51"/>
        <item x="50"/>
        <item x="81"/>
        <item x="49"/>
        <item x="61"/>
        <item x="48"/>
        <item x="47"/>
        <item x="46"/>
        <item x="76"/>
        <item x="101"/>
        <item x="80"/>
        <item x="100"/>
        <item x="99"/>
        <item x="60"/>
        <item x="75"/>
        <item x="138"/>
        <item x="79"/>
        <item x="45"/>
        <item x="119"/>
        <item x="112"/>
        <item x="74"/>
        <item x="44"/>
        <item x="43"/>
        <item x="59"/>
        <item x="73"/>
        <item x="72"/>
        <item x="117"/>
        <item x="103"/>
        <item x="98"/>
        <item x="71"/>
        <item x="102"/>
        <item x="86"/>
        <item x="58"/>
        <item x="57"/>
        <item x="136"/>
        <item x="116"/>
        <item x="115"/>
        <item x="97"/>
        <item x="56"/>
        <item x="42"/>
        <item x="96"/>
        <item x="95"/>
        <item x="111"/>
        <item x="55"/>
        <item x="114"/>
        <item x="54"/>
        <item x="41"/>
        <item x="40"/>
        <item x="70"/>
        <item x="110"/>
        <item x="78"/>
        <item x="77"/>
        <item x="39"/>
        <item x="94"/>
        <item x="93"/>
        <item x="36"/>
        <item x="69"/>
        <item x="35"/>
        <item x="34"/>
        <item x="38"/>
        <item x="68"/>
        <item x="37"/>
        <item x="33"/>
        <item x="32"/>
        <item x="109"/>
        <item x="137"/>
        <item x="31"/>
        <item x="30"/>
        <item x="29"/>
        <item x="92"/>
        <item x="28"/>
        <item x="91"/>
        <item x="108"/>
        <item x="67"/>
        <item x="27"/>
        <item x="26"/>
        <item x="25"/>
        <item x="24"/>
        <item x="90"/>
        <item x="23"/>
        <item x="107"/>
        <item x="22"/>
        <item x="66"/>
        <item x="21"/>
        <item x="17"/>
        <item x="16"/>
        <item x="15"/>
        <item x="14"/>
        <item x="13"/>
        <item x="12"/>
        <item x="11"/>
        <item x="20"/>
        <item x="10"/>
        <item x="9"/>
        <item x="19"/>
        <item x="8"/>
        <item x="7"/>
        <item x="6"/>
        <item x="5"/>
        <item x="18"/>
        <item x="4"/>
        <item x="3"/>
        <item x="2"/>
        <item x="1"/>
        <item x="0"/>
      </items>
    </pivotField>
    <pivotField dataField="1" showAll="0" defaultSubtotal="0">
      <items count="305">
        <item x="261"/>
        <item x="188"/>
        <item x="285"/>
        <item x="159"/>
        <item x="298"/>
        <item x="111"/>
        <item x="48"/>
        <item x="47"/>
        <item x="32"/>
        <item x="31"/>
        <item x="17"/>
        <item x="72"/>
        <item x="129"/>
        <item x="16"/>
        <item x="193"/>
        <item x="96"/>
        <item x="71"/>
        <item x="119"/>
        <item x="15"/>
        <item x="70"/>
        <item x="212"/>
        <item x="95"/>
        <item x="14"/>
        <item x="13"/>
        <item x="110"/>
        <item x="118"/>
        <item x="12"/>
        <item x="94"/>
        <item x="128"/>
        <item x="11"/>
        <item x="291"/>
        <item x="83"/>
        <item x="211"/>
        <item x="60"/>
        <item x="30"/>
        <item x="69"/>
        <item x="46"/>
        <item x="10"/>
        <item x="59"/>
        <item x="279"/>
        <item x="29"/>
        <item x="45"/>
        <item x="127"/>
        <item x="9"/>
        <item x="93"/>
        <item x="117"/>
        <item x="290"/>
        <item x="152"/>
        <item x="44"/>
        <item x="28"/>
        <item x="58"/>
        <item x="116"/>
        <item x="8"/>
        <item x="68"/>
        <item x="43"/>
        <item x="109"/>
        <item x="115"/>
        <item x="144"/>
        <item x="7"/>
        <item x="202"/>
        <item x="180"/>
        <item x="108"/>
        <item x="42"/>
        <item x="107"/>
        <item x="27"/>
        <item x="106"/>
        <item x="219"/>
        <item x="26"/>
        <item x="192"/>
        <item x="82"/>
        <item x="92"/>
        <item x="57"/>
        <item x="25"/>
        <item x="170"/>
        <item x="105"/>
        <item x="67"/>
        <item x="225"/>
        <item x="304"/>
        <item x="158"/>
        <item x="24"/>
        <item x="252"/>
        <item x="91"/>
        <item x="126"/>
        <item x="218"/>
        <item x="289"/>
        <item x="151"/>
        <item x="66"/>
        <item x="179"/>
        <item x="81"/>
        <item x="6"/>
        <item x="5"/>
        <item x="41"/>
        <item x="143"/>
        <item x="224"/>
        <item x="169"/>
        <item x="137"/>
        <item x="80"/>
        <item x="104"/>
        <item x="56"/>
        <item x="187"/>
        <item x="178"/>
        <item x="251"/>
        <item x="40"/>
        <item x="264"/>
        <item x="90"/>
        <item x="39"/>
        <item x="103"/>
        <item x="125"/>
        <item x="142"/>
        <item x="177"/>
        <item x="114"/>
        <item x="231"/>
        <item x="168"/>
        <item x="257"/>
        <item x="237"/>
        <item x="201"/>
        <item x="288"/>
        <item x="303"/>
        <item x="150"/>
        <item x="250"/>
        <item x="243"/>
        <item x="89"/>
        <item x="23"/>
        <item x="210"/>
        <item x="223"/>
        <item x="197"/>
        <item x="79"/>
        <item x="186"/>
        <item x="55"/>
        <item x="102"/>
        <item x="209"/>
        <item x="136"/>
        <item x="284"/>
        <item x="124"/>
        <item x="297"/>
        <item x="78"/>
        <item x="135"/>
        <item x="141"/>
        <item x="157"/>
        <item x="230"/>
        <item x="134"/>
        <item x="22"/>
        <item x="196"/>
        <item x="133"/>
        <item x="65"/>
        <item x="4"/>
        <item x="236"/>
        <item x="217"/>
        <item x="222"/>
        <item x="77"/>
        <item x="149"/>
        <item x="76"/>
        <item x="167"/>
        <item x="296"/>
        <item x="88"/>
        <item x="229"/>
        <item x="242"/>
        <item x="302"/>
        <item x="38"/>
        <item x="54"/>
        <item x="235"/>
        <item x="208"/>
        <item x="293"/>
        <item x="241"/>
        <item x="53"/>
        <item x="274"/>
        <item x="228"/>
        <item x="200"/>
        <item x="207"/>
        <item x="166"/>
        <item x="132"/>
        <item x="131"/>
        <item x="283"/>
        <item x="75"/>
        <item x="216"/>
        <item x="101"/>
        <item x="123"/>
        <item x="185"/>
        <item x="148"/>
        <item x="87"/>
        <item x="52"/>
        <item x="100"/>
        <item x="64"/>
        <item x="282"/>
        <item x="256"/>
        <item x="176"/>
        <item x="3"/>
        <item x="140"/>
        <item x="37"/>
        <item x="249"/>
        <item x="156"/>
        <item x="139"/>
        <item x="51"/>
        <item x="36"/>
        <item x="130"/>
        <item x="63"/>
        <item x="86"/>
        <item x="21"/>
        <item x="147"/>
        <item x="240"/>
        <item x="191"/>
        <item x="50"/>
        <item x="234"/>
        <item x="175"/>
        <item x="239"/>
        <item x="278"/>
        <item x="49"/>
        <item x="206"/>
        <item x="2"/>
        <item x="184"/>
        <item x="174"/>
        <item x="205"/>
        <item x="113"/>
        <item x="146"/>
        <item x="247"/>
        <item x="204"/>
        <item x="227"/>
        <item x="85"/>
        <item x="190"/>
        <item x="35"/>
        <item x="155"/>
        <item x="1"/>
        <item x="246"/>
        <item x="138"/>
        <item x="183"/>
        <item x="165"/>
        <item x="255"/>
        <item x="99"/>
        <item x="215"/>
        <item x="238"/>
        <item x="199"/>
        <item x="173"/>
        <item x="122"/>
        <item x="20"/>
        <item x="172"/>
        <item x="233"/>
        <item x="270"/>
        <item x="98"/>
        <item x="34"/>
        <item x="182"/>
        <item x="84"/>
        <item x="112"/>
        <item x="267"/>
        <item x="164"/>
        <item x="226"/>
        <item x="62"/>
        <item x="221"/>
        <item x="287"/>
        <item x="162"/>
        <item x="33"/>
        <item x="171"/>
        <item x="163"/>
        <item x="189"/>
        <item x="19"/>
        <item x="214"/>
        <item x="286"/>
        <item x="74"/>
        <item x="301"/>
        <item x="121"/>
        <item x="260"/>
        <item x="245"/>
        <item x="213"/>
        <item x="292"/>
        <item x="73"/>
        <item x="273"/>
        <item x="0"/>
        <item x="263"/>
        <item x="300"/>
        <item x="97"/>
        <item x="281"/>
        <item x="277"/>
        <item x="244"/>
        <item x="181"/>
        <item x="145"/>
        <item x="154"/>
        <item x="203"/>
        <item x="271"/>
        <item x="18"/>
        <item x="232"/>
        <item x="198"/>
        <item x="195"/>
        <item x="220"/>
        <item x="161"/>
        <item x="276"/>
        <item x="269"/>
        <item x="120"/>
        <item x="194"/>
        <item x="266"/>
        <item x="153"/>
        <item x="272"/>
        <item x="280"/>
        <item x="61"/>
        <item x="295"/>
        <item x="299"/>
        <item x="254"/>
        <item x="160"/>
        <item x="248"/>
        <item x="268"/>
        <item x="275"/>
        <item x="253"/>
        <item x="294"/>
        <item x="259"/>
        <item x="262"/>
        <item x="265"/>
        <item x="258"/>
      </items>
    </pivotField>
    <pivotField dataField="1" showAll="0" defaultSubtotal="0">
      <items count="124">
        <item x="120"/>
        <item x="93"/>
        <item x="122"/>
        <item x="85"/>
        <item x="91"/>
        <item x="76"/>
        <item x="86"/>
        <item x="56"/>
        <item x="54"/>
        <item x="55"/>
        <item x="62"/>
        <item x="121"/>
        <item x="79"/>
        <item x="112"/>
        <item x="53"/>
        <item x="48"/>
        <item x="92"/>
        <item x="67"/>
        <item x="57"/>
        <item x="77"/>
        <item x="104"/>
        <item x="106"/>
        <item x="66"/>
        <item x="119"/>
        <item x="74"/>
        <item x="65"/>
        <item x="84"/>
        <item x="64"/>
        <item x="50"/>
        <item x="83"/>
        <item x="113"/>
        <item x="52"/>
        <item x="49"/>
        <item x="105"/>
        <item x="78"/>
        <item x="51"/>
        <item x="31"/>
        <item x="117"/>
        <item x="90"/>
        <item x="47"/>
        <item x="63"/>
        <item x="103"/>
        <item x="45"/>
        <item x="82"/>
        <item x="102"/>
        <item x="111"/>
        <item x="118"/>
        <item x="89"/>
        <item x="88"/>
        <item x="46"/>
        <item x="75"/>
        <item x="116"/>
        <item x="61"/>
        <item x="60"/>
        <item x="28"/>
        <item x="73"/>
        <item x="101"/>
        <item x="39"/>
        <item x="100"/>
        <item x="58"/>
        <item x="44"/>
        <item x="12"/>
        <item x="29"/>
        <item x="99"/>
        <item x="98"/>
        <item x="37"/>
        <item x="87"/>
        <item x="110"/>
        <item x="38"/>
        <item x="115"/>
        <item x="32"/>
        <item x="59"/>
        <item x="43"/>
        <item x="42"/>
        <item x="72"/>
        <item x="109"/>
        <item x="114"/>
        <item x="81"/>
        <item x="80"/>
        <item x="97"/>
        <item x="41"/>
        <item x="35"/>
        <item x="34"/>
        <item x="71"/>
        <item x="96"/>
        <item x="123"/>
        <item x="36"/>
        <item x="70"/>
        <item x="40"/>
        <item x="33"/>
        <item x="19"/>
        <item x="27"/>
        <item x="26"/>
        <item x="30"/>
        <item x="95"/>
        <item x="108"/>
        <item x="69"/>
        <item x="25"/>
        <item x="94"/>
        <item x="18"/>
        <item x="11"/>
        <item x="107"/>
        <item x="24"/>
        <item x="68"/>
        <item x="17"/>
        <item x="15"/>
        <item x="23"/>
        <item x="16"/>
        <item x="14"/>
        <item x="13"/>
        <item x="9"/>
        <item x="10"/>
        <item x="22"/>
        <item x="20"/>
        <item x="21"/>
        <item x="8"/>
        <item x="5"/>
        <item x="6"/>
        <item x="7"/>
        <item x="4"/>
        <item x="3"/>
        <item x="2"/>
        <item x="0"/>
        <item x="1"/>
      </items>
    </pivotField>
    <pivotField dataField="1" showAll="0" defaultSubtotal="0">
      <items count="387">
        <item x="189"/>
        <item x="112"/>
        <item x="139"/>
        <item x="314"/>
        <item x="125"/>
        <item x="12"/>
        <item x="98"/>
        <item x="365"/>
        <item x="361"/>
        <item x="322"/>
        <item x="81"/>
        <item x="110"/>
        <item x="164"/>
        <item x="301"/>
        <item x="137"/>
        <item x="54"/>
        <item x="332"/>
        <item x="99"/>
        <item x="52"/>
        <item x="18"/>
        <item x="29"/>
        <item x="256"/>
        <item x="157"/>
        <item x="53"/>
        <item x="313"/>
        <item x="156"/>
        <item x="333"/>
        <item x="114"/>
        <item x="158"/>
        <item x="324"/>
        <item x="268"/>
        <item x="62"/>
        <item x="82"/>
        <item x="293"/>
        <item x="278"/>
        <item x="144"/>
        <item x="101"/>
        <item x="369"/>
        <item x="299"/>
        <item x="193"/>
        <item x="247"/>
        <item x="26"/>
        <item x="360"/>
        <item x="141"/>
        <item x="130"/>
        <item x="51"/>
        <item x="238"/>
        <item x="84"/>
        <item x="194"/>
        <item x="11"/>
        <item x="229"/>
        <item x="47"/>
        <item x="311"/>
        <item x="265"/>
        <item x="145"/>
        <item x="27"/>
        <item x="371"/>
        <item x="296"/>
        <item x="274"/>
        <item x="128"/>
        <item x="35"/>
        <item x="69"/>
        <item x="55"/>
        <item x="78"/>
        <item x="310"/>
        <item x="231"/>
        <item x="285"/>
        <item x="68"/>
        <item x="36"/>
        <item x="220"/>
        <item x="249"/>
        <item x="203"/>
        <item x="30"/>
        <item x="143"/>
        <item x="366"/>
        <item x="159"/>
        <item x="379"/>
        <item x="75"/>
        <item x="306"/>
        <item x="161"/>
        <item x="17"/>
        <item x="160"/>
        <item x="111"/>
        <item x="191"/>
        <item x="153"/>
        <item x="66"/>
        <item x="80"/>
        <item x="154"/>
        <item x="15"/>
        <item x="179"/>
        <item x="86"/>
        <item x="155"/>
        <item x="370"/>
        <item x="96"/>
        <item x="177"/>
        <item x="16"/>
        <item x="221"/>
        <item x="85"/>
        <item x="267"/>
        <item x="230"/>
        <item x="65"/>
        <item x="339"/>
        <item x="386"/>
        <item x="33"/>
        <item x="113"/>
        <item x="142"/>
        <item x="32"/>
        <item x="83"/>
        <item x="312"/>
        <item x="297"/>
        <item x="277"/>
        <item x="14"/>
        <item x="178"/>
        <item x="13"/>
        <item x="242"/>
        <item x="9"/>
        <item x="100"/>
        <item x="190"/>
        <item x="34"/>
        <item x="10"/>
        <item x="227"/>
        <item x="200"/>
        <item x="286"/>
        <item x="152"/>
        <item x="129"/>
        <item x="315"/>
        <item x="127"/>
        <item x="50"/>
        <item x="192"/>
        <item x="359"/>
        <item x="151"/>
        <item x="48"/>
        <item x="176"/>
        <item x="94"/>
        <item x="368"/>
        <item x="31"/>
        <item x="295"/>
        <item x="330"/>
        <item x="228"/>
        <item x="67"/>
        <item x="109"/>
        <item x="97"/>
        <item x="175"/>
        <item x="126"/>
        <item x="25"/>
        <item x="49"/>
        <item x="323"/>
        <item x="334"/>
        <item x="357"/>
        <item x="131"/>
        <item x="266"/>
        <item x="24"/>
        <item x="309"/>
        <item x="381"/>
        <item x="8"/>
        <item x="170"/>
        <item x="302"/>
        <item x="188"/>
        <item x="236"/>
        <item x="63"/>
        <item x="108"/>
        <item x="95"/>
        <item x="287"/>
        <item x="46"/>
        <item x="79"/>
        <item x="201"/>
        <item x="28"/>
        <item x="5"/>
        <item x="358"/>
        <item x="124"/>
        <item x="76"/>
        <item x="64"/>
        <item x="367"/>
        <item x="382"/>
        <item x="351"/>
        <item x="6"/>
        <item x="122"/>
        <item x="255"/>
        <item x="331"/>
        <item x="44"/>
        <item x="174"/>
        <item x="374"/>
        <item x="77"/>
        <item x="294"/>
        <item x="91"/>
        <item x="138"/>
        <item x="219"/>
        <item x="171"/>
        <item x="321"/>
        <item x="93"/>
        <item x="172"/>
        <item x="344"/>
        <item x="140"/>
        <item x="173"/>
        <item x="380"/>
        <item x="186"/>
        <item x="210"/>
        <item x="226"/>
        <item x="283"/>
        <item x="121"/>
        <item x="7"/>
        <item x="136"/>
        <item x="202"/>
        <item x="187"/>
        <item x="120"/>
        <item x="45"/>
        <item x="254"/>
        <item x="218"/>
        <item x="123"/>
        <item x="264"/>
        <item x="185"/>
        <item x="168"/>
        <item x="248"/>
        <item x="338"/>
        <item x="385"/>
        <item x="169"/>
        <item x="107"/>
        <item x="23"/>
        <item x="165"/>
        <item x="292"/>
        <item x="61"/>
        <item x="241"/>
        <item x="43"/>
        <item x="167"/>
        <item x="364"/>
        <item x="92"/>
        <item x="217"/>
        <item x="150"/>
        <item x="356"/>
        <item x="59"/>
        <item x="245"/>
        <item x="166"/>
        <item x="259"/>
        <item x="60"/>
        <item x="37"/>
        <item x="184"/>
        <item x="117"/>
        <item x="291"/>
        <item x="276"/>
        <item x="329"/>
        <item x="300"/>
        <item x="263"/>
        <item x="235"/>
        <item x="378"/>
        <item x="284"/>
        <item x="216"/>
        <item x="183"/>
        <item x="246"/>
        <item x="42"/>
        <item x="290"/>
        <item x="182"/>
        <item x="90"/>
        <item x="275"/>
        <item x="4"/>
        <item x="355"/>
        <item x="56"/>
        <item x="22"/>
        <item x="106"/>
        <item x="198"/>
        <item x="262"/>
        <item x="105"/>
        <item x="213"/>
        <item x="89"/>
        <item x="320"/>
        <item x="239"/>
        <item x="354"/>
        <item x="149"/>
        <item x="74"/>
        <item x="273"/>
        <item x="261"/>
        <item x="307"/>
        <item x="377"/>
        <item x="328"/>
        <item x="135"/>
        <item x="225"/>
        <item x="207"/>
        <item x="282"/>
        <item x="232"/>
        <item x="119"/>
        <item x="253"/>
        <item x="214"/>
        <item x="289"/>
        <item x="102"/>
        <item x="308"/>
        <item x="199"/>
        <item x="181"/>
        <item x="118"/>
        <item x="163"/>
        <item x="3"/>
        <item x="240"/>
        <item x="224"/>
        <item x="58"/>
        <item x="373"/>
        <item x="260"/>
        <item x="304"/>
        <item x="41"/>
        <item x="73"/>
        <item x="197"/>
        <item x="363"/>
        <item x="326"/>
        <item x="258"/>
        <item x="57"/>
        <item x="104"/>
        <item x="327"/>
        <item x="40"/>
        <item x="281"/>
        <item x="251"/>
        <item x="134"/>
        <item x="272"/>
        <item x="211"/>
        <item x="223"/>
        <item x="72"/>
        <item x="196"/>
        <item x="271"/>
        <item x="233"/>
        <item x="305"/>
        <item x="2"/>
        <item x="148"/>
        <item x="162"/>
        <item x="252"/>
        <item x="215"/>
        <item x="222"/>
        <item x="337"/>
        <item x="103"/>
        <item x="384"/>
        <item x="319"/>
        <item x="180"/>
        <item x="0"/>
        <item x="288"/>
        <item x="39"/>
        <item x="317"/>
        <item x="1"/>
        <item x="318"/>
        <item x="116"/>
        <item x="342"/>
        <item x="212"/>
        <item x="206"/>
        <item x="21"/>
        <item x="350"/>
        <item x="279"/>
        <item x="237"/>
        <item x="270"/>
        <item x="353"/>
        <item x="372"/>
        <item x="303"/>
        <item x="38"/>
        <item x="133"/>
        <item x="383"/>
        <item x="147"/>
        <item x="280"/>
        <item x="88"/>
        <item x="19"/>
        <item x="234"/>
        <item x="132"/>
        <item x="87"/>
        <item x="71"/>
        <item x="362"/>
        <item x="269"/>
        <item x="195"/>
        <item x="20"/>
        <item x="346"/>
        <item x="257"/>
        <item x="115"/>
        <item x="244"/>
        <item x="349"/>
        <item x="205"/>
        <item x="316"/>
        <item x="250"/>
        <item x="209"/>
        <item x="348"/>
        <item x="146"/>
        <item x="298"/>
        <item x="376"/>
        <item x="352"/>
        <item x="243"/>
        <item x="70"/>
        <item x="347"/>
        <item x="336"/>
        <item x="325"/>
        <item x="204"/>
        <item x="335"/>
        <item x="341"/>
        <item x="340"/>
        <item x="375"/>
        <item x="208"/>
        <item x="343"/>
        <item x="345"/>
      </items>
    </pivotField>
    <pivotField dataField="1" showAll="0" defaultSubtotal="0">
      <items count="68">
        <item x="39"/>
        <item x="43"/>
        <item x="51"/>
        <item x="40"/>
        <item x="41"/>
        <item x="48"/>
        <item x="30"/>
        <item x="53"/>
        <item x="50"/>
        <item x="46"/>
        <item x="54"/>
        <item x="55"/>
        <item x="47"/>
        <item x="42"/>
        <item x="44"/>
        <item x="52"/>
        <item x="59"/>
        <item x="21"/>
        <item x="32"/>
        <item x="49"/>
        <item x="7"/>
        <item x="63"/>
        <item x="58"/>
        <item x="64"/>
        <item x="45"/>
        <item x="66"/>
        <item x="23"/>
        <item x="33"/>
        <item x="34"/>
        <item x="60"/>
        <item x="56"/>
        <item x="1"/>
        <item x="24"/>
        <item x="67"/>
        <item x="57"/>
        <item x="36"/>
        <item x="37"/>
        <item x="22"/>
        <item x="14"/>
        <item x="62"/>
        <item x="35"/>
        <item x="13"/>
        <item x="27"/>
        <item x="8"/>
        <item x="26"/>
        <item x="25"/>
        <item x="65"/>
        <item x="16"/>
        <item x="38"/>
        <item x="61"/>
        <item x="4"/>
        <item x="2"/>
        <item x="17"/>
        <item x="10"/>
        <item x="3"/>
        <item x="15"/>
        <item x="29"/>
        <item x="31"/>
        <item x="28"/>
        <item x="6"/>
        <item x="9"/>
        <item x="5"/>
        <item x="18"/>
        <item x="19"/>
        <item x="11"/>
        <item x="20"/>
        <item x="12"/>
        <item x="0"/>
      </items>
    </pivotField>
    <pivotField dataField="1" showAll="0" defaultSubtotal="0">
      <items count="249">
        <item x="39"/>
        <item x="101"/>
        <item x="44"/>
        <item x="30"/>
        <item x="7"/>
        <item x="114"/>
        <item x="108"/>
        <item x="84"/>
        <item x="67"/>
        <item x="1"/>
        <item x="93"/>
        <item x="69"/>
        <item x="53"/>
        <item x="137"/>
        <item x="41"/>
        <item x="14"/>
        <item x="107"/>
        <item x="21"/>
        <item x="85"/>
        <item x="13"/>
        <item x="8"/>
        <item x="76"/>
        <item x="111"/>
        <item x="96"/>
        <item x="42"/>
        <item x="60"/>
        <item x="234"/>
        <item x="65"/>
        <item x="129"/>
        <item x="105"/>
        <item x="16"/>
        <item x="86"/>
        <item x="48"/>
        <item x="64"/>
        <item x="4"/>
        <item x="23"/>
        <item x="94"/>
        <item x="33"/>
        <item x="2"/>
        <item x="34"/>
        <item x="40"/>
        <item x="200"/>
        <item x="120"/>
        <item x="63"/>
        <item x="17"/>
        <item x="10"/>
        <item x="56"/>
        <item x="3"/>
        <item x="103"/>
        <item x="66"/>
        <item x="24"/>
        <item x="15"/>
        <item x="123"/>
        <item x="77"/>
        <item x="99"/>
        <item x="51"/>
        <item x="181"/>
        <item x="36"/>
        <item x="37"/>
        <item x="157"/>
        <item x="97"/>
        <item x="119"/>
        <item x="6"/>
        <item x="74"/>
        <item x="132"/>
        <item x="22"/>
        <item x="58"/>
        <item x="176"/>
        <item x="168"/>
        <item x="122"/>
        <item x="216"/>
        <item x="113"/>
        <item x="134"/>
        <item x="9"/>
        <item x="35"/>
        <item x="243"/>
        <item x="194"/>
        <item x="5"/>
        <item x="27"/>
        <item x="104"/>
        <item x="230"/>
        <item x="47"/>
        <item x="201"/>
        <item x="128"/>
        <item x="26"/>
        <item x="117"/>
        <item x="25"/>
        <item x="43"/>
        <item x="87"/>
        <item x="79"/>
        <item x="208"/>
        <item x="61"/>
        <item x="138"/>
        <item x="45"/>
        <item x="18"/>
        <item x="100"/>
        <item x="178"/>
        <item x="73"/>
        <item x="192"/>
        <item x="125"/>
        <item x="133"/>
        <item x="214"/>
        <item x="32"/>
        <item x="182"/>
        <item x="59"/>
        <item x="121"/>
        <item x="98"/>
        <item x="198"/>
        <item x="136"/>
        <item x="50"/>
        <item x="156"/>
        <item x="106"/>
        <item x="54"/>
        <item x="75"/>
        <item x="163"/>
        <item x="89"/>
        <item x="71"/>
        <item x="109"/>
        <item x="49"/>
        <item x="143"/>
        <item x="115"/>
        <item x="164"/>
        <item x="170"/>
        <item x="190"/>
        <item x="55"/>
        <item x="19"/>
        <item x="172"/>
        <item x="11"/>
        <item x="135"/>
        <item x="92"/>
        <item x="238"/>
        <item x="205"/>
        <item x="241"/>
        <item x="195"/>
        <item x="188"/>
        <item x="81"/>
        <item x="215"/>
        <item x="116"/>
        <item x="68"/>
        <item x="231"/>
        <item x="72"/>
        <item x="127"/>
        <item x="207"/>
        <item x="29"/>
        <item x="142"/>
        <item x="91"/>
        <item x="204"/>
        <item x="189"/>
        <item x="31"/>
        <item x="152"/>
        <item x="237"/>
        <item x="46"/>
        <item x="70"/>
        <item x="126"/>
        <item x="162"/>
        <item x="246"/>
        <item x="28"/>
        <item x="212"/>
        <item x="219"/>
        <item x="90"/>
        <item x="112"/>
        <item x="131"/>
        <item x="124"/>
        <item x="180"/>
        <item x="144"/>
        <item x="140"/>
        <item x="118"/>
        <item x="82"/>
        <item x="218"/>
        <item x="12"/>
        <item x="199"/>
        <item x="186"/>
        <item x="78"/>
        <item x="191"/>
        <item x="210"/>
        <item x="146"/>
        <item x="158"/>
        <item x="206"/>
        <item x="232"/>
        <item x="160"/>
        <item x="229"/>
        <item x="236"/>
        <item x="211"/>
        <item x="52"/>
        <item x="166"/>
        <item x="169"/>
        <item x="224"/>
        <item x="175"/>
        <item x="155"/>
        <item x="102"/>
        <item x="217"/>
        <item x="245"/>
        <item x="203"/>
        <item x="80"/>
        <item x="179"/>
        <item x="197"/>
        <item x="161"/>
        <item x="88"/>
        <item x="185"/>
        <item x="141"/>
        <item x="202"/>
        <item x="209"/>
        <item x="171"/>
        <item x="151"/>
        <item x="57"/>
        <item x="233"/>
        <item x="62"/>
        <item x="247"/>
        <item x="83"/>
        <item x="184"/>
        <item x="145"/>
        <item x="0"/>
        <item x="154"/>
        <item x="167"/>
        <item x="235"/>
        <item x="196"/>
        <item x="174"/>
        <item x="177"/>
        <item x="221"/>
        <item x="95"/>
        <item x="242"/>
        <item x="148"/>
        <item x="20"/>
        <item x="139"/>
        <item x="244"/>
        <item x="110"/>
        <item x="153"/>
        <item x="183"/>
        <item x="38"/>
        <item x="248"/>
        <item x="173"/>
        <item x="213"/>
        <item x="150"/>
        <item x="240"/>
        <item x="187"/>
        <item x="159"/>
        <item x="193"/>
        <item x="147"/>
        <item x="130"/>
        <item x="149"/>
        <item x="220"/>
        <item x="227"/>
        <item x="165"/>
        <item x="226"/>
        <item x="223"/>
        <item x="239"/>
        <item x="225"/>
        <item x="222"/>
        <item x="228"/>
      </items>
    </pivotField>
    <pivotField dataField="1" showAll="0" defaultSubtotal="0">
      <items count="5">
        <item x="0"/>
        <item x="1"/>
        <item x="3"/>
        <item x="4"/>
        <item x="2"/>
      </items>
    </pivotField>
  </pivotFields>
  <rowFields count="3">
    <field x="2"/>
    <field x="6"/>
    <field x="5"/>
  </rowFields>
  <rowItems count="1099">
    <i>
      <x/>
    </i>
    <i r="1">
      <x/>
      <x v="81"/>
    </i>
    <i r="1">
      <x v="1"/>
      <x v="103"/>
    </i>
    <i r="1">
      <x v="2"/>
      <x v="109"/>
    </i>
    <i r="1">
      <x v="3"/>
      <x v="102"/>
    </i>
    <i r="1">
      <x v="4"/>
      <x v="121"/>
    </i>
    <i r="1">
      <x v="5"/>
      <x v="65"/>
    </i>
    <i r="2">
      <x v="99"/>
    </i>
    <i r="1">
      <x v="7"/>
      <x v="108"/>
    </i>
    <i r="1">
      <x v="8"/>
      <x v="130"/>
    </i>
    <i r="1">
      <x v="9"/>
      <x v="76"/>
    </i>
    <i r="1">
      <x v="10"/>
      <x v="66"/>
    </i>
    <i r="1">
      <x v="11"/>
      <x v="92"/>
    </i>
    <i r="1">
      <x v="12"/>
      <x v="1"/>
    </i>
    <i r="1">
      <x v="13"/>
      <x v="123"/>
    </i>
    <i r="1">
      <x v="14"/>
      <x v="104"/>
    </i>
    <i r="1">
      <x v="15"/>
      <x v="94"/>
    </i>
    <i r="1">
      <x v="16"/>
      <x v="120"/>
    </i>
    <i r="1">
      <x v="17"/>
      <x v="110"/>
    </i>
    <i r="1">
      <x v="18"/>
      <x v="71"/>
    </i>
    <i r="2">
      <x v="80"/>
    </i>
    <i t="blank">
      <x/>
    </i>
    <i>
      <x v="1"/>
    </i>
    <i r="1">
      <x/>
      <x v="81"/>
    </i>
    <i r="1">
      <x v="1"/>
      <x v="103"/>
    </i>
    <i r="1">
      <x v="2"/>
      <x v="102"/>
    </i>
    <i r="1">
      <x v="3"/>
      <x v="109"/>
    </i>
    <i r="1">
      <x v="4"/>
      <x v="121"/>
    </i>
    <i r="1">
      <x v="5"/>
      <x v="99"/>
    </i>
    <i r="1">
      <x v="6"/>
      <x v="76"/>
    </i>
    <i r="1">
      <x v="7"/>
      <x v="65"/>
    </i>
    <i r="1">
      <x v="8"/>
      <x v="80"/>
    </i>
    <i r="1">
      <x v="9"/>
      <x v="92"/>
    </i>
    <i r="1">
      <x v="10"/>
      <x v="108"/>
    </i>
    <i r="1">
      <x v="11"/>
      <x v="79"/>
    </i>
    <i r="1">
      <x v="12"/>
      <x v="71"/>
    </i>
    <i r="1">
      <x v="13"/>
      <x v="123"/>
    </i>
    <i r="1">
      <x v="14"/>
      <x v="120"/>
    </i>
    <i r="1">
      <x v="15"/>
      <x v="57"/>
    </i>
    <i r="2">
      <x v="104"/>
    </i>
    <i r="1">
      <x v="17"/>
      <x v="58"/>
    </i>
    <i r="1">
      <x v="18"/>
      <x v="64"/>
    </i>
    <i r="1">
      <x v="19"/>
      <x v="110"/>
    </i>
    <i t="blank">
      <x v="1"/>
    </i>
    <i>
      <x v="2"/>
    </i>
    <i r="1">
      <x/>
      <x v="81"/>
    </i>
    <i r="1">
      <x v="1"/>
      <x v="103"/>
    </i>
    <i r="1">
      <x v="2"/>
      <x v="109"/>
    </i>
    <i r="1">
      <x v="3"/>
      <x v="102"/>
    </i>
    <i r="1">
      <x v="4"/>
      <x v="121"/>
    </i>
    <i r="1">
      <x v="5"/>
      <x v="66"/>
    </i>
    <i r="1">
      <x v="6"/>
      <x v="108"/>
    </i>
    <i r="1">
      <x v="7"/>
      <x v="76"/>
    </i>
    <i r="1">
      <x v="8"/>
      <x v="130"/>
    </i>
    <i r="1">
      <x v="9"/>
      <x v="99"/>
    </i>
    <i r="1">
      <x v="10"/>
      <x v="92"/>
    </i>
    <i r="2">
      <x v="110"/>
    </i>
    <i r="1">
      <x v="12"/>
      <x v="65"/>
    </i>
    <i r="1">
      <x v="13"/>
      <x v="120"/>
    </i>
    <i r="1">
      <x v="14"/>
      <x v="123"/>
    </i>
    <i r="1">
      <x v="15"/>
      <x v="79"/>
    </i>
    <i r="1">
      <x v="16"/>
      <x v="80"/>
    </i>
    <i r="1">
      <x v="17"/>
      <x v="10"/>
    </i>
    <i r="2">
      <x v="12"/>
    </i>
    <i r="2">
      <x v="57"/>
    </i>
    <i t="blank">
      <x v="2"/>
    </i>
    <i>
      <x v="3"/>
    </i>
    <i r="1">
      <x/>
      <x v="81"/>
    </i>
    <i r="1">
      <x v="1"/>
      <x v="103"/>
    </i>
    <i r="1">
      <x v="2"/>
      <x v="109"/>
    </i>
    <i r="1">
      <x v="3"/>
      <x v="102"/>
    </i>
    <i r="1">
      <x v="4"/>
      <x v="94"/>
    </i>
    <i r="1">
      <x v="5"/>
      <x v="117"/>
    </i>
    <i r="1">
      <x v="6"/>
      <x v="99"/>
    </i>
    <i r="1">
      <x v="7"/>
      <x v="1"/>
    </i>
    <i r="2">
      <x v="65"/>
    </i>
    <i r="1">
      <x v="9"/>
      <x v="76"/>
    </i>
    <i r="2">
      <x v="98"/>
    </i>
    <i r="2">
      <x v="108"/>
    </i>
    <i r="1">
      <x v="12"/>
      <x v="64"/>
    </i>
    <i r="1">
      <x v="13"/>
      <x v="58"/>
    </i>
    <i r="2">
      <x v="121"/>
    </i>
    <i r="1">
      <x v="15"/>
      <x v="71"/>
    </i>
    <i r="2">
      <x v="92"/>
    </i>
    <i r="2">
      <x v="130"/>
    </i>
    <i r="1">
      <x v="18"/>
      <x v="104"/>
    </i>
    <i r="1">
      <x v="19"/>
      <x v="95"/>
    </i>
    <i t="blank">
      <x v="3"/>
    </i>
    <i>
      <x v="4"/>
    </i>
    <i r="1">
      <x/>
      <x v="81"/>
    </i>
    <i r="1">
      <x v="1"/>
      <x v="103"/>
    </i>
    <i r="1">
      <x v="2"/>
      <x v="102"/>
    </i>
    <i r="1">
      <x v="3"/>
      <x v="109"/>
    </i>
    <i r="1">
      <x v="4"/>
      <x v="121"/>
    </i>
    <i r="1">
      <x v="5"/>
      <x v="92"/>
    </i>
    <i r="1">
      <x v="6"/>
      <x v="99"/>
    </i>
    <i r="1">
      <x v="7"/>
      <x v="108"/>
    </i>
    <i r="1">
      <x v="8"/>
      <x v="80"/>
    </i>
    <i r="1">
      <x v="9"/>
      <x v="123"/>
    </i>
    <i r="1">
      <x v="10"/>
      <x v="65"/>
    </i>
    <i r="1">
      <x v="11"/>
      <x v="79"/>
    </i>
    <i r="1">
      <x v="12"/>
      <x v="12"/>
    </i>
    <i r="2">
      <x v="130"/>
    </i>
    <i r="1">
      <x v="14"/>
      <x v="3"/>
    </i>
    <i r="2">
      <x v="71"/>
    </i>
    <i r="2">
      <x v="76"/>
    </i>
    <i r="2">
      <x v="120"/>
    </i>
    <i r="2">
      <x v="124"/>
    </i>
    <i r="1">
      <x v="19"/>
      <x v="66"/>
    </i>
    <i t="blank">
      <x v="4"/>
    </i>
    <i>
      <x v="5"/>
    </i>
    <i r="1">
      <x/>
      <x v="109"/>
    </i>
    <i r="1">
      <x v="1"/>
      <x v="103"/>
    </i>
    <i r="1">
      <x v="2"/>
      <x v="102"/>
    </i>
    <i r="1">
      <x v="3"/>
      <x v="108"/>
    </i>
    <i r="1">
      <x v="4"/>
      <x v="81"/>
    </i>
    <i r="1">
      <x v="5"/>
      <x v="99"/>
    </i>
    <i r="1">
      <x v="6"/>
      <x v="74"/>
    </i>
    <i r="1">
      <x v="7"/>
      <x v="65"/>
    </i>
    <i r="1">
      <x v="8"/>
      <x v="121"/>
    </i>
    <i r="1">
      <x v="9"/>
      <x v="98"/>
    </i>
    <i r="2">
      <x v="104"/>
    </i>
    <i r="1">
      <x v="11"/>
      <x v="76"/>
    </i>
    <i r="2">
      <x v="130"/>
    </i>
    <i r="1">
      <x v="13"/>
      <x v="1"/>
    </i>
    <i r="1">
      <x v="14"/>
      <x v="92"/>
    </i>
    <i r="1">
      <x v="15"/>
      <x v="64"/>
    </i>
    <i r="2">
      <x v="66"/>
    </i>
    <i r="2">
      <x v="123"/>
    </i>
    <i r="1">
      <x v="18"/>
      <x v="71"/>
    </i>
    <i r="1">
      <x v="19"/>
      <x v="80"/>
    </i>
    <i t="blank">
      <x v="5"/>
    </i>
    <i>
      <x v="6"/>
    </i>
    <i r="1">
      <x/>
      <x v="81"/>
    </i>
    <i r="1">
      <x v="1"/>
      <x v="109"/>
    </i>
    <i r="1">
      <x v="2"/>
      <x v="103"/>
    </i>
    <i r="1">
      <x v="3"/>
      <x v="102"/>
    </i>
    <i r="1">
      <x v="4"/>
      <x v="121"/>
    </i>
    <i r="2">
      <x v="130"/>
    </i>
    <i r="1">
      <x v="6"/>
      <x v="65"/>
    </i>
    <i r="1">
      <x v="7"/>
      <x v="108"/>
    </i>
    <i r="1">
      <x v="8"/>
      <x v="1"/>
    </i>
    <i r="1">
      <x v="9"/>
      <x v="74"/>
    </i>
    <i r="1">
      <x v="10"/>
      <x v="120"/>
    </i>
    <i r="1">
      <x v="11"/>
      <x v="64"/>
    </i>
    <i r="1">
      <x v="12"/>
      <x v="92"/>
    </i>
    <i r="1">
      <x v="13"/>
      <x v="3"/>
    </i>
    <i r="2">
      <x v="76"/>
    </i>
    <i r="2">
      <x v="124"/>
    </i>
    <i r="1">
      <x v="16"/>
      <x v="66"/>
    </i>
    <i r="2">
      <x v="80"/>
    </i>
    <i r="2">
      <x v="98"/>
    </i>
    <i r="2">
      <x v="99"/>
    </i>
    <i t="blank">
      <x v="6"/>
    </i>
    <i>
      <x v="7"/>
    </i>
    <i r="1">
      <x/>
      <x v="103"/>
    </i>
    <i r="1">
      <x v="1"/>
      <x v="109"/>
    </i>
    <i r="1">
      <x v="2"/>
      <x v="81"/>
    </i>
    <i r="1">
      <x v="3"/>
      <x v="102"/>
    </i>
    <i r="1">
      <x v="4"/>
      <x v="121"/>
    </i>
    <i r="1">
      <x v="5"/>
      <x v="66"/>
    </i>
    <i r="1">
      <x v="6"/>
      <x v="130"/>
    </i>
    <i r="1">
      <x v="7"/>
      <x v="65"/>
    </i>
    <i r="1">
      <x v="8"/>
      <x v="108"/>
    </i>
    <i r="1">
      <x v="9"/>
      <x v="99"/>
    </i>
    <i r="1">
      <x v="10"/>
      <x v="79"/>
    </i>
    <i r="1">
      <x v="11"/>
      <x v="123"/>
    </i>
    <i r="1">
      <x v="12"/>
      <x v="76"/>
    </i>
    <i r="1">
      <x v="13"/>
      <x v="120"/>
    </i>
    <i r="1">
      <x v="14"/>
      <x v="110"/>
    </i>
    <i r="1">
      <x v="15"/>
      <x v="71"/>
    </i>
    <i r="1">
      <x v="16"/>
      <x v="57"/>
    </i>
    <i r="2">
      <x v="104"/>
    </i>
    <i r="1">
      <x v="18"/>
      <x v="92"/>
    </i>
    <i r="1">
      <x v="19"/>
      <x v="10"/>
    </i>
    <i t="blank">
      <x v="7"/>
    </i>
    <i>
      <x v="8"/>
    </i>
    <i r="1">
      <x/>
      <x v="81"/>
    </i>
    <i r="1">
      <x v="1"/>
      <x v="121"/>
    </i>
    <i r="1">
      <x v="2"/>
      <x v="109"/>
    </i>
    <i r="1">
      <x v="3"/>
      <x v="108"/>
    </i>
    <i r="1">
      <x v="4"/>
      <x v="130"/>
    </i>
    <i r="1">
      <x v="5"/>
      <x v="66"/>
    </i>
    <i r="1">
      <x v="6"/>
      <x v="3"/>
    </i>
    <i r="1">
      <x v="7"/>
      <x v="65"/>
    </i>
    <i r="2">
      <x v="120"/>
    </i>
    <i r="1">
      <x v="9"/>
      <x v="1"/>
    </i>
    <i r="1">
      <x v="10"/>
      <x v="123"/>
    </i>
    <i r="2">
      <x v="124"/>
    </i>
    <i r="1">
      <x v="12"/>
      <x v="10"/>
    </i>
    <i r="2">
      <x v="79"/>
    </i>
    <i r="1">
      <x v="14"/>
      <x v="110"/>
    </i>
    <i r="1">
      <x v="15"/>
      <x v="99"/>
    </i>
    <i r="1">
      <x v="16"/>
      <x v="92"/>
    </i>
    <i r="1">
      <x v="17"/>
      <x v="57"/>
    </i>
    <i r="2">
      <x v="71"/>
    </i>
    <i r="2">
      <x v="75"/>
    </i>
    <i t="blank">
      <x v="8"/>
    </i>
    <i>
      <x v="9"/>
    </i>
    <i r="1">
      <x/>
      <x v="81"/>
    </i>
    <i r="1">
      <x v="1"/>
      <x v="103"/>
    </i>
    <i r="1">
      <x v="2"/>
      <x v="109"/>
    </i>
    <i r="1">
      <x v="3"/>
      <x v="102"/>
    </i>
    <i r="1">
      <x v="4"/>
      <x v="108"/>
    </i>
    <i r="1">
      <x v="5"/>
      <x v="130"/>
    </i>
    <i r="1">
      <x v="6"/>
      <x v="121"/>
    </i>
    <i r="1">
      <x v="7"/>
      <x v="65"/>
    </i>
    <i r="1">
      <x v="8"/>
      <x v="66"/>
    </i>
    <i r="1">
      <x v="9"/>
      <x v="74"/>
    </i>
    <i r="1">
      <x v="10"/>
      <x v="110"/>
    </i>
    <i r="2">
      <x v="120"/>
    </i>
    <i r="1">
      <x v="12"/>
      <x v="76"/>
    </i>
    <i r="1">
      <x v="13"/>
      <x v="3"/>
    </i>
    <i r="1">
      <x v="14"/>
      <x v="92"/>
    </i>
    <i r="1">
      <x v="15"/>
      <x v="12"/>
    </i>
    <i r="1">
      <x v="16"/>
      <x v="10"/>
    </i>
    <i r="1">
      <x v="17"/>
      <x v="64"/>
    </i>
    <i r="2">
      <x v="80"/>
    </i>
    <i r="2">
      <x v="99"/>
    </i>
    <i r="2">
      <x v="123"/>
    </i>
    <i t="blank">
      <x v="9"/>
    </i>
    <i>
      <x v="10"/>
    </i>
    <i r="1">
      <x/>
      <x v="109"/>
    </i>
    <i r="1">
      <x v="1"/>
      <x v="103"/>
    </i>
    <i r="1">
      <x v="2"/>
      <x v="1"/>
    </i>
    <i r="1">
      <x v="3"/>
      <x v="81"/>
    </i>
    <i r="1">
      <x v="4"/>
      <x v="102"/>
    </i>
    <i r="1">
      <x v="5"/>
      <x v="121"/>
    </i>
    <i r="1">
      <x v="6"/>
      <x v="94"/>
    </i>
    <i r="1">
      <x v="7"/>
      <x v="65"/>
    </i>
    <i r="1">
      <x v="8"/>
      <x v="117"/>
    </i>
    <i r="1">
      <x v="9"/>
      <x v="130"/>
    </i>
    <i r="1">
      <x v="10"/>
      <x v="104"/>
    </i>
    <i r="2">
      <x v="108"/>
    </i>
    <i r="1">
      <x v="12"/>
      <x v="98"/>
    </i>
    <i r="1">
      <x v="13"/>
      <x v="41"/>
    </i>
    <i r="2">
      <x v="99"/>
    </i>
    <i r="1">
      <x v="15"/>
      <x v="76"/>
    </i>
    <i r="1">
      <x v="16"/>
      <x v="57"/>
    </i>
    <i r="2">
      <x v="92"/>
    </i>
    <i r="1">
      <x v="18"/>
      <x v="10"/>
    </i>
    <i r="2">
      <x v="59"/>
    </i>
    <i t="blank">
      <x v="10"/>
    </i>
    <i>
      <x v="11"/>
    </i>
    <i r="1">
      <x/>
      <x v="74"/>
    </i>
    <i r="1">
      <x v="1"/>
      <x v="109"/>
    </i>
    <i r="1">
      <x v="2"/>
      <x v="121"/>
    </i>
    <i r="1">
      <x v="3"/>
      <x v="130"/>
    </i>
    <i r="1">
      <x v="4"/>
      <x v="108"/>
    </i>
    <i r="1">
      <x v="5"/>
      <x v="1"/>
    </i>
    <i r="1">
      <x v="6"/>
      <x v="102"/>
    </i>
    <i r="1">
      <x v="7"/>
      <x v="40"/>
    </i>
    <i r="2">
      <x v="65"/>
    </i>
    <i r="1">
      <x v="9"/>
      <x v="99"/>
    </i>
    <i r="1">
      <x v="10"/>
      <x v="10"/>
    </i>
    <i r="2">
      <x v="81"/>
    </i>
    <i r="1">
      <x v="12"/>
      <x v="103"/>
    </i>
    <i r="2">
      <x v="124"/>
    </i>
    <i r="1">
      <x v="14"/>
      <x v="41"/>
    </i>
    <i r="2">
      <x v="66"/>
    </i>
    <i r="2">
      <x v="104"/>
    </i>
    <i r="1">
      <x v="17"/>
      <x v="92"/>
    </i>
    <i r="2">
      <x v="120"/>
    </i>
    <i r="1">
      <x v="19"/>
      <x v="12"/>
    </i>
    <i r="2">
      <x v="98"/>
    </i>
    <i t="blank">
      <x v="11"/>
    </i>
    <i>
      <x v="12"/>
    </i>
    <i r="1">
      <x/>
      <x v="103"/>
    </i>
    <i r="1">
      <x v="1"/>
      <x v="109"/>
    </i>
    <i r="1">
      <x v="2"/>
      <x v="81"/>
    </i>
    <i r="1">
      <x v="3"/>
      <x v="94"/>
    </i>
    <i r="2">
      <x v="99"/>
    </i>
    <i r="1">
      <x v="5"/>
      <x v="74"/>
    </i>
    <i r="1">
      <x v="6"/>
      <x v="65"/>
    </i>
    <i r="1">
      <x v="7"/>
      <x v="63"/>
    </i>
    <i r="2">
      <x v="98"/>
    </i>
    <i r="2">
      <x v="130"/>
    </i>
    <i r="1">
      <x v="10"/>
      <x v="59"/>
    </i>
    <i r="2">
      <x v="76"/>
    </i>
    <i r="2">
      <x v="95"/>
    </i>
    <i r="2">
      <x v="102"/>
    </i>
    <i r="1">
      <x v="14"/>
      <x v="10"/>
    </i>
    <i r="2">
      <x v="70"/>
    </i>
    <i r="2">
      <x v="73"/>
    </i>
    <i r="2">
      <x v="104"/>
    </i>
    <i r="2">
      <x v="105"/>
    </i>
    <i r="2">
      <x v="121"/>
    </i>
    <i t="blank">
      <x v="12"/>
    </i>
    <i>
      <x v="13"/>
    </i>
    <i r="1">
      <x/>
      <x v="74"/>
    </i>
    <i r="1">
      <x v="1"/>
      <x v="34"/>
    </i>
    <i r="1">
      <x v="2"/>
      <x v="65"/>
    </i>
    <i r="2">
      <x v="118"/>
    </i>
    <i r="1">
      <x v="4"/>
      <x v="134"/>
    </i>
    <i r="1">
      <x v="5"/>
      <x v="1"/>
    </i>
    <i r="2">
      <x v="3"/>
    </i>
    <i r="2">
      <x v="41"/>
    </i>
    <i r="2">
      <x v="59"/>
    </i>
    <i r="2">
      <x v="70"/>
    </i>
    <i r="2">
      <x v="99"/>
    </i>
    <i r="2">
      <x v="108"/>
    </i>
    <i r="2">
      <x v="109"/>
    </i>
    <i r="1">
      <x v="13"/>
      <x v="50"/>
    </i>
    <i r="2">
      <x v="71"/>
    </i>
    <i r="2">
      <x v="95"/>
    </i>
    <i r="2">
      <x v="125"/>
    </i>
    <i r="1">
      <x v="17"/>
      <x v="4"/>
    </i>
    <i r="2">
      <x v="10"/>
    </i>
    <i r="2">
      <x v="18"/>
    </i>
    <i r="2">
      <x v="20"/>
    </i>
    <i r="2">
      <x v="21"/>
    </i>
    <i r="2">
      <x v="23"/>
    </i>
    <i r="2">
      <x v="24"/>
    </i>
    <i r="2">
      <x v="27"/>
    </i>
    <i r="2">
      <x v="31"/>
    </i>
    <i r="2">
      <x v="37"/>
    </i>
    <i r="2">
      <x v="38"/>
    </i>
    <i r="2">
      <x v="40"/>
    </i>
    <i r="2">
      <x v="60"/>
    </i>
    <i r="2">
      <x v="68"/>
    </i>
    <i r="2">
      <x v="69"/>
    </i>
    <i r="2">
      <x v="73"/>
    </i>
    <i r="2">
      <x v="87"/>
    </i>
    <i r="2">
      <x v="89"/>
    </i>
    <i r="2">
      <x v="92"/>
    </i>
    <i r="2">
      <x v="93"/>
    </i>
    <i r="2">
      <x v="98"/>
    </i>
    <i r="2">
      <x v="107"/>
    </i>
    <i r="2">
      <x v="111"/>
    </i>
    <i r="2">
      <x v="117"/>
    </i>
    <i r="2">
      <x v="121"/>
    </i>
    <i r="2">
      <x v="126"/>
    </i>
    <i t="blank">
      <x v="13"/>
    </i>
    <i>
      <x v="14"/>
    </i>
    <i r="1">
      <x/>
      <x v="74"/>
    </i>
    <i r="1">
      <x v="1"/>
      <x v="59"/>
    </i>
    <i r="1">
      <x v="2"/>
      <x v="94"/>
    </i>
    <i r="1">
      <x v="3"/>
      <x v="1"/>
    </i>
    <i r="2">
      <x v="16"/>
    </i>
    <i r="2">
      <x v="27"/>
    </i>
    <i r="2">
      <x v="76"/>
    </i>
    <i r="2">
      <x v="104"/>
    </i>
    <i r="1">
      <x v="8"/>
      <x v="2"/>
    </i>
    <i r="2">
      <x v="6"/>
    </i>
    <i r="2">
      <x v="25"/>
    </i>
    <i r="2">
      <x v="30"/>
    </i>
    <i r="2">
      <x v="41"/>
    </i>
    <i r="2">
      <x v="55"/>
    </i>
    <i r="2">
      <x v="65"/>
    </i>
    <i r="2">
      <x v="66"/>
    </i>
    <i r="2">
      <x v="73"/>
    </i>
    <i r="2">
      <x v="90"/>
    </i>
    <i r="2">
      <x v="97"/>
    </i>
    <i r="2">
      <x v="98"/>
    </i>
    <i r="2">
      <x v="99"/>
    </i>
    <i r="2">
      <x v="102"/>
    </i>
    <i r="2">
      <x v="113"/>
    </i>
    <i r="2">
      <x v="114"/>
    </i>
    <i r="2">
      <x v="117"/>
    </i>
    <i r="2">
      <x v="118"/>
    </i>
    <i r="2">
      <x v="122"/>
    </i>
    <i r="2">
      <x v="130"/>
    </i>
    <i t="blank">
      <x v="14"/>
    </i>
    <i>
      <x v="15"/>
    </i>
    <i r="1">
      <x/>
      <x v="74"/>
    </i>
    <i r="1">
      <x v="1"/>
      <x v="94"/>
    </i>
    <i r="1">
      <x v="2"/>
      <x v="95"/>
    </i>
    <i r="2">
      <x v="109"/>
    </i>
    <i r="1">
      <x v="4"/>
      <x v="81"/>
    </i>
    <i r="2">
      <x v="99"/>
    </i>
    <i r="1">
      <x v="6"/>
      <x v="65"/>
    </i>
    <i r="2">
      <x v="104"/>
    </i>
    <i r="1">
      <x v="8"/>
      <x v="98"/>
    </i>
    <i r="2">
      <x v="102"/>
    </i>
    <i r="1">
      <x v="10"/>
      <x v="103"/>
    </i>
    <i r="2">
      <x v="130"/>
    </i>
    <i r="1">
      <x v="12"/>
      <x v="1"/>
    </i>
    <i r="1">
      <x v="13"/>
      <x v="64"/>
    </i>
    <i r="2">
      <x v="108"/>
    </i>
    <i r="2">
      <x v="134"/>
    </i>
    <i r="1">
      <x v="16"/>
      <x/>
    </i>
    <i r="2">
      <x v="19"/>
    </i>
    <i r="2">
      <x v="59"/>
    </i>
    <i r="2">
      <x v="66"/>
    </i>
    <i r="2">
      <x v="117"/>
    </i>
    <i r="2">
      <x v="120"/>
    </i>
    <i r="2">
      <x v="121"/>
    </i>
    <i t="blank">
      <x v="15"/>
    </i>
    <i>
      <x v="16"/>
    </i>
    <i r="1">
      <x/>
      <x v="99"/>
    </i>
    <i r="1">
      <x v="1"/>
      <x v="104"/>
    </i>
    <i r="1">
      <x v="2"/>
      <x v="103"/>
    </i>
    <i r="1">
      <x v="3"/>
      <x v="94"/>
    </i>
    <i r="1">
      <x v="4"/>
      <x v="109"/>
    </i>
    <i r="1">
      <x v="5"/>
      <x v="65"/>
    </i>
    <i r="1">
      <x v="6"/>
      <x v="76"/>
    </i>
    <i r="2">
      <x v="102"/>
    </i>
    <i r="1">
      <x v="8"/>
      <x v="59"/>
    </i>
    <i r="1">
      <x v="9"/>
      <x v="81"/>
    </i>
    <i r="2">
      <x v="98"/>
    </i>
    <i r="1">
      <x v="11"/>
      <x v="108"/>
    </i>
    <i r="1">
      <x v="12"/>
      <x v="121"/>
    </i>
    <i r="1">
      <x v="13"/>
      <x v="62"/>
    </i>
    <i r="1">
      <x v="14"/>
      <x v="18"/>
    </i>
    <i r="2">
      <x v="74"/>
    </i>
    <i r="1">
      <x v="16"/>
      <x v="117"/>
    </i>
    <i r="1">
      <x v="17"/>
      <x v="64"/>
    </i>
    <i r="2">
      <x v="71"/>
    </i>
    <i r="2">
      <x v="95"/>
    </i>
    <i r="2">
      <x v="100"/>
    </i>
    <i t="blank">
      <x v="16"/>
    </i>
    <i>
      <x v="17"/>
    </i>
    <i r="1">
      <x/>
      <x v="117"/>
    </i>
    <i r="1">
      <x v="1"/>
      <x v="81"/>
    </i>
    <i r="1">
      <x v="2"/>
      <x v="1"/>
    </i>
    <i r="2">
      <x v="74"/>
    </i>
    <i r="1">
      <x v="4"/>
      <x v="94"/>
    </i>
    <i r="1">
      <x v="5"/>
      <x v="65"/>
    </i>
    <i r="1">
      <x v="6"/>
      <x v="76"/>
    </i>
    <i r="2">
      <x v="99"/>
    </i>
    <i r="2">
      <x v="121"/>
    </i>
    <i r="1">
      <x v="9"/>
      <x v="59"/>
    </i>
    <i r="2">
      <x v="109"/>
    </i>
    <i r="2">
      <x v="113"/>
    </i>
    <i r="1">
      <x v="12"/>
      <x v="10"/>
    </i>
    <i r="2">
      <x v="34"/>
    </i>
    <i r="2">
      <x v="63"/>
    </i>
    <i r="2">
      <x v="130"/>
    </i>
    <i r="1">
      <x v="16"/>
      <x v="79"/>
    </i>
    <i r="2">
      <x v="108"/>
    </i>
    <i r="1">
      <x v="18"/>
      <x/>
    </i>
    <i r="2">
      <x v="18"/>
    </i>
    <i r="2">
      <x v="35"/>
    </i>
    <i r="2">
      <x v="49"/>
    </i>
    <i r="2">
      <x v="58"/>
    </i>
    <i r="2">
      <x v="60"/>
    </i>
    <i r="2">
      <x v="64"/>
    </i>
    <i r="2">
      <x v="70"/>
    </i>
    <i r="2">
      <x v="71"/>
    </i>
    <i r="2">
      <x v="73"/>
    </i>
    <i r="2">
      <x v="80"/>
    </i>
    <i r="2">
      <x v="98"/>
    </i>
    <i r="2">
      <x v="100"/>
    </i>
    <i r="2">
      <x v="102"/>
    </i>
    <i r="2">
      <x v="123"/>
    </i>
    <i r="2">
      <x v="128"/>
    </i>
    <i r="2">
      <x v="133"/>
    </i>
    <i t="blank">
      <x v="17"/>
    </i>
    <i>
      <x v="18"/>
    </i>
    <i r="1">
      <x/>
      <x v="81"/>
    </i>
    <i r="1">
      <x v="1"/>
      <x v="1"/>
    </i>
    <i r="1">
      <x v="2"/>
      <x v="102"/>
    </i>
    <i r="1">
      <x v="3"/>
      <x v="12"/>
    </i>
    <i r="2">
      <x v="109"/>
    </i>
    <i r="2">
      <x v="114"/>
    </i>
    <i r="2">
      <x v="121"/>
    </i>
    <i r="1">
      <x v="7"/>
      <x v="49"/>
    </i>
    <i r="2">
      <x v="65"/>
    </i>
    <i r="2">
      <x v="74"/>
    </i>
    <i r="2">
      <x v="117"/>
    </i>
    <i r="2">
      <x v="124"/>
    </i>
    <i r="1">
      <x v="12"/>
      <x v="59"/>
    </i>
    <i r="2">
      <x v="75"/>
    </i>
    <i r="2">
      <x v="94"/>
    </i>
    <i r="2">
      <x v="107"/>
    </i>
    <i r="2">
      <x v="108"/>
    </i>
    <i r="2">
      <x v="113"/>
    </i>
    <i r="2">
      <x v="130"/>
    </i>
    <i r="1">
      <x v="19"/>
      <x v="10"/>
    </i>
    <i r="2">
      <x v="41"/>
    </i>
    <i r="2">
      <x v="64"/>
    </i>
    <i r="2">
      <x v="68"/>
    </i>
    <i r="2">
      <x v="77"/>
    </i>
    <i r="2">
      <x v="98"/>
    </i>
    <i r="2">
      <x v="103"/>
    </i>
    <i r="2">
      <x v="106"/>
    </i>
    <i r="2">
      <x v="122"/>
    </i>
    <i r="2">
      <x v="125"/>
    </i>
    <i r="2">
      <x v="128"/>
    </i>
    <i t="blank">
      <x v="18"/>
    </i>
    <i>
      <x v="19"/>
    </i>
    <i r="1">
      <x/>
      <x v="103"/>
    </i>
    <i r="1">
      <x v="1"/>
      <x v="81"/>
    </i>
    <i r="1">
      <x v="2"/>
      <x v="98"/>
    </i>
    <i r="2">
      <x v="99"/>
    </i>
    <i r="2">
      <x v="121"/>
    </i>
    <i r="1">
      <x v="5"/>
      <x v="65"/>
    </i>
    <i r="1">
      <x v="6"/>
      <x v="12"/>
    </i>
    <i r="2">
      <x v="108"/>
    </i>
    <i r="2">
      <x v="109"/>
    </i>
    <i r="1">
      <x v="9"/>
      <x v="130"/>
    </i>
    <i r="1">
      <x v="10"/>
      <x v="3"/>
    </i>
    <i r="2">
      <x v="71"/>
    </i>
    <i r="2">
      <x v="102"/>
    </i>
    <i r="1">
      <x v="13"/>
      <x v="1"/>
    </i>
    <i r="2">
      <x v="74"/>
    </i>
    <i r="2">
      <x v="92"/>
    </i>
    <i r="1">
      <x v="16"/>
      <x v="76"/>
    </i>
    <i r="2">
      <x v="90"/>
    </i>
    <i r="2">
      <x v="105"/>
    </i>
    <i r="2">
      <x v="110"/>
    </i>
    <i r="2">
      <x v="114"/>
    </i>
    <i t="blank">
      <x v="19"/>
    </i>
    <i>
      <x v="20"/>
    </i>
    <i r="1">
      <x/>
      <x v="103"/>
    </i>
    <i r="1">
      <x v="1"/>
      <x v="65"/>
    </i>
    <i r="2">
      <x v="81"/>
    </i>
    <i r="2">
      <x v="102"/>
    </i>
    <i r="1">
      <x v="4"/>
      <x v="94"/>
    </i>
    <i r="1">
      <x v="5"/>
      <x v="109"/>
    </i>
    <i r="1">
      <x v="6"/>
      <x v="59"/>
    </i>
    <i r="1">
      <x v="7"/>
      <x v="10"/>
    </i>
    <i r="2">
      <x v="95"/>
    </i>
    <i r="2">
      <x v="98"/>
    </i>
    <i r="1">
      <x v="10"/>
      <x v="1"/>
    </i>
    <i r="2">
      <x v="18"/>
    </i>
    <i r="2">
      <x v="64"/>
    </i>
    <i r="2">
      <x v="99"/>
    </i>
    <i r="2">
      <x v="101"/>
    </i>
    <i r="2">
      <x v="108"/>
    </i>
    <i r="1">
      <x v="16"/>
      <x v="3"/>
    </i>
    <i r="2">
      <x v="50"/>
    </i>
    <i r="2">
      <x v="68"/>
    </i>
    <i r="2">
      <x v="105"/>
    </i>
    <i r="2">
      <x v="117"/>
    </i>
    <i r="2">
      <x v="121"/>
    </i>
    <i r="2">
      <x v="128"/>
    </i>
    <i t="blank">
      <x v="20"/>
    </i>
    <i>
      <x v="21"/>
    </i>
    <i r="1">
      <x/>
      <x v="24"/>
    </i>
    <i r="1">
      <x v="1"/>
      <x v="109"/>
    </i>
    <i r="1">
      <x v="2"/>
      <x v="81"/>
    </i>
    <i r="1">
      <x v="3"/>
      <x v="34"/>
    </i>
    <i r="1">
      <x v="4"/>
      <x v="108"/>
    </i>
    <i r="1">
      <x v="5"/>
      <x v="103"/>
    </i>
    <i r="1">
      <x v="6"/>
      <x v="121"/>
    </i>
    <i r="1">
      <x v="7"/>
      <x v="102"/>
    </i>
    <i r="2">
      <x v="130"/>
    </i>
    <i r="1">
      <x v="9"/>
      <x v="99"/>
    </i>
    <i r="1">
      <x v="10"/>
      <x v="10"/>
    </i>
    <i r="2">
      <x v="120"/>
    </i>
    <i r="1">
      <x v="12"/>
      <x v="74"/>
    </i>
    <i r="1">
      <x v="13"/>
      <x v="110"/>
    </i>
    <i r="2">
      <x v="123"/>
    </i>
    <i r="1">
      <x v="15"/>
      <x v="1"/>
    </i>
    <i r="2">
      <x v="26"/>
    </i>
    <i r="2">
      <x v="66"/>
    </i>
    <i r="1">
      <x v="18"/>
      <x v="3"/>
    </i>
    <i r="2">
      <x v="65"/>
    </i>
    <i r="2">
      <x v="70"/>
    </i>
    <i t="blank">
      <x v="21"/>
    </i>
    <i>
      <x v="22"/>
    </i>
    <i r="1">
      <x/>
      <x v="109"/>
    </i>
    <i r="1">
      <x v="1"/>
      <x v="103"/>
    </i>
    <i r="1">
      <x v="2"/>
      <x v="121"/>
    </i>
    <i r="1">
      <x v="3"/>
      <x v="102"/>
    </i>
    <i r="1">
      <x v="4"/>
      <x v="65"/>
    </i>
    <i r="2">
      <x v="81"/>
    </i>
    <i r="1">
      <x v="6"/>
      <x v="130"/>
    </i>
    <i r="1">
      <x v="7"/>
      <x v="110"/>
    </i>
    <i r="1">
      <x v="8"/>
      <x v="76"/>
    </i>
    <i r="1">
      <x v="9"/>
      <x v="12"/>
    </i>
    <i r="2">
      <x v="104"/>
    </i>
    <i r="2">
      <x v="108"/>
    </i>
    <i r="1">
      <x v="12"/>
      <x v="57"/>
    </i>
    <i r="2">
      <x v="64"/>
    </i>
    <i r="2">
      <x v="92"/>
    </i>
    <i r="2">
      <x v="120"/>
    </i>
    <i r="1">
      <x v="16"/>
      <x v="10"/>
    </i>
    <i r="2">
      <x v="28"/>
    </i>
    <i r="2">
      <x v="66"/>
    </i>
    <i r="2">
      <x v="98"/>
    </i>
    <i t="blank">
      <x v="22"/>
    </i>
    <i>
      <x v="23"/>
    </i>
    <i r="1">
      <x/>
      <x v="81"/>
    </i>
    <i r="1">
      <x v="1"/>
      <x v="109"/>
    </i>
    <i r="1">
      <x v="2"/>
      <x v="121"/>
    </i>
    <i r="1">
      <x v="3"/>
      <x v="102"/>
    </i>
    <i r="2">
      <x v="110"/>
    </i>
    <i r="1">
      <x v="5"/>
      <x v="99"/>
    </i>
    <i r="1">
      <x v="6"/>
      <x v="76"/>
    </i>
    <i r="1">
      <x v="7"/>
      <x v="108"/>
    </i>
    <i r="1">
      <x v="8"/>
      <x v="58"/>
    </i>
    <i r="2">
      <x v="80"/>
    </i>
    <i r="1">
      <x v="10"/>
      <x v="65"/>
    </i>
    <i r="2">
      <x v="79"/>
    </i>
    <i r="2">
      <x v="92"/>
    </i>
    <i r="1">
      <x v="13"/>
      <x v="64"/>
    </i>
    <i r="1">
      <x v="14"/>
      <x v="10"/>
    </i>
    <i r="2">
      <x v="57"/>
    </i>
    <i r="2">
      <x v="66"/>
    </i>
    <i r="2">
      <x v="105"/>
    </i>
    <i r="2">
      <x v="118"/>
    </i>
    <i r="1">
      <x v="19"/>
      <x v="3"/>
    </i>
    <i r="2">
      <x v="71"/>
    </i>
    <i r="2">
      <x v="94"/>
    </i>
    <i r="2">
      <x v="103"/>
    </i>
    <i r="2">
      <x v="104"/>
    </i>
    <i t="blank">
      <x v="23"/>
    </i>
    <i>
      <x v="24"/>
    </i>
    <i r="1">
      <x/>
      <x v="81"/>
    </i>
    <i r="1">
      <x v="1"/>
      <x v="109"/>
    </i>
    <i r="1">
      <x v="2"/>
      <x v="66"/>
    </i>
    <i r="1">
      <x v="3"/>
      <x v="121"/>
    </i>
    <i r="1">
      <x v="4"/>
      <x v="110"/>
    </i>
    <i r="2">
      <x v="130"/>
    </i>
    <i r="1">
      <x v="6"/>
      <x v="99"/>
    </i>
    <i r="1">
      <x v="7"/>
      <x v="58"/>
    </i>
    <i r="2">
      <x v="76"/>
    </i>
    <i r="2">
      <x v="123"/>
    </i>
    <i r="1">
      <x v="10"/>
      <x v="65"/>
    </i>
    <i r="1">
      <x v="11"/>
      <x v="71"/>
    </i>
    <i r="2">
      <x v="102"/>
    </i>
    <i r="2">
      <x v="104"/>
    </i>
    <i r="2">
      <x v="108"/>
    </i>
    <i r="1">
      <x v="15"/>
      <x v="64"/>
    </i>
    <i r="2">
      <x v="92"/>
    </i>
    <i r="1">
      <x v="17"/>
      <x v="40"/>
    </i>
    <i r="1">
      <x v="18"/>
      <x v="10"/>
    </i>
    <i r="2">
      <x v="12"/>
    </i>
    <i r="2">
      <x v="56"/>
    </i>
    <i r="2">
      <x v="74"/>
    </i>
    <i r="2">
      <x v="124"/>
    </i>
    <i t="blank">
      <x v="24"/>
    </i>
    <i>
      <x v="25"/>
    </i>
    <i r="1">
      <x/>
      <x v="130"/>
    </i>
    <i r="1">
      <x v="1"/>
      <x v="81"/>
    </i>
    <i r="1">
      <x v="2"/>
      <x v="109"/>
    </i>
    <i r="1">
      <x v="3"/>
      <x v="66"/>
    </i>
    <i r="1">
      <x v="4"/>
      <x v="121"/>
    </i>
    <i r="1">
      <x v="5"/>
      <x v="12"/>
    </i>
    <i r="2">
      <x v="74"/>
    </i>
    <i r="1">
      <x v="7"/>
      <x v="1"/>
    </i>
    <i r="2">
      <x v="3"/>
    </i>
    <i r="2">
      <x v="6"/>
    </i>
    <i r="2">
      <x v="7"/>
    </i>
    <i r="2">
      <x v="10"/>
    </i>
    <i r="2">
      <x v="65"/>
    </i>
    <i r="1">
      <x v="13"/>
      <x v="9"/>
    </i>
    <i r="1">
      <x v="14"/>
      <x v="124"/>
    </i>
    <i r="1">
      <x v="15"/>
      <x v="35"/>
    </i>
    <i r="2">
      <x v="40"/>
    </i>
    <i r="2">
      <x v="49"/>
    </i>
    <i r="2">
      <x v="76"/>
    </i>
    <i r="2">
      <x v="108"/>
    </i>
    <i t="blank">
      <x v="25"/>
    </i>
    <i>
      <x v="26"/>
    </i>
    <i r="1">
      <x/>
      <x v="121"/>
    </i>
    <i r="1">
      <x v="1"/>
      <x v="66"/>
    </i>
    <i r="1">
      <x v="2"/>
      <x v="109"/>
    </i>
    <i r="1">
      <x v="3"/>
      <x v="81"/>
    </i>
    <i r="1">
      <x v="4"/>
      <x v="102"/>
    </i>
    <i r="1">
      <x v="5"/>
      <x v="130"/>
    </i>
    <i r="1">
      <x v="6"/>
      <x v="108"/>
    </i>
    <i r="1">
      <x v="7"/>
      <x v="10"/>
    </i>
    <i r="2">
      <x v="35"/>
    </i>
    <i r="1">
      <x v="9"/>
      <x v="3"/>
    </i>
    <i r="1">
      <x v="10"/>
      <x v="103"/>
    </i>
    <i r="1">
      <x v="11"/>
      <x v="6"/>
    </i>
    <i r="1">
      <x v="12"/>
      <x v="65"/>
    </i>
    <i r="2">
      <x v="76"/>
    </i>
    <i r="1">
      <x v="14"/>
      <x v="1"/>
    </i>
    <i r="2">
      <x v="71"/>
    </i>
    <i r="2">
      <x v="99"/>
    </i>
    <i r="2">
      <x v="124"/>
    </i>
    <i r="1">
      <x v="18"/>
      <x v="68"/>
    </i>
    <i r="2">
      <x v="79"/>
    </i>
    <i r="2">
      <x v="120"/>
    </i>
    <i t="blank">
      <x v="26"/>
    </i>
    <i>
      <x v="27"/>
    </i>
    <i r="1">
      <x/>
      <x v="103"/>
    </i>
    <i r="1">
      <x v="1"/>
      <x v="81"/>
    </i>
    <i r="1">
      <x v="2"/>
      <x v="109"/>
    </i>
    <i r="1">
      <x v="3"/>
      <x v="121"/>
    </i>
    <i r="1">
      <x v="4"/>
      <x v="102"/>
    </i>
    <i r="1">
      <x v="5"/>
      <x v="130"/>
    </i>
    <i r="1">
      <x v="6"/>
      <x v="76"/>
    </i>
    <i r="2">
      <x v="123"/>
    </i>
    <i r="1">
      <x v="8"/>
      <x v="1"/>
    </i>
    <i r="2">
      <x v="66"/>
    </i>
    <i r="2">
      <x v="108"/>
    </i>
    <i r="1">
      <x v="11"/>
      <x v="71"/>
    </i>
    <i r="2">
      <x v="110"/>
    </i>
    <i r="1">
      <x v="13"/>
      <x v="3"/>
    </i>
    <i r="2">
      <x v="68"/>
    </i>
    <i r="2">
      <x v="80"/>
    </i>
    <i r="2">
      <x v="124"/>
    </i>
    <i r="1">
      <x v="17"/>
      <x v="65"/>
    </i>
    <i r="2">
      <x v="69"/>
    </i>
    <i r="2">
      <x v="77"/>
    </i>
    <i r="2">
      <x v="87"/>
    </i>
    <i r="2">
      <x v="120"/>
    </i>
    <i t="blank">
      <x v="27"/>
    </i>
    <i>
      <x v="28"/>
    </i>
    <i r="1">
      <x/>
      <x v="81"/>
    </i>
    <i r="1">
      <x v="1"/>
      <x v="109"/>
    </i>
    <i r="1">
      <x v="2"/>
      <x v="121"/>
    </i>
    <i r="1">
      <x v="3"/>
      <x v="102"/>
    </i>
    <i r="1">
      <x v="4"/>
      <x v="108"/>
    </i>
    <i r="1">
      <x v="5"/>
      <x v="80"/>
    </i>
    <i r="1">
      <x v="6"/>
      <x v="66"/>
    </i>
    <i r="1">
      <x v="7"/>
      <x v="1"/>
    </i>
    <i r="1">
      <x v="8"/>
      <x v="120"/>
    </i>
    <i r="1">
      <x v="9"/>
      <x v="12"/>
    </i>
    <i r="1">
      <x v="10"/>
      <x v="3"/>
    </i>
    <i r="2">
      <x v="24"/>
    </i>
    <i r="2">
      <x v="123"/>
    </i>
    <i r="1">
      <x v="13"/>
      <x v="92"/>
    </i>
    <i r="1">
      <x v="14"/>
      <x v="10"/>
    </i>
    <i r="2">
      <x v="28"/>
    </i>
    <i r="2">
      <x v="35"/>
    </i>
    <i r="2">
      <x v="65"/>
    </i>
    <i r="1">
      <x v="18"/>
      <x v="82"/>
    </i>
    <i r="2">
      <x v="103"/>
    </i>
    <i r="2">
      <x v="130"/>
    </i>
    <i t="blank">
      <x v="28"/>
    </i>
    <i>
      <x v="29"/>
    </i>
    <i r="1">
      <x/>
      <x v="117"/>
    </i>
    <i r="1">
      <x v="1"/>
      <x v="94"/>
    </i>
    <i r="1">
      <x v="2"/>
      <x v="102"/>
    </i>
    <i r="1">
      <x v="3"/>
      <x v="1"/>
    </i>
    <i r="1">
      <x v="4"/>
      <x v="59"/>
    </i>
    <i r="2">
      <x v="65"/>
    </i>
    <i r="2">
      <x v="84"/>
    </i>
    <i r="2">
      <x v="98"/>
    </i>
    <i r="2">
      <x v="103"/>
    </i>
    <i r="2">
      <x v="106"/>
    </i>
    <i r="2">
      <x v="113"/>
    </i>
    <i r="2">
      <x v="125"/>
    </i>
    <i r="2">
      <x v="133"/>
    </i>
    <i r="1">
      <x v="13"/>
      <x v="10"/>
    </i>
    <i r="2">
      <x v="33"/>
    </i>
    <i r="2">
      <x v="37"/>
    </i>
    <i r="2">
      <x v="39"/>
    </i>
    <i r="2">
      <x v="40"/>
    </i>
    <i r="2">
      <x v="41"/>
    </i>
    <i r="2">
      <x v="47"/>
    </i>
    <i r="2">
      <x v="81"/>
    </i>
    <i r="2">
      <x v="82"/>
    </i>
    <i r="2">
      <x v="88"/>
    </i>
    <i r="2">
      <x v="91"/>
    </i>
    <i r="2">
      <x v="99"/>
    </i>
    <i r="2">
      <x v="107"/>
    </i>
    <i r="2">
      <x v="108"/>
    </i>
    <i r="2">
      <x v="110"/>
    </i>
    <i r="2">
      <x v="115"/>
    </i>
    <i r="2">
      <x v="122"/>
    </i>
    <i r="2">
      <x v="128"/>
    </i>
    <i r="2">
      <x v="132"/>
    </i>
    <i t="blank">
      <x v="29"/>
    </i>
    <i>
      <x v="30"/>
    </i>
    <i r="1">
      <x/>
      <x v="94"/>
    </i>
    <i r="1">
      <x v="1"/>
      <x v="117"/>
    </i>
    <i r="1">
      <x v="2"/>
      <x v="95"/>
    </i>
    <i r="1">
      <x v="3"/>
      <x v="99"/>
    </i>
    <i r="2">
      <x v="102"/>
    </i>
    <i r="1">
      <x v="5"/>
      <x v="65"/>
    </i>
    <i r="2">
      <x v="84"/>
    </i>
    <i r="2">
      <x v="85"/>
    </i>
    <i r="1">
      <x v="8"/>
      <x v="98"/>
    </i>
    <i r="2">
      <x v="103"/>
    </i>
    <i r="2">
      <x v="121"/>
    </i>
    <i r="1">
      <x v="11"/>
      <x v="33"/>
    </i>
    <i r="2">
      <x v="42"/>
    </i>
    <i r="2">
      <x v="58"/>
    </i>
    <i r="2">
      <x v="64"/>
    </i>
    <i r="2">
      <x v="74"/>
    </i>
    <i r="2">
      <x v="104"/>
    </i>
    <i r="2">
      <x v="105"/>
    </i>
    <i r="1">
      <x v="18"/>
      <x v="1"/>
    </i>
    <i r="2">
      <x v="5"/>
    </i>
    <i r="2">
      <x v="8"/>
    </i>
    <i r="2">
      <x v="10"/>
    </i>
    <i r="2">
      <x v="38"/>
    </i>
    <i r="2">
      <x v="46"/>
    </i>
    <i r="2">
      <x v="54"/>
    </i>
    <i r="2">
      <x v="59"/>
    </i>
    <i r="2">
      <x v="62"/>
    </i>
    <i r="2">
      <x v="73"/>
    </i>
    <i r="2">
      <x v="76"/>
    </i>
    <i r="2">
      <x v="82"/>
    </i>
    <i r="2">
      <x v="96"/>
    </i>
    <i r="2">
      <x v="106"/>
    </i>
    <i r="2">
      <x v="107"/>
    </i>
    <i r="2">
      <x v="115"/>
    </i>
    <i r="2">
      <x v="125"/>
    </i>
    <i r="2">
      <x v="127"/>
    </i>
    <i t="blank">
      <x v="30"/>
    </i>
    <i>
      <x v="31"/>
    </i>
    <i r="1">
      <x/>
      <x v="94"/>
    </i>
    <i r="1">
      <x v="1"/>
      <x v="65"/>
    </i>
    <i r="1">
      <x v="2"/>
      <x v="18"/>
    </i>
    <i r="2">
      <x v="64"/>
    </i>
    <i r="2">
      <x v="73"/>
    </i>
    <i r="2">
      <x v="117"/>
    </i>
    <i r="1">
      <x v="6"/>
      <x v="3"/>
    </i>
    <i r="2">
      <x v="17"/>
    </i>
    <i r="2">
      <x v="33"/>
    </i>
    <i r="2">
      <x v="36"/>
    </i>
    <i r="2">
      <x v="37"/>
    </i>
    <i r="2">
      <x v="41"/>
    </i>
    <i r="2">
      <x v="42"/>
    </i>
    <i r="2">
      <x v="46"/>
    </i>
    <i r="2">
      <x v="48"/>
    </i>
    <i r="2">
      <x v="59"/>
    </i>
    <i r="2">
      <x v="74"/>
    </i>
    <i r="2">
      <x v="76"/>
    </i>
    <i r="2">
      <x v="98"/>
    </i>
    <i r="2">
      <x v="99"/>
    </i>
    <i r="2">
      <x v="102"/>
    </i>
    <i r="2">
      <x v="113"/>
    </i>
    <i r="2">
      <x v="124"/>
    </i>
    <i r="2">
      <x v="127"/>
    </i>
    <i t="blank">
      <x v="31"/>
    </i>
    <i>
      <x v="32"/>
    </i>
    <i r="1">
      <x/>
      <x v="94"/>
    </i>
    <i r="1">
      <x v="1"/>
      <x v="65"/>
    </i>
    <i r="1">
      <x v="2"/>
      <x v="33"/>
    </i>
    <i r="2">
      <x v="36"/>
    </i>
    <i r="2">
      <x v="38"/>
    </i>
    <i r="2">
      <x v="43"/>
    </i>
    <i r="2">
      <x v="62"/>
    </i>
    <i r="2">
      <x v="63"/>
    </i>
    <i r="2">
      <x v="73"/>
    </i>
    <i r="2">
      <x v="98"/>
    </i>
    <i r="2">
      <x v="102"/>
    </i>
    <i r="2">
      <x v="122"/>
    </i>
    <i t="blank">
      <x v="32"/>
    </i>
    <i>
      <x v="33"/>
    </i>
    <i r="1">
      <x/>
      <x v="102"/>
    </i>
    <i r="1">
      <x v="1"/>
      <x v="103"/>
    </i>
    <i r="1">
      <x v="2"/>
      <x v="44"/>
    </i>
    <i r="2">
      <x v="73"/>
    </i>
    <i r="1">
      <x v="4"/>
      <x v="128"/>
    </i>
    <i r="2">
      <x v="130"/>
    </i>
    <i r="1">
      <x v="6"/>
      <x v="2"/>
    </i>
    <i r="2">
      <x v="14"/>
    </i>
    <i r="2">
      <x v="21"/>
    </i>
    <i r="2">
      <x v="36"/>
    </i>
    <i r="2">
      <x v="52"/>
    </i>
    <i r="2">
      <x v="63"/>
    </i>
    <i r="2">
      <x v="64"/>
    </i>
    <i r="2">
      <x v="65"/>
    </i>
    <i r="2">
      <x v="72"/>
    </i>
    <i r="2">
      <x v="78"/>
    </i>
    <i r="2">
      <x v="83"/>
    </i>
    <i r="2">
      <x v="86"/>
    </i>
    <i r="2">
      <x v="93"/>
    </i>
    <i r="2">
      <x v="94"/>
    </i>
    <i r="2">
      <x v="95"/>
    </i>
    <i r="2">
      <x v="98"/>
    </i>
    <i r="2">
      <x v="100"/>
    </i>
    <i r="2">
      <x v="109"/>
    </i>
    <i r="2">
      <x v="111"/>
    </i>
    <i r="2">
      <x v="116"/>
    </i>
    <i r="2">
      <x v="117"/>
    </i>
    <i r="2">
      <x v="118"/>
    </i>
    <i r="2">
      <x v="119"/>
    </i>
    <i r="2">
      <x v="121"/>
    </i>
    <i r="2">
      <x v="134"/>
    </i>
    <i t="blank">
      <x v="33"/>
    </i>
    <i>
      <x v="34"/>
    </i>
    <i r="1">
      <x/>
      <x v="65"/>
    </i>
    <i r="1">
      <x v="1"/>
      <x v="46"/>
    </i>
    <i r="2">
      <x v="59"/>
    </i>
    <i r="2">
      <x v="102"/>
    </i>
    <i r="2">
      <x v="107"/>
    </i>
    <i r="2">
      <x v="128"/>
    </i>
    <i r="1">
      <x v="6"/>
      <x v="1"/>
    </i>
    <i r="2">
      <x v="19"/>
    </i>
    <i r="2">
      <x v="36"/>
    </i>
    <i r="2">
      <x v="38"/>
    </i>
    <i r="2">
      <x v="41"/>
    </i>
    <i r="2">
      <x v="42"/>
    </i>
    <i r="2">
      <x v="44"/>
    </i>
    <i r="2">
      <x v="62"/>
    </i>
    <i r="2">
      <x v="66"/>
    </i>
    <i r="2">
      <x v="70"/>
    </i>
    <i r="2">
      <x v="73"/>
    </i>
    <i r="2">
      <x v="93"/>
    </i>
    <i r="2">
      <x v="94"/>
    </i>
    <i r="2">
      <x v="103"/>
    </i>
    <i r="2">
      <x v="108"/>
    </i>
    <i r="2">
      <x v="120"/>
    </i>
    <i r="2">
      <x v="122"/>
    </i>
    <i r="2">
      <x v="129"/>
    </i>
    <i r="2">
      <x v="130"/>
    </i>
    <i t="blank">
      <x v="34"/>
    </i>
    <i>
      <x v="35"/>
    </i>
    <i r="1">
      <x/>
      <x v="65"/>
    </i>
    <i r="1">
      <x v="1"/>
      <x v="103"/>
    </i>
    <i r="1">
      <x v="2"/>
      <x v="1"/>
    </i>
    <i r="2">
      <x v="59"/>
    </i>
    <i r="2">
      <x v="63"/>
    </i>
    <i r="2">
      <x v="94"/>
    </i>
    <i r="2">
      <x v="102"/>
    </i>
    <i r="1">
      <x v="7"/>
      <x v="33"/>
    </i>
    <i r="1">
      <x v="8"/>
      <x v="10"/>
    </i>
    <i r="2">
      <x v="14"/>
    </i>
    <i r="2">
      <x v="17"/>
    </i>
    <i r="2">
      <x v="18"/>
    </i>
    <i r="2">
      <x v="19"/>
    </i>
    <i r="2">
      <x v="21"/>
    </i>
    <i r="2">
      <x v="22"/>
    </i>
    <i r="2">
      <x v="29"/>
    </i>
    <i r="2">
      <x v="45"/>
    </i>
    <i r="2">
      <x v="48"/>
    </i>
    <i r="2">
      <x v="51"/>
    </i>
    <i r="2">
      <x v="62"/>
    </i>
    <i r="2">
      <x v="70"/>
    </i>
    <i r="2">
      <x v="73"/>
    </i>
    <i r="2">
      <x v="81"/>
    </i>
    <i r="2">
      <x v="98"/>
    </i>
    <i r="2">
      <x v="105"/>
    </i>
    <i r="2">
      <x v="108"/>
    </i>
    <i r="2">
      <x v="109"/>
    </i>
    <i r="2">
      <x v="117"/>
    </i>
    <i r="2">
      <x v="118"/>
    </i>
    <i r="2">
      <x v="122"/>
    </i>
    <i r="2">
      <x v="128"/>
    </i>
    <i r="2">
      <x v="130"/>
    </i>
    <i r="2">
      <x v="134"/>
    </i>
    <i t="blank">
      <x v="35"/>
    </i>
    <i>
      <x v="36"/>
    </i>
    <i r="1">
      <x/>
      <x v="1"/>
    </i>
    <i r="1">
      <x v="1"/>
      <x v="94"/>
    </i>
    <i r="1">
      <x v="2"/>
      <x v="65"/>
    </i>
    <i r="1">
      <x v="3"/>
      <x v="59"/>
    </i>
    <i r="1">
      <x v="4"/>
      <x v="55"/>
    </i>
    <i r="2">
      <x v="68"/>
    </i>
    <i r="2">
      <x v="98"/>
    </i>
    <i r="2">
      <x v="102"/>
    </i>
    <i r="2">
      <x v="103"/>
    </i>
    <i r="2">
      <x v="108"/>
    </i>
    <i r="2">
      <x v="109"/>
    </i>
    <i r="1">
      <x v="11"/>
      <x v="10"/>
    </i>
    <i r="2">
      <x v="19"/>
    </i>
    <i r="2">
      <x v="21"/>
    </i>
    <i r="2">
      <x v="33"/>
    </i>
    <i r="2">
      <x v="41"/>
    </i>
    <i r="2">
      <x v="50"/>
    </i>
    <i r="2">
      <x v="62"/>
    </i>
    <i r="2">
      <x v="63"/>
    </i>
    <i r="2">
      <x v="64"/>
    </i>
    <i r="2">
      <x v="73"/>
    </i>
    <i r="2">
      <x v="74"/>
    </i>
    <i r="2">
      <x v="81"/>
    </i>
    <i r="2">
      <x v="84"/>
    </i>
    <i r="2">
      <x v="99"/>
    </i>
    <i r="2">
      <x v="104"/>
    </i>
    <i r="2">
      <x v="112"/>
    </i>
    <i r="2">
      <x v="117"/>
    </i>
    <i r="2">
      <x v="118"/>
    </i>
    <i r="2">
      <x v="122"/>
    </i>
    <i r="2">
      <x v="128"/>
    </i>
    <i r="2">
      <x v="131"/>
    </i>
    <i t="blank">
      <x v="36"/>
    </i>
    <i>
      <x v="37"/>
    </i>
    <i r="1">
      <x/>
      <x v="24"/>
    </i>
    <i r="1">
      <x v="1"/>
      <x v="81"/>
    </i>
    <i r="1">
      <x v="2"/>
      <x v="65"/>
    </i>
    <i r="1">
      <x v="3"/>
      <x v="103"/>
    </i>
    <i r="1">
      <x v="4"/>
      <x v="94"/>
    </i>
    <i r="2">
      <x v="102"/>
    </i>
    <i r="1">
      <x v="6"/>
      <x v="109"/>
    </i>
    <i r="1">
      <x v="7"/>
      <x v="99"/>
    </i>
    <i r="1">
      <x v="8"/>
      <x v="117"/>
    </i>
    <i r="1">
      <x v="9"/>
      <x v="121"/>
    </i>
    <i r="1">
      <x v="10"/>
      <x v="110"/>
    </i>
    <i r="1">
      <x v="11"/>
      <x v="19"/>
    </i>
    <i r="2">
      <x v="98"/>
    </i>
    <i r="2">
      <x v="108"/>
    </i>
    <i r="1">
      <x v="14"/>
      <x v="123"/>
    </i>
    <i r="1">
      <x v="15"/>
      <x v="66"/>
    </i>
    <i r="2">
      <x v="104"/>
    </i>
    <i r="1">
      <x v="17"/>
      <x v="10"/>
    </i>
    <i r="2">
      <x v="16"/>
    </i>
    <i r="2">
      <x v="18"/>
    </i>
    <i r="2">
      <x v="53"/>
    </i>
    <i r="2">
      <x v="59"/>
    </i>
    <i r="2">
      <x v="62"/>
    </i>
    <i r="2">
      <x v="64"/>
    </i>
    <i r="2">
      <x v="70"/>
    </i>
    <i r="2">
      <x v="74"/>
    </i>
    <i r="2">
      <x v="76"/>
    </i>
    <i r="2">
      <x v="128"/>
    </i>
    <i t="blank">
      <x v="37"/>
    </i>
    <i>
      <x v="38"/>
    </i>
    <i r="1">
      <x/>
      <x v="109"/>
    </i>
    <i r="1">
      <x v="1"/>
      <x v="81"/>
    </i>
    <i r="1">
      <x v="2"/>
      <x v="74"/>
    </i>
    <i r="1">
      <x v="3"/>
      <x v="65"/>
    </i>
    <i r="1">
      <x v="4"/>
      <x v="1"/>
    </i>
    <i r="2">
      <x v="121"/>
    </i>
    <i r="1">
      <x v="6"/>
      <x v="66"/>
    </i>
    <i r="2">
      <x v="108"/>
    </i>
    <i r="1">
      <x v="8"/>
      <x v="130"/>
    </i>
    <i r="1">
      <x v="9"/>
      <x v="3"/>
    </i>
    <i r="2">
      <x v="10"/>
    </i>
    <i r="2">
      <x v="99"/>
    </i>
    <i r="2">
      <x v="120"/>
    </i>
    <i r="1">
      <x v="13"/>
      <x v="92"/>
    </i>
    <i r="2">
      <x v="123"/>
    </i>
    <i r="1">
      <x v="15"/>
      <x v="4"/>
    </i>
    <i r="2">
      <x v="102"/>
    </i>
    <i r="1">
      <x v="17"/>
      <x v="64"/>
    </i>
    <i r="1">
      <x v="18"/>
      <x v="5"/>
    </i>
    <i r="2">
      <x v="9"/>
    </i>
    <i r="2">
      <x v="62"/>
    </i>
    <i r="2">
      <x v="71"/>
    </i>
    <i t="blank">
      <x v="38"/>
    </i>
    <i>
      <x v="39"/>
    </i>
    <i r="1">
      <x/>
      <x v="1"/>
    </i>
    <i r="2">
      <x v="65"/>
    </i>
    <i r="1">
      <x v="2"/>
      <x v="95"/>
    </i>
    <i r="2">
      <x v="102"/>
    </i>
    <i r="2">
      <x v="118"/>
    </i>
    <i r="1">
      <x v="5"/>
      <x v="63"/>
    </i>
    <i r="2">
      <x v="64"/>
    </i>
    <i r="2">
      <x v="94"/>
    </i>
    <i r="2">
      <x v="108"/>
    </i>
    <i r="2">
      <x v="109"/>
    </i>
    <i r="2">
      <x v="130"/>
    </i>
    <i r="1">
      <x v="11"/>
      <x v="6"/>
    </i>
    <i r="2">
      <x v="10"/>
    </i>
    <i r="2">
      <x v="11"/>
    </i>
    <i r="2">
      <x v="13"/>
    </i>
    <i r="2">
      <x v="15"/>
    </i>
    <i r="2">
      <x v="18"/>
    </i>
    <i r="2">
      <x v="32"/>
    </i>
    <i r="2">
      <x v="33"/>
    </i>
    <i r="2">
      <x v="36"/>
    </i>
    <i r="2">
      <x v="38"/>
    </i>
    <i r="2">
      <x v="41"/>
    </i>
    <i r="2">
      <x v="55"/>
    </i>
    <i r="2">
      <x v="61"/>
    </i>
    <i r="2">
      <x v="67"/>
    </i>
    <i r="2">
      <x v="68"/>
    </i>
    <i r="2">
      <x v="70"/>
    </i>
    <i r="2">
      <x v="73"/>
    </i>
    <i r="2">
      <x v="84"/>
    </i>
    <i r="2">
      <x v="92"/>
    </i>
    <i r="2">
      <x v="98"/>
    </i>
    <i r="2">
      <x v="103"/>
    </i>
    <i r="2">
      <x v="106"/>
    </i>
    <i r="2">
      <x v="117"/>
    </i>
    <i r="2">
      <x v="122"/>
    </i>
    <i r="2">
      <x v="125"/>
    </i>
    <i t="blank">
      <x v="39"/>
    </i>
    <i>
      <x v="40"/>
    </i>
    <i r="1">
      <x/>
      <x v="94"/>
    </i>
    <i r="1">
      <x v="1"/>
      <x v="117"/>
    </i>
    <i r="1">
      <x v="2"/>
      <x v="104"/>
    </i>
    <i r="2">
      <x v="113"/>
    </i>
    <i r="1">
      <x v="4"/>
      <x v="73"/>
    </i>
    <i r="2">
      <x v="98"/>
    </i>
    <i r="1">
      <x v="6"/>
      <x v="84"/>
    </i>
    <i r="1">
      <x v="7"/>
      <x v="65"/>
    </i>
    <i r="1">
      <x v="8"/>
      <x v="41"/>
    </i>
    <i r="2">
      <x v="99"/>
    </i>
    <i r="2">
      <x v="102"/>
    </i>
    <i r="1">
      <x v="11"/>
      <x v="100"/>
    </i>
    <i r="1">
      <x v="12"/>
      <x v="58"/>
    </i>
    <i r="1">
      <x v="13"/>
      <x v="70"/>
    </i>
    <i r="2">
      <x v="85"/>
    </i>
    <i r="2">
      <x v="95"/>
    </i>
    <i r="1">
      <x v="16"/>
      <x v="1"/>
    </i>
    <i r="2">
      <x v="33"/>
    </i>
    <i r="2">
      <x v="76"/>
    </i>
    <i r="2">
      <x v="105"/>
    </i>
    <i t="blank">
      <x v="40"/>
    </i>
    <i>
      <x v="41"/>
    </i>
    <i r="1">
      <x/>
      <x v="24"/>
    </i>
    <i r="1">
      <x v="1"/>
      <x v="19"/>
    </i>
    <i r="1">
      <x v="2"/>
      <x v="94"/>
    </i>
    <i r="1">
      <x v="3"/>
      <x v="102"/>
    </i>
    <i r="1">
      <x v="4"/>
      <x v="95"/>
    </i>
    <i r="2">
      <x v="98"/>
    </i>
    <i r="1">
      <x v="6"/>
      <x v="99"/>
    </i>
    <i r="2">
      <x v="117"/>
    </i>
    <i r="1">
      <x v="8"/>
      <x v="14"/>
    </i>
    <i r="2">
      <x v="21"/>
    </i>
    <i r="2">
      <x v="81"/>
    </i>
    <i r="2">
      <x v="118"/>
    </i>
    <i r="1">
      <x v="12"/>
      <x v="1"/>
    </i>
    <i r="2">
      <x v="3"/>
    </i>
    <i r="2">
      <x v="16"/>
    </i>
    <i r="2">
      <x v="29"/>
    </i>
    <i r="2">
      <x v="32"/>
    </i>
    <i r="2">
      <x v="59"/>
    </i>
    <i r="2">
      <x v="62"/>
    </i>
    <i r="2">
      <x v="63"/>
    </i>
    <i r="2">
      <x v="64"/>
    </i>
    <i r="2">
      <x v="76"/>
    </i>
    <i r="2">
      <x v="103"/>
    </i>
    <i r="2">
      <x v="104"/>
    </i>
    <i r="2">
      <x v="109"/>
    </i>
    <i r="2">
      <x v="121"/>
    </i>
    <i t="blank">
      <x v="41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604">
      <pivotArea field="2" type="button" dataOnly="0" labelOnly="1" outline="0" axis="axisRow" fieldPosition="0"/>
    </format>
    <format dxfId="603">
      <pivotArea outline="0" fieldPosition="0">
        <references count="1">
          <reference field="4294967294" count="1">
            <x v="0"/>
          </reference>
        </references>
      </pivotArea>
    </format>
    <format dxfId="602">
      <pivotArea outline="0" fieldPosition="0">
        <references count="1">
          <reference field="4294967294" count="1">
            <x v="1"/>
          </reference>
        </references>
      </pivotArea>
    </format>
    <format dxfId="601">
      <pivotArea outline="0" fieldPosition="0">
        <references count="1">
          <reference field="4294967294" count="1">
            <x v="2"/>
          </reference>
        </references>
      </pivotArea>
    </format>
    <format dxfId="600">
      <pivotArea outline="0" fieldPosition="0">
        <references count="1">
          <reference field="4294967294" count="1">
            <x v="3"/>
          </reference>
        </references>
      </pivotArea>
    </format>
    <format dxfId="599">
      <pivotArea outline="0" fieldPosition="0">
        <references count="1">
          <reference field="4294967294" count="1">
            <x v="4"/>
          </reference>
        </references>
      </pivotArea>
    </format>
    <format dxfId="598">
      <pivotArea outline="0" fieldPosition="0">
        <references count="1">
          <reference field="4294967294" count="1">
            <x v="5"/>
          </reference>
        </references>
      </pivotArea>
    </format>
    <format dxfId="597">
      <pivotArea outline="0" fieldPosition="0">
        <references count="1">
          <reference field="4294967294" count="1">
            <x v="6"/>
          </reference>
        </references>
      </pivotArea>
    </format>
    <format dxfId="596">
      <pivotArea field="2" type="button" dataOnly="0" labelOnly="1" outline="0" axis="axisRow" fieldPosition="0"/>
    </format>
    <format dxfId="59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94">
      <pivotArea field="2" type="button" dataOnly="0" labelOnly="1" outline="0" axis="axisRow" fieldPosition="0"/>
    </format>
    <format dxfId="59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92">
      <pivotArea field="2" type="button" dataOnly="0" labelOnly="1" outline="0" axis="axisRow" fieldPosition="0"/>
    </format>
    <format dxfId="59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9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8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88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16FBCE-CBF6-4870-B059-5F55F572384A}" name="LTBL_47000" displayName="LTBL_47000" ref="B4:I20" totalsRowCount="1">
  <autoFilter ref="B4:I19" xr:uid="{E116FBCE-CBF6-4870-B059-5F55F572384A}"/>
  <tableColumns count="8">
    <tableColumn id="9" xr3:uid="{559195A7-E067-4146-A583-29240620E377}" name="産業大分類" totalsRowLabel="合計" totalsRowDxfId="587"/>
    <tableColumn id="10" xr3:uid="{FE37FE10-6731-491F-B264-C45625778822}" name="総数／事業所数" totalsRowFunction="custom" totalsRowDxfId="586" dataCellStyle="桁区切り" totalsRowCellStyle="桁区切り">
      <totalsRowFormula>SUM(LTBL_47000[総数／事業所数])</totalsRowFormula>
    </tableColumn>
    <tableColumn id="11" xr3:uid="{75C6DE53-6948-432A-9A2C-0AABB4A14B83}" name="総数／構成比" dataDxfId="585"/>
    <tableColumn id="12" xr3:uid="{A8E30418-000A-4F1C-BE7E-1A4B80E3708A}" name="個人／事業所数" totalsRowFunction="sum" totalsRowDxfId="584" dataCellStyle="桁区切り" totalsRowCellStyle="桁区切り"/>
    <tableColumn id="13" xr3:uid="{32B9D990-9A3D-4986-840C-8D87B982B83A}" name="個人／構成比" dataDxfId="583"/>
    <tableColumn id="14" xr3:uid="{D32E3C45-9747-49E2-B302-04A02C2DB4C1}" name="法人／事業所数" totalsRowFunction="sum" totalsRowDxfId="582" dataCellStyle="桁区切り" totalsRowCellStyle="桁区切り"/>
    <tableColumn id="15" xr3:uid="{253D8141-0EBF-4A03-AA4A-6C1A041DC941}" name="法人／構成比" dataDxfId="581"/>
    <tableColumn id="16" xr3:uid="{EBA14A28-3807-4ACA-A956-367722B0AC38}" name="法人以外の団体／事業所数" totalsRowFunction="sum" totalsRowDxfId="580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6E78D35-BFF9-4476-A027-3970D886C944}" name="LTBL_47207" displayName="LTBL_47207" ref="B4:I20" totalsRowCount="1">
  <autoFilter ref="B4:I19" xr:uid="{86E78D35-BFF9-4476-A027-3970D886C944}"/>
  <tableColumns count="8">
    <tableColumn id="9" xr3:uid="{1F64A2BE-4DCD-4087-B238-90A054F401D0}" name="産業大分類" totalsRowLabel="合計" totalsRowDxfId="545"/>
    <tableColumn id="10" xr3:uid="{00ACA02E-924F-4B51-B4B2-BEBFD70AFD56}" name="総数／事業所数" totalsRowFunction="custom" totalsRowDxfId="544" dataCellStyle="桁区切り" totalsRowCellStyle="桁区切り">
      <totalsRowFormula>SUM(LTBL_47207[総数／事業所数])</totalsRowFormula>
    </tableColumn>
    <tableColumn id="11" xr3:uid="{7D562F85-8AAC-4BEB-A0DD-C6250E6B66BC}" name="総数／構成比" dataDxfId="543"/>
    <tableColumn id="12" xr3:uid="{36D73DBC-DE07-409D-BFD2-0E9B50854582}" name="個人／事業所数" totalsRowFunction="sum" totalsRowDxfId="542" dataCellStyle="桁区切り" totalsRowCellStyle="桁区切り"/>
    <tableColumn id="13" xr3:uid="{5046592F-00D3-43CB-9536-F7FC2495138E}" name="個人／構成比" dataDxfId="541"/>
    <tableColumn id="14" xr3:uid="{7C0787B5-B15B-470E-A75E-1DC73582C258}" name="法人／事業所数" totalsRowFunction="sum" totalsRowDxfId="540" dataCellStyle="桁区切り" totalsRowCellStyle="桁区切り"/>
    <tableColumn id="15" xr3:uid="{DABDD2D0-5E9B-4835-847C-47C9DF4289D4}" name="法人／構成比" dataDxfId="539"/>
    <tableColumn id="16" xr3:uid="{1C103EF2-B517-4A32-BF0A-60AA47080B23}" name="法人以外の団体／事業所数" totalsRowFunction="sum" totalsRowDxfId="538" dataCellStyle="桁区切り" totalsRowCellStyle="桁区切り"/>
  </tableColumns>
  <tableStyleInfo name="TableStyleMedium9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6D4797CC-BB51-4D54-B85E-CD1FADB51D1B}" name="LTBL_47357" displayName="LTBL_47357" ref="B4:I20" totalsRowCount="1">
  <autoFilter ref="B4:I19" xr:uid="{6D4797CC-BB51-4D54-B85E-CD1FADB51D1B}"/>
  <tableColumns count="8">
    <tableColumn id="9" xr3:uid="{8ACDC48C-6197-40F9-B840-3C02605A8B97}" name="産業大分類" totalsRowLabel="合計" totalsRowDxfId="125"/>
    <tableColumn id="10" xr3:uid="{F0C6BD58-9518-4CE7-AED7-F899032470AB}" name="総数／事業所数" totalsRowFunction="custom" totalsRowDxfId="124" dataCellStyle="桁区切り" totalsRowCellStyle="桁区切り">
      <totalsRowFormula>SUM(LTBL_47357[総数／事業所数])</totalsRowFormula>
    </tableColumn>
    <tableColumn id="11" xr3:uid="{37E840D6-26D0-4499-8AD1-0305AB9CA891}" name="総数／構成比" dataDxfId="123"/>
    <tableColumn id="12" xr3:uid="{27475C47-719F-4AD9-9F47-6C8E7A4B6F05}" name="個人／事業所数" totalsRowFunction="sum" totalsRowDxfId="122" dataCellStyle="桁区切り" totalsRowCellStyle="桁区切り"/>
    <tableColumn id="13" xr3:uid="{CCA441EB-12B5-45A8-AAC5-CCAB0EEFF27C}" name="個人／構成比" dataDxfId="121"/>
    <tableColumn id="14" xr3:uid="{9BA3C8E8-9696-4A3C-A53F-C33F4CFF34EF}" name="法人／事業所数" totalsRowFunction="sum" totalsRowDxfId="120" dataCellStyle="桁区切り" totalsRowCellStyle="桁区切り"/>
    <tableColumn id="15" xr3:uid="{5FF91DF7-82A5-4D3F-9CDA-B2E7CF1E1014}" name="法人／構成比" dataDxfId="119"/>
    <tableColumn id="16" xr3:uid="{3AC01229-669D-4C7A-B3BF-A25AA29645AB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131140CB-B7DF-4EF4-B9BB-517289524195}" name="M_TABLE_47357" displayName="M_TABLE_47357" ref="B23:I44" totalsRowShown="0">
  <autoFilter ref="B23:I44" xr:uid="{131140CB-B7DF-4EF4-B9BB-517289524195}"/>
  <tableColumns count="8">
    <tableColumn id="9" xr3:uid="{EAEE0F12-E0D7-42CD-A6D5-E4D453175B15}" name="産業中分類上位２０"/>
    <tableColumn id="10" xr3:uid="{8EFD4936-488E-49DB-B104-0796860B9868}" name="総数／事業所数" dataCellStyle="桁区切り"/>
    <tableColumn id="11" xr3:uid="{9E9D2FBC-C813-4FF8-869A-8C0B2C941095}" name="総数／構成比" dataDxfId="117"/>
    <tableColumn id="12" xr3:uid="{D3A93B35-55D9-4729-A135-FE521A662709}" name="個人／事業所数" dataCellStyle="桁区切り"/>
    <tableColumn id="13" xr3:uid="{290B90DC-3027-4016-B5A9-D4E65D443472}" name="個人／構成比" dataDxfId="116"/>
    <tableColumn id="14" xr3:uid="{1C867AA7-2B6C-421F-9FC8-95FC1EF255B2}" name="法人／事業所数" dataCellStyle="桁区切り"/>
    <tableColumn id="15" xr3:uid="{E5FAED48-3EAC-404F-AC81-1A41524A3800}" name="法人／構成比" dataDxfId="115"/>
    <tableColumn id="16" xr3:uid="{57D11235-1F6E-43F7-9A4C-405B3CE016FB}" name="法人以外の団体／事業所数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464D0D27-4790-4527-9E1B-CF9DC9EBCAF8}" name="S_TABLE_47357" displayName="S_TABLE_47357" ref="B47:I78" totalsRowShown="0">
  <autoFilter ref="B47:I78" xr:uid="{464D0D27-4790-4527-9E1B-CF9DC9EBCAF8}"/>
  <tableColumns count="8">
    <tableColumn id="9" xr3:uid="{1ACFBBFF-8D55-42F2-B6A6-94869C5F5162}" name="産業小分類上位２０"/>
    <tableColumn id="10" xr3:uid="{00336C4C-F3F2-4DBB-9FEF-93FD4007555C}" name="総数／事業所数" dataCellStyle="桁区切り"/>
    <tableColumn id="11" xr3:uid="{03680FA7-CA74-4FB8-9527-94F267BFB19E}" name="総数／構成比" dataDxfId="114"/>
    <tableColumn id="12" xr3:uid="{770C9389-C08F-4ED8-87E6-03EF3DBD9195}" name="個人／事業所数" dataCellStyle="桁区切り"/>
    <tableColumn id="13" xr3:uid="{D09A0598-213C-4070-8D43-2FAAB33C2E59}" name="個人／構成比" dataDxfId="113"/>
    <tableColumn id="14" xr3:uid="{EFB02E69-E036-4345-8DED-F57A81FE9611}" name="法人／事業所数" dataCellStyle="桁区切り"/>
    <tableColumn id="15" xr3:uid="{25BEB163-BBCF-489C-B41E-C4A43CC1C5C4}" name="法人／構成比" dataDxfId="112"/>
    <tableColumn id="16" xr3:uid="{2D2A9C73-DA33-4648-AB42-DC2A3EC1117F}" name="法人以外の団体／事業所数" dataCellStyle="桁区切り"/>
  </tableColumns>
  <tableStyleInfo name="TableStyleMedium9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335069AB-B5E4-4481-8905-BE85B8831381}" name="LTBL_47358" displayName="LTBL_47358" ref="B4:I20" totalsRowCount="1">
  <autoFilter ref="B4:I19" xr:uid="{335069AB-B5E4-4481-8905-BE85B8831381}"/>
  <tableColumns count="8">
    <tableColumn id="9" xr3:uid="{2B996A3B-379A-4796-BEF5-9523483C289B}" name="産業大分類" totalsRowLabel="合計" totalsRowDxfId="111"/>
    <tableColumn id="10" xr3:uid="{25E2CC3D-B12D-45F2-868A-F450AADDB629}" name="総数／事業所数" totalsRowFunction="custom" totalsRowDxfId="110" dataCellStyle="桁区切り" totalsRowCellStyle="桁区切り">
      <totalsRowFormula>SUM(LTBL_47358[総数／事業所数])</totalsRowFormula>
    </tableColumn>
    <tableColumn id="11" xr3:uid="{42E68A8F-B81D-4BBB-9CA6-3E9669BEA186}" name="総数／構成比" dataDxfId="109"/>
    <tableColumn id="12" xr3:uid="{B2EF28B0-7075-4695-8269-B21AD3AC8EEF}" name="個人／事業所数" totalsRowFunction="sum" totalsRowDxfId="108" dataCellStyle="桁区切り" totalsRowCellStyle="桁区切り"/>
    <tableColumn id="13" xr3:uid="{69026F87-ED40-4A08-B458-A0D0512D4A45}" name="個人／構成比" dataDxfId="107"/>
    <tableColumn id="14" xr3:uid="{4A5E2D09-2918-4E17-B850-1AD97852D088}" name="法人／事業所数" totalsRowFunction="sum" totalsRowDxfId="106" dataCellStyle="桁区切り" totalsRowCellStyle="桁区切り"/>
    <tableColumn id="15" xr3:uid="{51F8340F-77B9-4CFD-904A-5EA45A687460}" name="法人／構成比" dataDxfId="105"/>
    <tableColumn id="16" xr3:uid="{1CBBC015-FDAB-4E4A-87D2-937916086FD7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5563616D-A85A-40B9-B467-0830D0B7ECB0}" name="M_TABLE_47358" displayName="M_TABLE_47358" ref="B23:I42" totalsRowShown="0">
  <autoFilter ref="B23:I42" xr:uid="{5563616D-A85A-40B9-B467-0830D0B7ECB0}"/>
  <tableColumns count="8">
    <tableColumn id="9" xr3:uid="{87D5FFF2-8AF3-4758-8103-E4C159D848F7}" name="産業中分類上位２０"/>
    <tableColumn id="10" xr3:uid="{84336285-995D-4494-9883-514604F6DBA3}" name="総数／事業所数" dataCellStyle="桁区切り"/>
    <tableColumn id="11" xr3:uid="{B57E94B7-41CF-4141-8C9F-0F6B4EDE03D7}" name="総数／構成比" dataDxfId="103"/>
    <tableColumn id="12" xr3:uid="{D6BE0D5F-B5BC-44BE-AE11-3E125A10BB77}" name="個人／事業所数" dataCellStyle="桁区切り"/>
    <tableColumn id="13" xr3:uid="{34933FE9-B13D-4804-9692-5323A5E3D502}" name="個人／構成比" dataDxfId="102"/>
    <tableColumn id="14" xr3:uid="{0B946DD7-A59D-45AF-B9F0-AACD8676E2B9}" name="法人／事業所数" dataCellStyle="桁区切り"/>
    <tableColumn id="15" xr3:uid="{EACE9D1E-1A86-40D9-A5DD-31B58F912A12}" name="法人／構成比" dataDxfId="101"/>
    <tableColumn id="16" xr3:uid="{20CE9C73-8476-453D-943C-A99A0C925E33}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99168688-46F7-4FF9-8E64-6C5A301AC1C1}" name="S_TABLE_47358" displayName="S_TABLE_47358" ref="B45:I70" totalsRowShown="0">
  <autoFilter ref="B45:I70" xr:uid="{99168688-46F7-4FF9-8E64-6C5A301AC1C1}"/>
  <tableColumns count="8">
    <tableColumn id="9" xr3:uid="{AEA1A70B-3FB5-4894-B287-23F59564C93F}" name="産業小分類上位２０"/>
    <tableColumn id="10" xr3:uid="{30A862E9-C97C-4CA6-AA66-31D3A74A4179}" name="総数／事業所数" dataCellStyle="桁区切り"/>
    <tableColumn id="11" xr3:uid="{8D259251-DF47-4A2B-B8FE-AB647860864C}" name="総数／構成比" dataDxfId="100"/>
    <tableColumn id="12" xr3:uid="{BE11AE5A-08AF-4A3C-BAE7-A3EB7D84B36C}" name="個人／事業所数" dataCellStyle="桁区切り"/>
    <tableColumn id="13" xr3:uid="{BE36965A-2419-453E-9B29-A35674D865B6}" name="個人／構成比" dataDxfId="99"/>
    <tableColumn id="14" xr3:uid="{E1428D46-0585-4A29-AEE8-6774E7842E28}" name="法人／事業所数" dataCellStyle="桁区切り"/>
    <tableColumn id="15" xr3:uid="{7477D69F-4FF9-4D98-9031-380DD685F008}" name="法人／構成比" dataDxfId="98"/>
    <tableColumn id="16" xr3:uid="{C8F40250-1C1D-4047-BE53-8D9C4C5E7422}" name="法人以外の団体／事業所数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812799F4-8005-4EEB-94E7-E6D98A866EEB}" name="LTBL_47359" displayName="LTBL_47359" ref="B4:I20" totalsRowCount="1">
  <autoFilter ref="B4:I19" xr:uid="{812799F4-8005-4EEB-94E7-E6D98A866EEB}"/>
  <tableColumns count="8">
    <tableColumn id="9" xr3:uid="{27743EE2-D279-4CDC-9CB1-F92D908A842D}" name="産業大分類" totalsRowLabel="合計" totalsRowDxfId="97"/>
    <tableColumn id="10" xr3:uid="{141266E5-61C9-41E4-A71E-EA36DD8825A8}" name="総数／事業所数" totalsRowFunction="custom" totalsRowDxfId="96" dataCellStyle="桁区切り" totalsRowCellStyle="桁区切り">
      <totalsRowFormula>SUM(LTBL_47359[総数／事業所数])</totalsRowFormula>
    </tableColumn>
    <tableColumn id="11" xr3:uid="{E19026D8-AEED-4172-862F-DAA553E19E55}" name="総数／構成比" dataDxfId="95"/>
    <tableColumn id="12" xr3:uid="{1585E786-05EB-4578-80B3-D03E938A8AAB}" name="個人／事業所数" totalsRowFunction="sum" totalsRowDxfId="94" dataCellStyle="桁区切り" totalsRowCellStyle="桁区切り"/>
    <tableColumn id="13" xr3:uid="{400A926E-ACE7-4DCF-8450-2560F2651AA8}" name="個人／構成比" dataDxfId="93"/>
    <tableColumn id="14" xr3:uid="{2250B44D-BF12-4CE3-92F0-B423D03A4C7D}" name="法人／事業所数" totalsRowFunction="sum" totalsRowDxfId="92" dataCellStyle="桁区切り" totalsRowCellStyle="桁区切り"/>
    <tableColumn id="15" xr3:uid="{0DD301B2-F590-4441-897E-68FCF5C079B5}" name="法人／構成比" dataDxfId="91"/>
    <tableColumn id="16" xr3:uid="{0808E014-627E-4F1E-AD5D-67AAB395F38B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F24D8BA6-555E-4ECD-ADF9-778F73BD1009}" name="M_TABLE_47359" displayName="M_TABLE_47359" ref="B23:I44" totalsRowShown="0">
  <autoFilter ref="B23:I44" xr:uid="{F24D8BA6-555E-4ECD-ADF9-778F73BD1009}"/>
  <tableColumns count="8">
    <tableColumn id="9" xr3:uid="{F719FD6B-EC8F-4881-A546-5F1E0EB117E7}" name="産業中分類上位２０"/>
    <tableColumn id="10" xr3:uid="{58D41CB7-4361-4B51-BE60-08E5DABFE56E}" name="総数／事業所数" dataCellStyle="桁区切り"/>
    <tableColumn id="11" xr3:uid="{E0E73A0F-620F-4EE5-9C8E-1009B628EE61}" name="総数／構成比" dataDxfId="89"/>
    <tableColumn id="12" xr3:uid="{4CF76F5C-522F-4767-9991-4A4355840264}" name="個人／事業所数" dataCellStyle="桁区切り"/>
    <tableColumn id="13" xr3:uid="{607E22CF-6CD2-483B-8F73-E90A938ECD97}" name="個人／構成比" dataDxfId="88"/>
    <tableColumn id="14" xr3:uid="{960CBCDA-9180-4E7C-9D63-68B2DB776AC8}" name="法人／事業所数" dataCellStyle="桁区切り"/>
    <tableColumn id="15" xr3:uid="{B6EFF699-2721-4DA9-A89B-B781E10210BB}" name="法人／構成比" dataDxfId="87"/>
    <tableColumn id="16" xr3:uid="{4EBBB0E9-41C1-4EAA-BDF9-322846712F92}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BBE57AFE-DFFF-4D3E-B5DF-1485C22427F5}" name="S_TABLE_47359" displayName="S_TABLE_47359" ref="B47:I80" totalsRowShown="0">
  <autoFilter ref="B47:I80" xr:uid="{BBE57AFE-DFFF-4D3E-B5DF-1485C22427F5}"/>
  <tableColumns count="8">
    <tableColumn id="9" xr3:uid="{656B8BA9-799B-449C-9C58-DE8D33889708}" name="産業小分類上位２０"/>
    <tableColumn id="10" xr3:uid="{9E076AFA-E37E-4117-A294-A163BFD0D802}" name="総数／事業所数" dataCellStyle="桁区切り"/>
    <tableColumn id="11" xr3:uid="{9AAB8649-CDEB-4BF0-9CC2-8326B1802852}" name="総数／構成比" dataDxfId="86"/>
    <tableColumn id="12" xr3:uid="{B955DCAC-62CB-41F9-8A19-BDD5FA7C0125}" name="個人／事業所数" dataCellStyle="桁区切り"/>
    <tableColumn id="13" xr3:uid="{6B779F35-5A87-42CB-8504-FFCD9B0A748F}" name="個人／構成比" dataDxfId="85"/>
    <tableColumn id="14" xr3:uid="{8CC394A4-E2D6-4396-8547-BFEDB8989179}" name="法人／事業所数" dataCellStyle="桁区切り"/>
    <tableColumn id="15" xr3:uid="{A611C49F-271A-43F7-A86C-D3A7FF51DA27}" name="法人／構成比" dataDxfId="84"/>
    <tableColumn id="16" xr3:uid="{CBD3C2F4-7215-4D92-9238-C1A7D40A8C18}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E54C7599-B84A-4DDC-94F2-F6F42537BD70}" name="LTBL_47360" displayName="LTBL_47360" ref="B4:I20" totalsRowCount="1">
  <autoFilter ref="B4:I19" xr:uid="{E54C7599-B84A-4DDC-94F2-F6F42537BD70}"/>
  <tableColumns count="8">
    <tableColumn id="9" xr3:uid="{95E48048-30B1-4604-AA6C-F20A062D0478}" name="産業大分類" totalsRowLabel="合計" totalsRowDxfId="83"/>
    <tableColumn id="10" xr3:uid="{B4EF59AC-FD90-47A4-AD13-092CA88F0629}" name="総数／事業所数" totalsRowFunction="custom" totalsRowDxfId="82" dataCellStyle="桁区切り" totalsRowCellStyle="桁区切り">
      <totalsRowFormula>SUM(LTBL_47360[総数／事業所数])</totalsRowFormula>
    </tableColumn>
    <tableColumn id="11" xr3:uid="{022A0994-C6D1-42E0-82B4-26762C263F3B}" name="総数／構成比" dataDxfId="81"/>
    <tableColumn id="12" xr3:uid="{506033EB-3D58-4F79-A078-0144827DF43E}" name="個人／事業所数" totalsRowFunction="sum" totalsRowDxfId="80" dataCellStyle="桁区切り" totalsRowCellStyle="桁区切り"/>
    <tableColumn id="13" xr3:uid="{3B8F3FCE-DDA9-457D-8D40-CBCA146C3947}" name="個人／構成比" dataDxfId="79"/>
    <tableColumn id="14" xr3:uid="{794B6E43-51CF-4200-8BD6-FA932E5CB8B0}" name="法人／事業所数" totalsRowFunction="sum" totalsRowDxfId="78" dataCellStyle="桁区切り" totalsRowCellStyle="桁区切り"/>
    <tableColumn id="15" xr3:uid="{CD5C8E28-7D87-4F0F-94C1-177DD1D4C26D}" name="法人／構成比" dataDxfId="77"/>
    <tableColumn id="16" xr3:uid="{0A66C33C-89CA-49D7-A5EF-775D10E94172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4DE65F0-0BC3-4928-9BC5-6CDC411DE960}" name="M_TABLE_47207" displayName="M_TABLE_47207" ref="B23:I43" totalsRowShown="0">
  <autoFilter ref="B23:I43" xr:uid="{54DE65F0-0BC3-4928-9BC5-6CDC411DE960}"/>
  <tableColumns count="8">
    <tableColumn id="9" xr3:uid="{4A189D17-7CCD-4C17-9F7E-4F739B2E6071}" name="産業中分類上位２０"/>
    <tableColumn id="10" xr3:uid="{59EA2671-B599-4901-A349-F030C702BF6A}" name="総数／事業所数" dataCellStyle="桁区切り"/>
    <tableColumn id="11" xr3:uid="{815C6449-6F5E-4E02-BADA-42281566683C}" name="総数／構成比" dataDxfId="537"/>
    <tableColumn id="12" xr3:uid="{50BE0DFF-1AD7-4AE4-808E-BF3B8CA5A10C}" name="個人／事業所数" dataCellStyle="桁区切り"/>
    <tableColumn id="13" xr3:uid="{FECA5D64-4CF3-4880-9CBE-86D13D3CCFB6}" name="個人／構成比" dataDxfId="536"/>
    <tableColumn id="14" xr3:uid="{EB0340FD-DDBB-4BFC-AD67-8C4719B1AE8F}" name="法人／事業所数" dataCellStyle="桁区切り"/>
    <tableColumn id="15" xr3:uid="{C7F91FBA-07A4-4CBB-9DAC-D64430A122AE}" name="法人／構成比" dataDxfId="535"/>
    <tableColumn id="16" xr3:uid="{CEA616EB-5B2A-48CE-AF6B-CDE29528EBCA}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DBDC05EB-9E6B-4CE4-997A-CEDE7A001655}" name="M_TABLE_47360" displayName="M_TABLE_47360" ref="B23:I45" totalsRowShown="0">
  <autoFilter ref="B23:I45" xr:uid="{DBDC05EB-9E6B-4CE4-997A-CEDE7A001655}"/>
  <tableColumns count="8">
    <tableColumn id="9" xr3:uid="{DE4A4369-9E25-452A-B338-87AAB2C0BB89}" name="産業中分類上位２０"/>
    <tableColumn id="10" xr3:uid="{DD1B8B8B-BB86-4ACB-83BB-56AC86D7DE93}" name="総数／事業所数" dataCellStyle="桁区切り"/>
    <tableColumn id="11" xr3:uid="{949797B5-3D1F-4FAA-AE71-F7D1304AC65C}" name="総数／構成比" dataDxfId="75"/>
    <tableColumn id="12" xr3:uid="{3FD91E0A-590F-49D7-92F6-D9F725825352}" name="個人／事業所数" dataCellStyle="桁区切り"/>
    <tableColumn id="13" xr3:uid="{C9147430-784D-462F-A817-7780E09CEFEE}" name="個人／構成比" dataDxfId="74"/>
    <tableColumn id="14" xr3:uid="{07B090AA-0ADB-40C5-83F8-9CFEF3B65D98}" name="法人／事業所数" dataCellStyle="桁区切り"/>
    <tableColumn id="15" xr3:uid="{2683C763-D59C-4E80-94B2-33E70EB40320}" name="法人／構成比" dataDxfId="73"/>
    <tableColumn id="16" xr3:uid="{6585E164-2547-465F-8C06-C2DF836D4692}" name="法人以外の団体／事業所数" dataCellStyle="桁区切り"/>
  </tableColumns>
  <tableStyleInfo name="TableStyleMedium9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C04823E-E504-4EC1-9996-02E0ACDB05AE}" name="S_TABLE_47360" displayName="S_TABLE_47360" ref="B48:I80" totalsRowShown="0">
  <autoFilter ref="B48:I80" xr:uid="{0C04823E-E504-4EC1-9996-02E0ACDB05AE}"/>
  <tableColumns count="8">
    <tableColumn id="9" xr3:uid="{7D298E65-65F8-4545-9864-2A489F8571F5}" name="産業小分類上位２０"/>
    <tableColumn id="10" xr3:uid="{44C5C3FA-3325-49A9-9D02-849EA2741457}" name="総数／事業所数" dataCellStyle="桁区切り"/>
    <tableColumn id="11" xr3:uid="{D2EE0BFB-A971-429B-A747-504635A5A4DE}" name="総数／構成比" dataDxfId="72"/>
    <tableColumn id="12" xr3:uid="{4375ED3F-7F7F-4E33-AED6-D835EE88001C}" name="個人／事業所数" dataCellStyle="桁区切り"/>
    <tableColumn id="13" xr3:uid="{1FE46B80-DD8E-4190-95F7-D1C67474313C}" name="個人／構成比" dataDxfId="71"/>
    <tableColumn id="14" xr3:uid="{945A8E76-A1DF-4F64-9046-817AB8633425}" name="法人／事業所数" dataCellStyle="桁区切り"/>
    <tableColumn id="15" xr3:uid="{FA833D22-BBC2-4CD8-8B04-14C4B876AB3C}" name="法人／構成比" dataDxfId="70"/>
    <tableColumn id="16" xr3:uid="{819FF362-571E-4DC0-A540-15CF6007CBDB}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2B4D2492-1EA4-4990-90F1-A1741732A52F}" name="LTBL_47361" displayName="LTBL_47361" ref="B4:I20" totalsRowCount="1">
  <autoFilter ref="B4:I19" xr:uid="{2B4D2492-1EA4-4990-90F1-A1741732A52F}"/>
  <tableColumns count="8">
    <tableColumn id="9" xr3:uid="{45628710-4DF9-4EDF-BD51-DE994CBD31F8}" name="産業大分類" totalsRowLabel="合計" totalsRowDxfId="69"/>
    <tableColumn id="10" xr3:uid="{9A685E32-88D9-4C30-85ED-ADDA4D8F8BA7}" name="総数／事業所数" totalsRowFunction="custom" totalsRowDxfId="68" dataCellStyle="桁区切り" totalsRowCellStyle="桁区切り">
      <totalsRowFormula>SUM(LTBL_47361[総数／事業所数])</totalsRowFormula>
    </tableColumn>
    <tableColumn id="11" xr3:uid="{9CADAF95-26BC-4655-8045-CB9E419DF8FF}" name="総数／構成比" dataDxfId="67"/>
    <tableColumn id="12" xr3:uid="{E27B2466-2E59-47A1-B6AA-E44D2B820931}" name="個人／事業所数" totalsRowFunction="sum" totalsRowDxfId="66" dataCellStyle="桁区切り" totalsRowCellStyle="桁区切り"/>
    <tableColumn id="13" xr3:uid="{EA34DB9D-6C7C-405F-8C72-AC6635B786B4}" name="個人／構成比" dataDxfId="65"/>
    <tableColumn id="14" xr3:uid="{823F6F45-F052-4BAE-8873-4984D3C31372}" name="法人／事業所数" totalsRowFunction="sum" totalsRowDxfId="64" dataCellStyle="桁区切り" totalsRowCellStyle="桁区切り"/>
    <tableColumn id="15" xr3:uid="{92E3B221-8699-41D7-81EA-F5A629753B1D}" name="法人／構成比" dataDxfId="63"/>
    <tableColumn id="16" xr3:uid="{ABEB981A-E319-40A0-A4D2-E4B08CF9BC7D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F5CC814C-98F6-49F5-84AA-5452946A4157}" name="M_TABLE_47361" displayName="M_TABLE_47361" ref="B23:I44" totalsRowShown="0">
  <autoFilter ref="B23:I44" xr:uid="{F5CC814C-98F6-49F5-84AA-5452946A4157}"/>
  <tableColumns count="8">
    <tableColumn id="9" xr3:uid="{077B4B61-8718-4127-94D6-6DEF29614F8A}" name="産業中分類上位２０"/>
    <tableColumn id="10" xr3:uid="{C9A18F37-A89E-41CC-AF7A-BEE9C71F4BD6}" name="総数／事業所数" dataCellStyle="桁区切り"/>
    <tableColumn id="11" xr3:uid="{94E961C1-E879-40D5-8054-18DE609C7DFC}" name="総数／構成比" dataDxfId="61"/>
    <tableColumn id="12" xr3:uid="{7843AB44-1792-4000-BC18-DF0B4824C014}" name="個人／事業所数" dataCellStyle="桁区切り"/>
    <tableColumn id="13" xr3:uid="{33471404-BA6B-463C-BA39-146885DA10C4}" name="個人／構成比" dataDxfId="60"/>
    <tableColumn id="14" xr3:uid="{81E361BB-9BA5-4EB2-B610-D1F32DD50004}" name="法人／事業所数" dataCellStyle="桁区切り"/>
    <tableColumn id="15" xr3:uid="{F1B3605B-295E-4551-A91C-FDEBC27C7812}" name="法人／構成比" dataDxfId="59"/>
    <tableColumn id="16" xr3:uid="{F48DC6AE-E763-4F85-9989-6AE2C22AB59C}" name="法人以外の団体／事業所数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1AD83DEA-09C7-4515-89DF-EFB9BB239E3E}" name="S_TABLE_47361" displayName="S_TABLE_47361" ref="B47:I75" totalsRowShown="0">
  <autoFilter ref="B47:I75" xr:uid="{1AD83DEA-09C7-4515-89DF-EFB9BB239E3E}"/>
  <tableColumns count="8">
    <tableColumn id="9" xr3:uid="{D6BC771F-6A04-4D36-85F5-7BA034FF2E51}" name="産業小分類上位２０"/>
    <tableColumn id="10" xr3:uid="{A5E271CD-3522-4FEE-B90B-912401685E60}" name="総数／事業所数" dataCellStyle="桁区切り"/>
    <tableColumn id="11" xr3:uid="{4993FC68-8FD8-4DB5-8D1F-5B48C45FD50C}" name="総数／構成比" dataDxfId="58"/>
    <tableColumn id="12" xr3:uid="{269543F1-8FC2-4F0A-9101-21BE1B3E36E9}" name="個人／事業所数" dataCellStyle="桁区切り"/>
    <tableColumn id="13" xr3:uid="{79097F5F-144F-48F2-8884-AD1815720B29}" name="個人／構成比" dataDxfId="57"/>
    <tableColumn id="14" xr3:uid="{EE0CA116-D14A-46DB-AF68-9AE0190C2A7B}" name="法人／事業所数" dataCellStyle="桁区切り"/>
    <tableColumn id="15" xr3:uid="{7BCF1D1D-025C-4792-A7A3-700FA961FBFA}" name="法人／構成比" dataDxfId="56"/>
    <tableColumn id="16" xr3:uid="{AEAE2A22-7D7C-4EF5-8AB5-A3B1EE0E12A0}" name="法人以外の団体／事業所数" dataCellStyle="桁区切り"/>
  </tableColumns>
  <tableStyleInfo name="TableStyleMedium9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CA1DE201-014E-4183-83BA-BBF53B85ED6F}" name="LTBL_47362" displayName="LTBL_47362" ref="B4:I20" totalsRowCount="1">
  <autoFilter ref="B4:I19" xr:uid="{CA1DE201-014E-4183-83BA-BBF53B85ED6F}"/>
  <tableColumns count="8">
    <tableColumn id="9" xr3:uid="{A8E82205-BFE0-4742-BD16-5438AB16C491}" name="産業大分類" totalsRowLabel="合計" totalsRowDxfId="55"/>
    <tableColumn id="10" xr3:uid="{F501B80B-4FA6-4E39-AD49-6D9E4BABF722}" name="総数／事業所数" totalsRowFunction="custom" totalsRowDxfId="54" dataCellStyle="桁区切り" totalsRowCellStyle="桁区切り">
      <totalsRowFormula>SUM(LTBL_47362[総数／事業所数])</totalsRowFormula>
    </tableColumn>
    <tableColumn id="11" xr3:uid="{6456CFD6-4A12-4071-B416-5F724EF44AF9}" name="総数／構成比" dataDxfId="53"/>
    <tableColumn id="12" xr3:uid="{BCADBA9A-480D-4509-A3CC-9A1C4F17E189}" name="個人／事業所数" totalsRowFunction="sum" totalsRowDxfId="52" dataCellStyle="桁区切り" totalsRowCellStyle="桁区切り"/>
    <tableColumn id="13" xr3:uid="{FB6F9897-BB5D-4606-8B6C-1B2170AEA467}" name="個人／構成比" dataDxfId="51"/>
    <tableColumn id="14" xr3:uid="{D28314B1-BD59-4B74-AD82-D41C5E154B77}" name="法人／事業所数" totalsRowFunction="sum" totalsRowDxfId="50" dataCellStyle="桁区切り" totalsRowCellStyle="桁区切り"/>
    <tableColumn id="15" xr3:uid="{B4104E85-06AA-4046-BE43-4A2F20622E96}" name="法人／構成比" dataDxfId="49"/>
    <tableColumn id="16" xr3:uid="{6A1D115E-4594-43C1-8A62-A46236D72013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1A41F68E-49EF-46C8-AAD3-1F34880D80C4}" name="M_TABLE_47362" displayName="M_TABLE_47362" ref="B23:I46" totalsRowShown="0">
  <autoFilter ref="B23:I46" xr:uid="{1A41F68E-49EF-46C8-AAD3-1F34880D80C4}"/>
  <tableColumns count="8">
    <tableColumn id="9" xr3:uid="{238006EC-C386-4CEE-B510-EAC95237BDA0}" name="産業中分類上位２０"/>
    <tableColumn id="10" xr3:uid="{1FAEB4EB-68EA-4CDF-82D0-48E8109226D8}" name="総数／事業所数" dataCellStyle="桁区切り"/>
    <tableColumn id="11" xr3:uid="{2496D717-C71E-43FB-B8AA-4500C24E884C}" name="総数／構成比" dataDxfId="47"/>
    <tableColumn id="12" xr3:uid="{71644DC4-7178-40A3-86F7-9E53E8957F0D}" name="個人／事業所数" dataCellStyle="桁区切り"/>
    <tableColumn id="13" xr3:uid="{B4F4CC10-D3F8-41BA-9DDD-59C439C41529}" name="個人／構成比" dataDxfId="46"/>
    <tableColumn id="14" xr3:uid="{38D240CB-431E-4BB2-AA4A-BEAA3CE54B92}" name="法人／事業所数" dataCellStyle="桁区切り"/>
    <tableColumn id="15" xr3:uid="{78E62838-9CF6-4AE0-8E38-6E09A407B996}" name="法人／構成比" dataDxfId="45"/>
    <tableColumn id="16" xr3:uid="{B92B95C9-4B4A-4E97-92B7-917FC9206AEE}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57C9FFC3-907F-4BAA-921D-A7A542978F9B}" name="S_TABLE_47362" displayName="S_TABLE_47362" ref="B49:I71" totalsRowShown="0">
  <autoFilter ref="B49:I71" xr:uid="{57C9FFC3-907F-4BAA-921D-A7A542978F9B}"/>
  <tableColumns count="8">
    <tableColumn id="9" xr3:uid="{F36D5775-C202-4DFD-8FF5-749CA9E99554}" name="産業小分類上位２０"/>
    <tableColumn id="10" xr3:uid="{D07C9C13-28F5-41E8-8BB1-6A005880A43C}" name="総数／事業所数" dataCellStyle="桁区切り"/>
    <tableColumn id="11" xr3:uid="{D9F90FE8-4616-46DA-A39F-7B9786915B54}" name="総数／構成比" dataDxfId="44"/>
    <tableColumn id="12" xr3:uid="{0EB25DE0-874F-41B9-809A-346E7E011652}" name="個人／事業所数" dataCellStyle="桁区切り"/>
    <tableColumn id="13" xr3:uid="{35842183-C748-4640-8FDE-A7D5710E7637}" name="個人／構成比" dataDxfId="43"/>
    <tableColumn id="14" xr3:uid="{F6965CAF-A3FB-4DE4-8657-ACF422E84A51}" name="法人／事業所数" dataCellStyle="桁区切り"/>
    <tableColumn id="15" xr3:uid="{172AD5E8-1C6A-4F97-A704-8EFD48E453EE}" name="法人／構成比" dataDxfId="42"/>
    <tableColumn id="16" xr3:uid="{58ED4F86-169A-4981-AD84-FC7551DAC5C2}" name="法人以外の団体／事業所数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EF7E27A5-A59F-4ED4-98DC-1EC39EE3D664}" name="LTBL_47375" displayName="LTBL_47375" ref="B4:I20" totalsRowCount="1">
  <autoFilter ref="B4:I19" xr:uid="{EF7E27A5-A59F-4ED4-98DC-1EC39EE3D664}"/>
  <tableColumns count="8">
    <tableColumn id="9" xr3:uid="{A07BE19F-6C6F-46C6-874F-5D805323DEF3}" name="産業大分類" totalsRowLabel="合計" totalsRowDxfId="41"/>
    <tableColumn id="10" xr3:uid="{A0487275-8A5B-42FB-8857-929F1DF3199D}" name="総数／事業所数" totalsRowFunction="custom" totalsRowDxfId="40" dataCellStyle="桁区切り" totalsRowCellStyle="桁区切り">
      <totalsRowFormula>SUM(LTBL_47375[総数／事業所数])</totalsRowFormula>
    </tableColumn>
    <tableColumn id="11" xr3:uid="{9B996618-272D-4F8C-A193-1F74E75163CB}" name="総数／構成比" dataDxfId="39"/>
    <tableColumn id="12" xr3:uid="{A055A154-83E0-451D-B543-05CB9CCC80A1}" name="個人／事業所数" totalsRowFunction="sum" totalsRowDxfId="38" dataCellStyle="桁区切り" totalsRowCellStyle="桁区切り"/>
    <tableColumn id="13" xr3:uid="{6A91A042-2966-4BB3-A2DB-FBD3291E71AB}" name="個人／構成比" dataDxfId="37"/>
    <tableColumn id="14" xr3:uid="{A73B612B-59D4-4F0E-82F7-9EF0D17A644D}" name="法人／事業所数" totalsRowFunction="sum" totalsRowDxfId="36" dataCellStyle="桁区切り" totalsRowCellStyle="桁区切り"/>
    <tableColumn id="15" xr3:uid="{42F2F09D-1E6B-4D34-A940-D7D3A3D18246}" name="法人／構成比" dataDxfId="35"/>
    <tableColumn id="16" xr3:uid="{904F6522-0327-4A2B-8889-1E5103DA7DAB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7A3BB1AD-8A85-4C3B-A8F8-3381A1C7EDA1}" name="M_TABLE_47375" displayName="M_TABLE_47375" ref="B23:I47" totalsRowShown="0">
  <autoFilter ref="B23:I47" xr:uid="{7A3BB1AD-8A85-4C3B-A8F8-3381A1C7EDA1}"/>
  <tableColumns count="8">
    <tableColumn id="9" xr3:uid="{26DF196C-5C01-4BBE-84AE-E561B8C6F3BD}" name="産業中分類上位２０"/>
    <tableColumn id="10" xr3:uid="{EF6B9F3F-83D1-4F34-B5CB-19C6AC629057}" name="総数／事業所数" dataCellStyle="桁区切り"/>
    <tableColumn id="11" xr3:uid="{450FAC0B-73DE-431E-AD60-1E1A0BA46ECF}" name="総数／構成比" dataDxfId="33"/>
    <tableColumn id="12" xr3:uid="{E7AE5686-0EFF-4EA7-89BB-A9A63FC37135}" name="個人／事業所数" dataCellStyle="桁区切り"/>
    <tableColumn id="13" xr3:uid="{9B2F3E33-C131-410A-82E2-268ECDBC0E8A}" name="個人／構成比" dataDxfId="32"/>
    <tableColumn id="14" xr3:uid="{209F068B-AC15-468E-8FFE-E79EFF06822D}" name="法人／事業所数" dataCellStyle="桁区切り"/>
    <tableColumn id="15" xr3:uid="{96834974-7F8F-452A-99E4-4BE1E731AE98}" name="法人／構成比" dataDxfId="31"/>
    <tableColumn id="16" xr3:uid="{1339F7FD-D570-419A-A2BA-5CB636EF5847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7B13C2C-5C17-486C-AE52-E700805F0088}" name="S_TABLE_47207" displayName="S_TABLE_47207" ref="B46:I66" totalsRowShown="0">
  <autoFilter ref="B46:I66" xr:uid="{87B13C2C-5C17-486C-AE52-E700805F0088}"/>
  <tableColumns count="8">
    <tableColumn id="9" xr3:uid="{11BDFAFA-4E1D-4137-86A0-BD72266D1AF9}" name="産業小分類上位２０"/>
    <tableColumn id="10" xr3:uid="{2DA63751-B323-432D-8776-E17A21D8205A}" name="総数／事業所数" dataCellStyle="桁区切り"/>
    <tableColumn id="11" xr3:uid="{AED882FA-1DFA-4254-B4D5-F88168986AD6}" name="総数／構成比" dataDxfId="534"/>
    <tableColumn id="12" xr3:uid="{C7908632-0254-43E4-BA3C-71CE6ACC0B08}" name="個人／事業所数" dataCellStyle="桁区切り"/>
    <tableColumn id="13" xr3:uid="{C02978AF-3A31-43A1-8376-0062A71DA27A}" name="個人／構成比" dataDxfId="533"/>
    <tableColumn id="14" xr3:uid="{9B3DEEAF-1167-407C-AEA4-3A8E0F908FDC}" name="法人／事業所数" dataCellStyle="桁区切り"/>
    <tableColumn id="15" xr3:uid="{9A0277AD-9FF7-4D3A-8136-197B852F9D12}" name="法人／構成比" dataDxfId="532"/>
    <tableColumn id="16" xr3:uid="{0F6AAFF2-8A16-4702-A376-56CC82836C66}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B9377A8F-1E42-4BB0-AA31-40B640CD95B6}" name="S_TABLE_47375" displayName="S_TABLE_47375" ref="B50:I86" totalsRowShown="0">
  <autoFilter ref="B50:I86" xr:uid="{B9377A8F-1E42-4BB0-AA31-40B640CD95B6}"/>
  <tableColumns count="8">
    <tableColumn id="9" xr3:uid="{4A598B6C-CF2F-47E3-9825-667686FD8D20}" name="産業小分類上位２０"/>
    <tableColumn id="10" xr3:uid="{E91CA84F-2622-4FE3-AB88-E662D4D6D733}" name="総数／事業所数" dataCellStyle="桁区切り"/>
    <tableColumn id="11" xr3:uid="{5859FB07-7351-44F6-A89A-6CC795D14A49}" name="総数／構成比" dataDxfId="30"/>
    <tableColumn id="12" xr3:uid="{079014DD-6817-4F66-8D0C-0C5F677F351F}" name="個人／事業所数" dataCellStyle="桁区切り"/>
    <tableColumn id="13" xr3:uid="{AAC216E6-55E8-49E3-92BB-68604C06C30C}" name="個人／構成比" dataDxfId="29"/>
    <tableColumn id="14" xr3:uid="{A811F249-307E-4997-8BF9-393F2C725B24}" name="法人／事業所数" dataCellStyle="桁区切り"/>
    <tableColumn id="15" xr3:uid="{0129DF79-E7F3-45F4-A1E4-92C03239A26B}" name="法人／構成比" dataDxfId="28"/>
    <tableColumn id="16" xr3:uid="{0AB2D40B-6441-462F-8A0C-365C3FF01D8C}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17CC1C2A-DB1F-4E61-806D-D79ACFE423A1}" name="LTBL_47381" displayName="LTBL_47381" ref="B4:I20" totalsRowCount="1">
  <autoFilter ref="B4:I19" xr:uid="{17CC1C2A-DB1F-4E61-806D-D79ACFE423A1}"/>
  <tableColumns count="8">
    <tableColumn id="9" xr3:uid="{F3A4DA7A-312D-4A77-8632-F8DAFC68BB61}" name="産業大分類" totalsRowLabel="合計" totalsRowDxfId="27"/>
    <tableColumn id="10" xr3:uid="{62E56296-002C-4CA4-89B5-0080BD9C06EC}" name="総数／事業所数" totalsRowFunction="custom" totalsRowDxfId="26" dataCellStyle="桁区切り" totalsRowCellStyle="桁区切り">
      <totalsRowFormula>SUM(LTBL_47381[総数／事業所数])</totalsRowFormula>
    </tableColumn>
    <tableColumn id="11" xr3:uid="{C4827F99-44DE-40C3-8780-59D52CED76A6}" name="総数／構成比" dataDxfId="25"/>
    <tableColumn id="12" xr3:uid="{F9136238-C3E8-4367-8BEC-E0DCA60E7FDF}" name="個人／事業所数" totalsRowFunction="sum" totalsRowDxfId="24" dataCellStyle="桁区切り" totalsRowCellStyle="桁区切り"/>
    <tableColumn id="13" xr3:uid="{8FB664B1-254B-4ADB-842A-F173852DFF1F}" name="個人／構成比" dataDxfId="23"/>
    <tableColumn id="14" xr3:uid="{A7BC06D0-2D65-4FD0-BDD4-6E52F12E8A04}" name="法人／事業所数" totalsRowFunction="sum" totalsRowDxfId="22" dataCellStyle="桁区切り" totalsRowCellStyle="桁区切り"/>
    <tableColumn id="15" xr3:uid="{172A11AB-05C7-4765-8C6F-5D732949A210}" name="法人／構成比" dataDxfId="21"/>
    <tableColumn id="16" xr3:uid="{D9DD182C-900B-472D-A83C-7C9972A2B487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F4F6C0F9-4EBF-4BEC-801E-F928849480C5}" name="M_TABLE_47381" displayName="M_TABLE_47381" ref="B23:I45" totalsRowShown="0">
  <autoFilter ref="B23:I45" xr:uid="{F4F6C0F9-4EBF-4BEC-801E-F928849480C5}"/>
  <tableColumns count="8">
    <tableColumn id="9" xr3:uid="{2A0B757C-F222-41CA-942C-A777685CD75C}" name="産業中分類上位２０"/>
    <tableColumn id="10" xr3:uid="{4AAC0F8C-FBE7-46B6-BDBD-0193C28145EF}" name="総数／事業所数" dataCellStyle="桁区切り"/>
    <tableColumn id="11" xr3:uid="{CC4DEE89-718F-4B08-95C3-562FD398AAA0}" name="総数／構成比" dataDxfId="19"/>
    <tableColumn id="12" xr3:uid="{8B4B0875-AFB0-4094-A5F6-0106AD32A19A}" name="個人／事業所数" dataCellStyle="桁区切り"/>
    <tableColumn id="13" xr3:uid="{40CDF176-9561-437A-B679-60B6E0FC7049}" name="個人／構成比" dataDxfId="18"/>
    <tableColumn id="14" xr3:uid="{1A76769E-0511-4F49-B798-181746701F29}" name="法人／事業所数" dataCellStyle="桁区切り"/>
    <tableColumn id="15" xr3:uid="{5A81A79A-90ED-40B9-B704-8A816776B222}" name="法人／構成比" dataDxfId="17"/>
    <tableColumn id="16" xr3:uid="{E50F9C20-C445-4109-AFCD-A0F4A7B704FF}" name="法人以外の団体／事業所数" dataCellStyle="桁区切り"/>
  </tableColumns>
  <tableStyleInfo name="TableStyleMedium9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1FCD980B-7143-49BF-B642-BFA94892D24D}" name="S_TABLE_47381" displayName="S_TABLE_47381" ref="B48:I68" totalsRowShown="0">
  <autoFilter ref="B48:I68" xr:uid="{1FCD980B-7143-49BF-B642-BFA94892D24D}"/>
  <tableColumns count="8">
    <tableColumn id="9" xr3:uid="{04782A09-F338-4DAF-B10E-B5413204798E}" name="産業小分類上位２０"/>
    <tableColumn id="10" xr3:uid="{ADDF8934-4946-4B06-9FF2-C338975CDDB1}" name="総数／事業所数" dataCellStyle="桁区切り"/>
    <tableColumn id="11" xr3:uid="{3973F34D-0B96-4C00-B491-8ED98C7DDB82}" name="総数／構成比" dataDxfId="16"/>
    <tableColumn id="12" xr3:uid="{58126E6D-1055-4F7B-BE22-4EC256652B59}" name="個人／事業所数" dataCellStyle="桁区切り"/>
    <tableColumn id="13" xr3:uid="{30818C9D-C6A2-4D8F-B39C-458931CFBF7A}" name="個人／構成比" dataDxfId="15"/>
    <tableColumn id="14" xr3:uid="{3376E8EE-365A-43FD-A67B-68E6DCEB3426}" name="法人／事業所数" dataCellStyle="桁区切り"/>
    <tableColumn id="15" xr3:uid="{EE75F601-58CE-4264-952F-AA069433FECF}" name="法人／構成比" dataDxfId="14"/>
    <tableColumn id="16" xr3:uid="{C7D972DA-DF8A-4ACA-B6D8-EEFED57D1806}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40635C78-AA6E-4FC0-AD24-150D3C831D61}" name="LTBL_47382" displayName="LTBL_47382" ref="B4:I20" totalsRowCount="1">
  <autoFilter ref="B4:I19" xr:uid="{40635C78-AA6E-4FC0-AD24-150D3C831D61}"/>
  <tableColumns count="8">
    <tableColumn id="9" xr3:uid="{741332D9-9798-4277-ACE4-58CDF409533F}" name="産業大分類" totalsRowLabel="合計" totalsRowDxfId="13"/>
    <tableColumn id="10" xr3:uid="{7EA5485D-4FF5-4AE7-82EC-ABB8F6CFFE54}" name="総数／事業所数" totalsRowFunction="custom" totalsRowDxfId="12" dataCellStyle="桁区切り" totalsRowCellStyle="桁区切り">
      <totalsRowFormula>SUM(LTBL_47382[総数／事業所数])</totalsRowFormula>
    </tableColumn>
    <tableColumn id="11" xr3:uid="{E83C4058-34E7-41B6-A5EC-1406C178367E}" name="総数／構成比" dataDxfId="11"/>
    <tableColumn id="12" xr3:uid="{6453C3BD-8DEB-4724-9312-479D3EEB0D28}" name="個人／事業所数" totalsRowFunction="sum" totalsRowDxfId="10" dataCellStyle="桁区切り" totalsRowCellStyle="桁区切り"/>
    <tableColumn id="13" xr3:uid="{AEE82F61-4332-4EDD-BAE1-E4B6E87C0573}" name="個人／構成比" dataDxfId="9"/>
    <tableColumn id="14" xr3:uid="{6B8EAEA9-7605-4590-8854-C32553864666}" name="法人／事業所数" totalsRowFunction="sum" totalsRowDxfId="8" dataCellStyle="桁区切り" totalsRowCellStyle="桁区切り"/>
    <tableColumn id="15" xr3:uid="{4AFCE4CF-71C7-4CFE-99E9-7C56CBA4AAD3}" name="法人／構成比" dataDxfId="7"/>
    <tableColumn id="16" xr3:uid="{822714F2-B492-4E71-BF80-CB3B3F0742C0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39A896E0-DDD9-42F2-A2F1-8744B770782F}" name="M_TABLE_47382" displayName="M_TABLE_47382" ref="B23:I56" totalsRowShown="0">
  <autoFilter ref="B23:I56" xr:uid="{39A896E0-DDD9-42F2-A2F1-8744B770782F}"/>
  <tableColumns count="8">
    <tableColumn id="9" xr3:uid="{F5ED982D-9406-43BF-8A19-3778D902E45C}" name="産業中分類上位２０"/>
    <tableColumn id="10" xr3:uid="{551DC21A-65FF-4CC6-BCB7-13E363D927FD}" name="総数／事業所数" dataCellStyle="桁区切り"/>
    <tableColumn id="11" xr3:uid="{188E666D-CF5E-4213-9841-CB4FE21C0CE6}" name="総数／構成比" dataDxfId="5"/>
    <tableColumn id="12" xr3:uid="{17027AAD-E83F-4012-A834-32647AC56889}" name="個人／事業所数" dataCellStyle="桁区切り"/>
    <tableColumn id="13" xr3:uid="{B2D2AECF-C29B-441B-9281-95D40C0BD8DB}" name="個人／構成比" dataDxfId="4"/>
    <tableColumn id="14" xr3:uid="{B3AA49EB-2EEC-49A6-904D-2DEB01134650}" name="法人／事業所数" dataCellStyle="桁区切り"/>
    <tableColumn id="15" xr3:uid="{D6CD8495-836D-4A4E-9525-7B3693284AA1}" name="法人／構成比" dataDxfId="3"/>
    <tableColumn id="16" xr3:uid="{8A283130-DEDD-423E-8EBB-1D8BA5FA3FD6}" name="法人以外の団体／事業所数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D444D6DA-A1E5-4F37-BB8C-3AD083E2F115}" name="S_TABLE_47382" displayName="S_TABLE_47382" ref="B59:I85" totalsRowShown="0">
  <autoFilter ref="B59:I85" xr:uid="{D444D6DA-A1E5-4F37-BB8C-3AD083E2F115}"/>
  <tableColumns count="8">
    <tableColumn id="9" xr3:uid="{75A87AC1-5717-47DC-920E-752B9945F677}" name="産業小分類上位２０"/>
    <tableColumn id="10" xr3:uid="{670892DA-81B0-48EE-8DF9-E77E74CCD4E8}" name="総数／事業所数" dataCellStyle="桁区切り"/>
    <tableColumn id="11" xr3:uid="{450AE8F0-5522-4E03-B5F9-2EB894791415}" name="総数／構成比" dataDxfId="2"/>
    <tableColumn id="12" xr3:uid="{FF6F067F-102A-42D9-AF92-9366A7FDBF0E}" name="個人／事業所数" dataCellStyle="桁区切り"/>
    <tableColumn id="13" xr3:uid="{D9716180-984A-4540-8A36-F5B7F7405800}" name="個人／構成比" dataDxfId="1"/>
    <tableColumn id="14" xr3:uid="{5BA9DE24-2B4C-4FAA-B528-A90A1DBEE219}" name="法人／事業所数" dataCellStyle="桁区切り"/>
    <tableColumn id="15" xr3:uid="{4E5CEE64-DBB1-4313-9E38-E5B61161FF49}" name="法人／構成比" dataDxfId="0"/>
    <tableColumn id="16" xr3:uid="{8A1715B5-13FC-4002-87A4-5FFE25E50EFB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491310F-9AD0-48A4-8F69-864A3C0568CE}" name="LTBL_47208" displayName="LTBL_47208" ref="B4:I20" totalsRowCount="1">
  <autoFilter ref="B4:I19" xr:uid="{F491310F-9AD0-48A4-8F69-864A3C0568CE}"/>
  <tableColumns count="8">
    <tableColumn id="9" xr3:uid="{BAF221AE-5DB1-49F1-827D-3ECC17595CCF}" name="産業大分類" totalsRowLabel="合計" totalsRowDxfId="531"/>
    <tableColumn id="10" xr3:uid="{DE84F667-11F4-419F-A932-2DC5398206A3}" name="総数／事業所数" totalsRowFunction="custom" totalsRowDxfId="530" dataCellStyle="桁区切り" totalsRowCellStyle="桁区切り">
      <totalsRowFormula>SUM(LTBL_47208[総数／事業所数])</totalsRowFormula>
    </tableColumn>
    <tableColumn id="11" xr3:uid="{9DCF34AA-FE9B-45D4-9628-AA664D730BBA}" name="総数／構成比" dataDxfId="529"/>
    <tableColumn id="12" xr3:uid="{2CEAAE2C-A56A-4416-A470-36F722F73D88}" name="個人／事業所数" totalsRowFunction="sum" totalsRowDxfId="528" dataCellStyle="桁区切り" totalsRowCellStyle="桁区切り"/>
    <tableColumn id="13" xr3:uid="{F4046EB9-60D1-4EAD-AE52-8785668E20C3}" name="個人／構成比" dataDxfId="527"/>
    <tableColumn id="14" xr3:uid="{8D06AAEE-ABE9-4040-8224-760741C7B82E}" name="法人／事業所数" totalsRowFunction="sum" totalsRowDxfId="526" dataCellStyle="桁区切り" totalsRowCellStyle="桁区切り"/>
    <tableColumn id="15" xr3:uid="{0666CC31-0AFF-4707-BA05-82103FDC7C31}" name="法人／構成比" dataDxfId="525"/>
    <tableColumn id="16" xr3:uid="{D5D8DD36-A60D-43D5-8126-A7BEBB7961AA}" name="法人以外の団体／事業所数" totalsRowFunction="sum" totalsRowDxfId="524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CE37355-2B6B-45C2-81C7-784EBA1480D1}" name="M_TABLE_47208" displayName="M_TABLE_47208" ref="B23:I44" totalsRowShown="0">
  <autoFilter ref="B23:I44" xr:uid="{3CE37355-2B6B-45C2-81C7-784EBA1480D1}"/>
  <tableColumns count="8">
    <tableColumn id="9" xr3:uid="{A4CD2108-F4A6-46FD-933D-3E4AA725302D}" name="産業中分類上位２０"/>
    <tableColumn id="10" xr3:uid="{E98A28CE-E135-440E-BF9B-8D98A16805D8}" name="総数／事業所数" dataCellStyle="桁区切り"/>
    <tableColumn id="11" xr3:uid="{31C8F25E-82B8-45DE-96F0-2C4FA28D71AE}" name="総数／構成比" dataDxfId="523"/>
    <tableColumn id="12" xr3:uid="{1B7C25D8-9694-4419-80A3-F0DA80825163}" name="個人／事業所数" dataCellStyle="桁区切り"/>
    <tableColumn id="13" xr3:uid="{E50B6988-4962-4B17-AC97-518B543BBAD8}" name="個人／構成比" dataDxfId="522"/>
    <tableColumn id="14" xr3:uid="{6E6D35E1-0B0B-49C5-AE2B-7E4D1592FFF9}" name="法人／事業所数" dataCellStyle="桁区切り"/>
    <tableColumn id="15" xr3:uid="{23E1BAD3-C787-48F0-A178-7003A15A82BF}" name="法人／構成比" dataDxfId="521"/>
    <tableColumn id="16" xr3:uid="{9370FE36-D646-49D5-996F-BDD20301B87D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19492E1-8421-44BA-AFEB-A24CAF1B71B5}" name="S_TABLE_47208" displayName="S_TABLE_47208" ref="B47:I67" totalsRowShown="0">
  <autoFilter ref="B47:I67" xr:uid="{919492E1-8421-44BA-AFEB-A24CAF1B71B5}"/>
  <tableColumns count="8">
    <tableColumn id="9" xr3:uid="{2DF02448-835C-42EF-AAB5-B3AC06A817C6}" name="産業小分類上位２０"/>
    <tableColumn id="10" xr3:uid="{ECE4D6FF-CD54-44E7-8DAA-E1044A7008C8}" name="総数／事業所数" dataCellStyle="桁区切り"/>
    <tableColumn id="11" xr3:uid="{3C4C248D-75FB-482D-AE2C-81AA39E532C0}" name="総数／構成比" dataDxfId="520"/>
    <tableColumn id="12" xr3:uid="{3CE879F9-7B5F-476C-B79F-EFFB81F2CDFF}" name="個人／事業所数" dataCellStyle="桁区切り"/>
    <tableColumn id="13" xr3:uid="{826D0249-288E-4859-8C95-D912883DE398}" name="個人／構成比" dataDxfId="519"/>
    <tableColumn id="14" xr3:uid="{F70C8107-629E-411C-A0E5-2451CCFE3042}" name="法人／事業所数" dataCellStyle="桁区切り"/>
    <tableColumn id="15" xr3:uid="{1CDF5CA2-C1BB-4A9D-BD38-77FA13F7604F}" name="法人／構成比" dataDxfId="518"/>
    <tableColumn id="16" xr3:uid="{5E66593C-7902-49F3-A499-E825C19AF26F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B0670E1-CB57-4425-85AA-4C2E1B2D0DB2}" name="LTBL_47209" displayName="LTBL_47209" ref="B4:I20" totalsRowCount="1">
  <autoFilter ref="B4:I19" xr:uid="{5B0670E1-CB57-4425-85AA-4C2E1B2D0DB2}"/>
  <tableColumns count="8">
    <tableColumn id="9" xr3:uid="{2CC00309-0749-4F2D-BC17-5E4BE549541F}" name="産業大分類" totalsRowLabel="合計" totalsRowDxfId="517"/>
    <tableColumn id="10" xr3:uid="{7D370DDF-9CA9-407F-966C-6CD5A4F150B3}" name="総数／事業所数" totalsRowFunction="custom" totalsRowDxfId="516" dataCellStyle="桁区切り" totalsRowCellStyle="桁区切り">
      <totalsRowFormula>SUM(LTBL_47209[総数／事業所数])</totalsRowFormula>
    </tableColumn>
    <tableColumn id="11" xr3:uid="{698A66B5-D2FE-4B14-B162-44378B22330E}" name="総数／構成比" dataDxfId="515"/>
    <tableColumn id="12" xr3:uid="{5AD940DD-B83E-47D1-948B-BA9594640A52}" name="個人／事業所数" totalsRowFunction="sum" totalsRowDxfId="514" dataCellStyle="桁区切り" totalsRowCellStyle="桁区切り"/>
    <tableColumn id="13" xr3:uid="{E6E52EE7-1B0A-4B2B-A8B9-C45F31AB4C1D}" name="個人／構成比" dataDxfId="513"/>
    <tableColumn id="14" xr3:uid="{7F887C47-043F-4F1A-B152-964CBEF087FD}" name="法人／事業所数" totalsRowFunction="sum" totalsRowDxfId="512" dataCellStyle="桁区切り" totalsRowCellStyle="桁区切り"/>
    <tableColumn id="15" xr3:uid="{8A249CFF-5AE8-47CA-90DC-D2F47D316981}" name="法人／構成比" dataDxfId="511"/>
    <tableColumn id="16" xr3:uid="{2B829920-BE7D-4AE7-BC51-30DAC0C5F627}" name="法人以外の団体／事業所数" totalsRowFunction="sum" totalsRowDxfId="510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E2B969A-811C-4F42-8DE3-CEC74B8578A3}" name="M_TABLE_47209" displayName="M_TABLE_47209" ref="B23:I44" totalsRowShown="0">
  <autoFilter ref="B23:I44" xr:uid="{6E2B969A-811C-4F42-8DE3-CEC74B8578A3}"/>
  <tableColumns count="8">
    <tableColumn id="9" xr3:uid="{557CA51E-1922-4B86-9ADE-D1CA6F09CF8D}" name="産業中分類上位２０"/>
    <tableColumn id="10" xr3:uid="{DFB4EC3B-2FA4-40C4-B0F1-2B937B296A1A}" name="総数／事業所数" dataCellStyle="桁区切り"/>
    <tableColumn id="11" xr3:uid="{61E9BCF3-0274-4F40-95C8-291BA885DAC7}" name="総数／構成比" dataDxfId="509"/>
    <tableColumn id="12" xr3:uid="{8C778245-C758-4C36-9D38-89C48A6D3F19}" name="個人／事業所数" dataCellStyle="桁区切り"/>
    <tableColumn id="13" xr3:uid="{8A20F015-ECD5-4B87-AF19-605E2D5FF17F}" name="個人／構成比" dataDxfId="508"/>
    <tableColumn id="14" xr3:uid="{689011FF-CE77-44B7-9F1B-CE7B3CCBD6E8}" name="法人／事業所数" dataCellStyle="桁区切り"/>
    <tableColumn id="15" xr3:uid="{2F4BC67E-50B5-489E-87EA-DDA931A61858}" name="法人／構成比" dataDxfId="507"/>
    <tableColumn id="16" xr3:uid="{97836AB1-422F-4F50-A2B9-A3FA248E31FA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0787986-5C8B-40EF-A5D6-D8DDC117B5C3}" name="S_TABLE_47209" displayName="S_TABLE_47209" ref="B47:I67" totalsRowShown="0">
  <autoFilter ref="B47:I67" xr:uid="{20787986-5C8B-40EF-A5D6-D8DDC117B5C3}"/>
  <tableColumns count="8">
    <tableColumn id="9" xr3:uid="{024DC7C9-0CF0-4C46-AB3D-6A91001D6C1B}" name="産業小分類上位２０"/>
    <tableColumn id="10" xr3:uid="{CE338C77-9413-4BBA-82AE-497B9B5E768E}" name="総数／事業所数" dataCellStyle="桁区切り"/>
    <tableColumn id="11" xr3:uid="{DE591F1A-2073-4D40-AB2A-805A750BFE91}" name="総数／構成比" dataDxfId="506"/>
    <tableColumn id="12" xr3:uid="{8C62BA80-B848-4E2E-93FB-409C8C803927}" name="個人／事業所数" dataCellStyle="桁区切り"/>
    <tableColumn id="13" xr3:uid="{D0F82967-663C-49C1-A8F9-F81328BCCBD6}" name="個人／構成比" dataDxfId="505"/>
    <tableColumn id="14" xr3:uid="{5F2D9C62-04F6-4D7E-B464-32A2F01EC1C6}" name="法人／事業所数" dataCellStyle="桁区切り"/>
    <tableColumn id="15" xr3:uid="{840F6A5B-97DF-4467-B897-2A613FEF4A4E}" name="法人／構成比" dataDxfId="504"/>
    <tableColumn id="16" xr3:uid="{6BCEA5B8-F260-4093-8602-EE03A766195C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8A657C0-895D-4745-ADC9-F643A0A509A8}" name="LTBL_47210" displayName="LTBL_47210" ref="B4:I20" totalsRowCount="1">
  <autoFilter ref="B4:I19" xr:uid="{78A657C0-895D-4745-ADC9-F643A0A509A8}"/>
  <tableColumns count="8">
    <tableColumn id="9" xr3:uid="{BCF486EC-2C0F-415D-BC1B-8C7583D697C3}" name="産業大分類" totalsRowLabel="合計" totalsRowDxfId="503"/>
    <tableColumn id="10" xr3:uid="{8104FA20-82D6-4362-A5E7-0F8B70824D84}" name="総数／事業所数" totalsRowFunction="custom" totalsRowDxfId="502" dataCellStyle="桁区切り" totalsRowCellStyle="桁区切り">
      <totalsRowFormula>SUM(LTBL_47210[総数／事業所数])</totalsRowFormula>
    </tableColumn>
    <tableColumn id="11" xr3:uid="{DF66BC65-7617-46B1-8A00-3DBAE2E2DE52}" name="総数／構成比" dataDxfId="501"/>
    <tableColumn id="12" xr3:uid="{AC97E303-B976-49ED-AD87-4F633120FEF9}" name="個人／事業所数" totalsRowFunction="sum" totalsRowDxfId="500" dataCellStyle="桁区切り" totalsRowCellStyle="桁区切り"/>
    <tableColumn id="13" xr3:uid="{69E698D2-C152-484A-978B-68A644CF8275}" name="個人／構成比" dataDxfId="499"/>
    <tableColumn id="14" xr3:uid="{3BD74779-7A67-4D85-8BC2-A2C2AD771FE3}" name="法人／事業所数" totalsRowFunction="sum" totalsRowDxfId="498" dataCellStyle="桁区切り" totalsRowCellStyle="桁区切り"/>
    <tableColumn id="15" xr3:uid="{737F0A83-CC16-495E-92D4-06025E3B799E}" name="法人／構成比" dataDxfId="497"/>
    <tableColumn id="16" xr3:uid="{7947FBFE-D2ED-46F0-AE01-C6C7F38D528D}" name="法人以外の団体／事業所数" totalsRowFunction="sum" totalsRowDxfId="496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C96D93F-FF1F-4158-AAC9-71C73366E44E}" name="M_TABLE_47000" displayName="M_TABLE_47000" ref="B23:I43" totalsRowShown="0">
  <autoFilter ref="B23:I43" xr:uid="{1C96D93F-FF1F-4158-AAC9-71C73366E44E}"/>
  <tableColumns count="8">
    <tableColumn id="9" xr3:uid="{75B42608-AA18-4D23-A697-C3906E3A78E4}" name="産業中分類上位２０"/>
    <tableColumn id="10" xr3:uid="{050E0952-BD98-48BC-8F7B-502F2F2BFFB0}" name="総数／事業所数" dataCellStyle="桁区切り"/>
    <tableColumn id="11" xr3:uid="{7C1E4D43-92E0-48EC-ABDD-B2E3FC38971A}" name="総数／構成比" dataDxfId="579"/>
    <tableColumn id="12" xr3:uid="{6F25CE3C-A788-4BE7-8B64-D5462303208D}" name="個人／事業所数" dataCellStyle="桁区切り"/>
    <tableColumn id="13" xr3:uid="{C3DEBF7B-E40D-4B5B-835C-B42623371E05}" name="個人／構成比" dataDxfId="578"/>
    <tableColumn id="14" xr3:uid="{186F9B73-AADE-434E-BA39-40955CF17AD3}" name="法人／事業所数" dataCellStyle="桁区切り"/>
    <tableColumn id="15" xr3:uid="{8550CB13-27A5-4BAC-B0C0-01FB0CD4B5DB}" name="法人／構成比" dataDxfId="577"/>
    <tableColumn id="16" xr3:uid="{C29F4C40-0CC4-4D8B-81AD-39A074FC07A5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D45207D-B8CF-4F89-9BCC-A31A67F008BD}" name="M_TABLE_47210" displayName="M_TABLE_47210" ref="B23:I44" totalsRowShown="0">
  <autoFilter ref="B23:I44" xr:uid="{ED45207D-B8CF-4F89-9BCC-A31A67F008BD}"/>
  <tableColumns count="8">
    <tableColumn id="9" xr3:uid="{5F32E810-39E3-4B6C-B072-00DE1065C9E4}" name="産業中分類上位２０"/>
    <tableColumn id="10" xr3:uid="{C6B4B1F6-8FBA-4723-A730-44E6CEFFAF65}" name="総数／事業所数" dataCellStyle="桁区切り"/>
    <tableColumn id="11" xr3:uid="{F18AC2D2-8E15-408A-A687-95D843F6103B}" name="総数／構成比" dataDxfId="495"/>
    <tableColumn id="12" xr3:uid="{E4D07437-BA1D-40CB-8F55-F98FF0385FFC}" name="個人／事業所数" dataCellStyle="桁区切り"/>
    <tableColumn id="13" xr3:uid="{2B457C09-BF25-4043-9FF7-2234E4FB1EF5}" name="個人／構成比" dataDxfId="494"/>
    <tableColumn id="14" xr3:uid="{60186648-AB2B-4A60-8237-D9F26ADAEAE7}" name="法人／事業所数" dataCellStyle="桁区切り"/>
    <tableColumn id="15" xr3:uid="{7A9DEF3F-7190-4FFC-8436-987457F3E22D}" name="法人／構成比" dataDxfId="493"/>
    <tableColumn id="16" xr3:uid="{C941F61C-0D7F-458B-B780-631BC9F562B6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578ED8F-A695-4A84-AD72-4D405C8A674B}" name="S_TABLE_47210" displayName="S_TABLE_47210" ref="B47:I67" totalsRowShown="0">
  <autoFilter ref="B47:I67" xr:uid="{7578ED8F-A695-4A84-AD72-4D405C8A674B}"/>
  <tableColumns count="8">
    <tableColumn id="9" xr3:uid="{F74915F6-641C-4BF1-AABF-B4DDFEC4C468}" name="産業小分類上位２０"/>
    <tableColumn id="10" xr3:uid="{DDE027F7-7268-4759-8ACE-5E797806F638}" name="総数／事業所数" dataCellStyle="桁区切り"/>
    <tableColumn id="11" xr3:uid="{E488651E-BFF8-430F-9F26-3B946462CCE9}" name="総数／構成比" dataDxfId="492"/>
    <tableColumn id="12" xr3:uid="{CB5A2751-290C-4F69-BC67-CE1D726C357B}" name="個人／事業所数" dataCellStyle="桁区切り"/>
    <tableColumn id="13" xr3:uid="{7D95C0CC-3C50-4EEC-BFA5-71FC34711831}" name="個人／構成比" dataDxfId="491"/>
    <tableColumn id="14" xr3:uid="{DE85BD80-328B-4084-9593-D3F0AED64379}" name="法人／事業所数" dataCellStyle="桁区切り"/>
    <tableColumn id="15" xr3:uid="{21066C63-EE02-4E1F-AE66-4950AD02AEBC}" name="法人／構成比" dataDxfId="490"/>
    <tableColumn id="16" xr3:uid="{FFD2C8D3-E622-493A-92E4-3B51F1DBD002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54C9801-F808-44AC-ACA6-42492397D750}" name="LTBL_47211" displayName="LTBL_47211" ref="B4:I20" totalsRowCount="1">
  <autoFilter ref="B4:I19" xr:uid="{A54C9801-F808-44AC-ACA6-42492397D750}"/>
  <tableColumns count="8">
    <tableColumn id="9" xr3:uid="{8A99021C-565C-43D4-AB5A-5C39655545B1}" name="産業大分類" totalsRowLabel="合計" totalsRowDxfId="489"/>
    <tableColumn id="10" xr3:uid="{477206CE-3819-4941-ADEC-8F11F95050D9}" name="総数／事業所数" totalsRowFunction="custom" totalsRowDxfId="488" dataCellStyle="桁区切り" totalsRowCellStyle="桁区切り">
      <totalsRowFormula>SUM(LTBL_47211[総数／事業所数])</totalsRowFormula>
    </tableColumn>
    <tableColumn id="11" xr3:uid="{15749611-CB38-4818-8B6C-205F82D91A2C}" name="総数／構成比" dataDxfId="487"/>
    <tableColumn id="12" xr3:uid="{CC0EDA6F-DF2D-4CF6-B900-55AFF4411A82}" name="個人／事業所数" totalsRowFunction="sum" totalsRowDxfId="486" dataCellStyle="桁区切り" totalsRowCellStyle="桁区切り"/>
    <tableColumn id="13" xr3:uid="{4A31A71E-164B-4712-A535-7F72126194F0}" name="個人／構成比" dataDxfId="485"/>
    <tableColumn id="14" xr3:uid="{066C396A-45E0-4076-ACB9-B847623771F9}" name="法人／事業所数" totalsRowFunction="sum" totalsRowDxfId="484" dataCellStyle="桁区切り" totalsRowCellStyle="桁区切り"/>
    <tableColumn id="15" xr3:uid="{FB04AFCB-6CE3-4D5D-B47C-E1AA86392FA6}" name="法人／構成比" dataDxfId="483"/>
    <tableColumn id="16" xr3:uid="{8EEBC43A-19C1-4842-80B2-21F8873EF2AF}" name="法人以外の団体／事業所数" totalsRowFunction="sum" totalsRowDxfId="482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C7AB415-D4E1-4FC1-B34C-7545FC258DC8}" name="M_TABLE_47211" displayName="M_TABLE_47211" ref="B23:I43" totalsRowShown="0">
  <autoFilter ref="B23:I43" xr:uid="{2C7AB415-D4E1-4FC1-B34C-7545FC258DC8}"/>
  <tableColumns count="8">
    <tableColumn id="9" xr3:uid="{855FB6D6-2315-4A53-8FB1-5F4263A8614D}" name="産業中分類上位２０"/>
    <tableColumn id="10" xr3:uid="{C3A821BF-1AC8-4327-B952-910003317349}" name="総数／事業所数" dataCellStyle="桁区切り"/>
    <tableColumn id="11" xr3:uid="{98568B15-E0F6-4E06-9B2F-D15C43DC92F4}" name="総数／構成比" dataDxfId="481"/>
    <tableColumn id="12" xr3:uid="{D489BEFC-5F6A-44CC-BD7B-CB7DBAACEF32}" name="個人／事業所数" dataCellStyle="桁区切り"/>
    <tableColumn id="13" xr3:uid="{7A5F1A65-829E-43E0-AEF4-47D9D9DFB1AE}" name="個人／構成比" dataDxfId="480"/>
    <tableColumn id="14" xr3:uid="{70C652E1-5DC3-4D29-8807-CD50C563465C}" name="法人／事業所数" dataCellStyle="桁区切り"/>
    <tableColumn id="15" xr3:uid="{9F98522F-12B0-4E6D-98CD-DC162EA8CC1A}" name="法人／構成比" dataDxfId="479"/>
    <tableColumn id="16" xr3:uid="{F2A117B3-93AD-4423-9DCC-46C240C738BE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8558AF3-C555-4C91-9BC6-E88E50E1A531}" name="S_TABLE_47211" displayName="S_TABLE_47211" ref="B46:I66" totalsRowShown="0">
  <autoFilter ref="B46:I66" xr:uid="{C8558AF3-C555-4C91-9BC6-E88E50E1A531}"/>
  <tableColumns count="8">
    <tableColumn id="9" xr3:uid="{A450F8E3-9AD7-436A-8FCC-D9E45113FDCE}" name="産業小分類上位２０"/>
    <tableColumn id="10" xr3:uid="{180BF995-3BAE-4318-8978-EE7D66608DDF}" name="総数／事業所数" dataCellStyle="桁区切り"/>
    <tableColumn id="11" xr3:uid="{61E57B41-620A-41ED-9022-97FE6E35F44B}" name="総数／構成比" dataDxfId="478"/>
    <tableColumn id="12" xr3:uid="{7D919114-3DB7-436B-95E1-2BA40E1ADC85}" name="個人／事業所数" dataCellStyle="桁区切り"/>
    <tableColumn id="13" xr3:uid="{B2B0B799-AD9D-4133-BAF0-0F9806156427}" name="個人／構成比" dataDxfId="477"/>
    <tableColumn id="14" xr3:uid="{288049D2-2DF8-4C03-A447-B8BD81348B76}" name="法人／事業所数" dataCellStyle="桁区切り"/>
    <tableColumn id="15" xr3:uid="{877CCBB6-A8D4-47AB-8E07-3217BC003EF3}" name="法人／構成比" dataDxfId="476"/>
    <tableColumn id="16" xr3:uid="{CBA86158-D4DA-49AA-8A0C-017D8EADB9D9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54C9AEA-51F6-4E78-A416-C573C0941959}" name="LTBL_47212" displayName="LTBL_47212" ref="B4:I20" totalsRowCount="1">
  <autoFilter ref="B4:I19" xr:uid="{054C9AEA-51F6-4E78-A416-C573C0941959}"/>
  <tableColumns count="8">
    <tableColumn id="9" xr3:uid="{94C806B2-0E9A-4D3F-A5F7-802BB764329C}" name="産業大分類" totalsRowLabel="合計" totalsRowDxfId="475"/>
    <tableColumn id="10" xr3:uid="{15137CD9-59E1-4D6D-9722-843B79CACADF}" name="総数／事業所数" totalsRowFunction="custom" totalsRowDxfId="474" dataCellStyle="桁区切り" totalsRowCellStyle="桁区切り">
      <totalsRowFormula>SUM(LTBL_47212[総数／事業所数])</totalsRowFormula>
    </tableColumn>
    <tableColumn id="11" xr3:uid="{BC4A706E-F419-4226-8ACA-5B427A7A78D0}" name="総数／構成比" dataDxfId="473"/>
    <tableColumn id="12" xr3:uid="{B2495886-F12D-4444-979E-48C54B7D76C1}" name="個人／事業所数" totalsRowFunction="sum" totalsRowDxfId="472" dataCellStyle="桁区切り" totalsRowCellStyle="桁区切り"/>
    <tableColumn id="13" xr3:uid="{A1470B1E-80B5-46BD-8CC6-789853D4068C}" name="個人／構成比" dataDxfId="471"/>
    <tableColumn id="14" xr3:uid="{201CC188-8899-404C-B8B4-DFF4ECA88B72}" name="法人／事業所数" totalsRowFunction="sum" totalsRowDxfId="470" dataCellStyle="桁区切り" totalsRowCellStyle="桁区切り"/>
    <tableColumn id="15" xr3:uid="{22357387-812D-46AE-B0F4-7E4B38457B36}" name="法人／構成比" dataDxfId="469"/>
    <tableColumn id="16" xr3:uid="{27EFC617-5EEA-416D-8F85-260687E82C4F}" name="法人以外の団体／事業所数" totalsRowFunction="sum" totalsRowDxfId="468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2E160175-2053-40EB-93BD-8AC72B27D899}" name="M_TABLE_47212" displayName="M_TABLE_47212" ref="B23:I43" totalsRowShown="0">
  <autoFilter ref="B23:I43" xr:uid="{2E160175-2053-40EB-93BD-8AC72B27D899}"/>
  <tableColumns count="8">
    <tableColumn id="9" xr3:uid="{5FA7E0BC-D323-4D85-82CF-FB8148F174F1}" name="産業中分類上位２０"/>
    <tableColumn id="10" xr3:uid="{344E144F-7467-47C3-9B7F-6FF56E935962}" name="総数／事業所数" dataCellStyle="桁区切り"/>
    <tableColumn id="11" xr3:uid="{FBF6D393-1703-4B24-B087-C59280156B19}" name="総数／構成比" dataDxfId="467"/>
    <tableColumn id="12" xr3:uid="{85D3F8A2-B603-4B3D-A8F0-88EDD411213B}" name="個人／事業所数" dataCellStyle="桁区切り"/>
    <tableColumn id="13" xr3:uid="{9259E3DB-A19C-4DCC-80A3-7AC697AF0C08}" name="個人／構成比" dataDxfId="466"/>
    <tableColumn id="14" xr3:uid="{AE826A64-E1E1-45B6-ACC0-012B9AFB7049}" name="法人／事業所数" dataCellStyle="桁区切り"/>
    <tableColumn id="15" xr3:uid="{745269AD-5A62-4540-BD10-943FD982C849}" name="法人／構成比" dataDxfId="465"/>
    <tableColumn id="16" xr3:uid="{02F3744F-7C1D-4692-B106-17032686E3E5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B3E276F-FC27-4DAF-8F36-167262BA770A}" name="S_TABLE_47212" displayName="S_TABLE_47212" ref="B46:I66" totalsRowShown="0">
  <autoFilter ref="B46:I66" xr:uid="{AB3E276F-FC27-4DAF-8F36-167262BA770A}"/>
  <tableColumns count="8">
    <tableColumn id="9" xr3:uid="{2EBF5824-B320-4B11-A872-89E77D68EE12}" name="産業小分類上位２０"/>
    <tableColumn id="10" xr3:uid="{19FB6AF6-BC19-4D38-A767-890FA65738EB}" name="総数／事業所数" dataCellStyle="桁区切り"/>
    <tableColumn id="11" xr3:uid="{2F25AB23-07CF-4788-BC1E-CB1CE514C2F2}" name="総数／構成比" dataDxfId="464"/>
    <tableColumn id="12" xr3:uid="{E504EFE6-DAFD-41C4-89D2-713717A197EE}" name="個人／事業所数" dataCellStyle="桁区切り"/>
    <tableColumn id="13" xr3:uid="{74BD5DA8-1582-4BBA-8EAE-9051AE277F6C}" name="個人／構成比" dataDxfId="463"/>
    <tableColumn id="14" xr3:uid="{2669F2D2-67FB-4E61-B066-16B1FAE56D25}" name="法人／事業所数" dataCellStyle="桁区切り"/>
    <tableColumn id="15" xr3:uid="{7DF84F68-ABC9-4084-B604-473F3C396F64}" name="法人／構成比" dataDxfId="462"/>
    <tableColumn id="16" xr3:uid="{EE306031-9ADD-4A38-A851-50E3AEE4F57E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34924563-20E8-4889-8C37-56233C25EBDA}" name="LTBL_47213" displayName="LTBL_47213" ref="B4:I20" totalsRowCount="1">
  <autoFilter ref="B4:I19" xr:uid="{34924563-20E8-4889-8C37-56233C25EBDA}"/>
  <tableColumns count="8">
    <tableColumn id="9" xr3:uid="{C48E9490-3C9F-4582-9F58-54F3E11EDBEB}" name="産業大分類" totalsRowLabel="合計" totalsRowDxfId="461"/>
    <tableColumn id="10" xr3:uid="{D55CAE09-3AA4-4CFD-87F9-A6570A942FE3}" name="総数／事業所数" totalsRowFunction="custom" totalsRowDxfId="460" dataCellStyle="桁区切り" totalsRowCellStyle="桁区切り">
      <totalsRowFormula>SUM(LTBL_47213[総数／事業所数])</totalsRowFormula>
    </tableColumn>
    <tableColumn id="11" xr3:uid="{E3BD3561-4F42-4D5E-B35E-DDF324D02846}" name="総数／構成比" dataDxfId="459"/>
    <tableColumn id="12" xr3:uid="{B8A6B276-9E7E-4E4D-9392-D8E2E091F006}" name="個人／事業所数" totalsRowFunction="sum" totalsRowDxfId="458" dataCellStyle="桁区切り" totalsRowCellStyle="桁区切り"/>
    <tableColumn id="13" xr3:uid="{40C1F8FD-DB47-40AC-8429-01B843BC0B12}" name="個人／構成比" dataDxfId="457"/>
    <tableColumn id="14" xr3:uid="{961BCE2A-3EE6-4F92-BADC-56E81E5CD14F}" name="法人／事業所数" totalsRowFunction="sum" totalsRowDxfId="456" dataCellStyle="桁区切り" totalsRowCellStyle="桁区切り"/>
    <tableColumn id="15" xr3:uid="{F6CA4174-40D7-4526-A665-0112B41FC1D2}" name="法人／構成比" dataDxfId="455"/>
    <tableColumn id="16" xr3:uid="{F7E588ED-9F33-4AC4-AB08-81CFCCDD80B0}" name="法人以外の団体／事業所数" totalsRowFunction="sum" totalsRowDxfId="454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1F949198-C473-455E-A37F-57661B25D169}" name="M_TABLE_47213" displayName="M_TABLE_47213" ref="B23:I43" totalsRowShown="0">
  <autoFilter ref="B23:I43" xr:uid="{1F949198-C473-455E-A37F-57661B25D169}"/>
  <tableColumns count="8">
    <tableColumn id="9" xr3:uid="{3A74F32E-45E6-4A33-8CA0-66EC24350086}" name="産業中分類上位２０"/>
    <tableColumn id="10" xr3:uid="{A48026DC-B7F5-4DFE-A8EA-3857138E2254}" name="総数／事業所数" dataCellStyle="桁区切り"/>
    <tableColumn id="11" xr3:uid="{5BB99B73-51CA-4F50-9EBB-30B294DB58EF}" name="総数／構成比" dataDxfId="453"/>
    <tableColumn id="12" xr3:uid="{EEBB21A4-637F-43F8-9743-B1832B628017}" name="個人／事業所数" dataCellStyle="桁区切り"/>
    <tableColumn id="13" xr3:uid="{89460243-D1DC-4D70-8702-A0BE6990A474}" name="個人／構成比" dataDxfId="452"/>
    <tableColumn id="14" xr3:uid="{E57C32C4-1DC2-4E20-8765-9C12553BEBDC}" name="法人／事業所数" dataCellStyle="桁区切り"/>
    <tableColumn id="15" xr3:uid="{9C0550AB-0BEA-493D-A78F-3E1256971DDF}" name="法人／構成比" dataDxfId="451"/>
    <tableColumn id="16" xr3:uid="{AB5AFD86-E5B5-4A02-85B2-AA1FB3B400CA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454F3F7-E755-41D3-8053-DB7450FEB9E7}" name="S_TABLE_47000" displayName="S_TABLE_47000" ref="B46:I66" totalsRowShown="0">
  <autoFilter ref="B46:I66" xr:uid="{4454F3F7-E755-41D3-8053-DB7450FEB9E7}"/>
  <tableColumns count="8">
    <tableColumn id="9" xr3:uid="{99B04E49-76C1-4C3B-91A9-A612C7AC68B9}" name="産業小分類上位２０"/>
    <tableColumn id="10" xr3:uid="{DE492C6E-ABC1-495D-989A-6B0E48CB6EE3}" name="総数／事業所数" dataCellStyle="桁区切り"/>
    <tableColumn id="11" xr3:uid="{8AC16A23-BB9A-47FF-9484-462D17A681CE}" name="総数／構成比" dataDxfId="576"/>
    <tableColumn id="12" xr3:uid="{AB4E7925-D9A6-4283-A922-BE4015FC54F5}" name="個人／事業所数" dataCellStyle="桁区切り"/>
    <tableColumn id="13" xr3:uid="{8F1D8F77-48C8-416C-BDF9-9DBC306ED605}" name="個人／構成比" dataDxfId="575"/>
    <tableColumn id="14" xr3:uid="{97BFA724-AF19-4536-9063-4465A56FED07}" name="法人／事業所数" dataCellStyle="桁区切り"/>
    <tableColumn id="15" xr3:uid="{7143B206-D1A1-4CED-B0BD-B0885BF606FA}" name="法人／構成比" dataDxfId="574"/>
    <tableColumn id="16" xr3:uid="{5FDEE97E-2983-4D86-8E49-8EDE463021CE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EAA9F819-95B9-40F8-9F6C-D126497E32FB}" name="S_TABLE_47213" displayName="S_TABLE_47213" ref="B46:I67" totalsRowShown="0">
  <autoFilter ref="B46:I67" xr:uid="{EAA9F819-95B9-40F8-9F6C-D126497E32FB}"/>
  <tableColumns count="8">
    <tableColumn id="9" xr3:uid="{4F7FFFA1-355F-463E-BEDD-3B8B8F409DD1}" name="産業小分類上位２０"/>
    <tableColumn id="10" xr3:uid="{405C4CCA-41F3-441F-BF99-85F55AFB476A}" name="総数／事業所数" dataCellStyle="桁区切り"/>
    <tableColumn id="11" xr3:uid="{334D6AF3-80E8-447C-A18F-D3B24304D929}" name="総数／構成比" dataDxfId="450"/>
    <tableColumn id="12" xr3:uid="{9C523418-A4DA-4FFB-81FB-403E0B9A27BA}" name="個人／事業所数" dataCellStyle="桁区切り"/>
    <tableColumn id="13" xr3:uid="{8BDDF373-8B89-4929-BA21-51F3EED2BE48}" name="個人／構成比" dataDxfId="449"/>
    <tableColumn id="14" xr3:uid="{CA9F3478-5299-4FB4-BCE3-C5B0CE9D0B07}" name="法人／事業所数" dataCellStyle="桁区切り"/>
    <tableColumn id="15" xr3:uid="{C30EB968-17F6-4B30-984B-76F8490E54AE}" name="法人／構成比" dataDxfId="448"/>
    <tableColumn id="16" xr3:uid="{95F24C75-A282-42E5-8FD8-447D4BE65008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2844E74-3978-4FAF-B7E1-48E74B46638F}" name="LTBL_47214" displayName="LTBL_47214" ref="B4:I20" totalsRowCount="1">
  <autoFilter ref="B4:I19" xr:uid="{12844E74-3978-4FAF-B7E1-48E74B46638F}"/>
  <tableColumns count="8">
    <tableColumn id="9" xr3:uid="{50525403-8814-4887-8B4E-58EF9AEB5098}" name="産業大分類" totalsRowLabel="合計" totalsRowDxfId="447"/>
    <tableColumn id="10" xr3:uid="{1587B1C8-B692-4357-8318-52A98F0A55C3}" name="総数／事業所数" totalsRowFunction="custom" totalsRowDxfId="446" dataCellStyle="桁区切り" totalsRowCellStyle="桁区切り">
      <totalsRowFormula>SUM(LTBL_47214[総数／事業所数])</totalsRowFormula>
    </tableColumn>
    <tableColumn id="11" xr3:uid="{13181D51-4D4F-4960-80F6-1F534EB51E3D}" name="総数／構成比" dataDxfId="445"/>
    <tableColumn id="12" xr3:uid="{B5CAC26F-50DA-4035-97DA-39ED615FA796}" name="個人／事業所数" totalsRowFunction="sum" totalsRowDxfId="444" dataCellStyle="桁区切り" totalsRowCellStyle="桁区切り"/>
    <tableColumn id="13" xr3:uid="{9CD48A42-FEE0-49B9-ABEF-7845559A8414}" name="個人／構成比" dataDxfId="443"/>
    <tableColumn id="14" xr3:uid="{29018D1A-3C21-437F-9834-355B4EE1671A}" name="法人／事業所数" totalsRowFunction="sum" totalsRowDxfId="442" dataCellStyle="桁区切り" totalsRowCellStyle="桁区切り"/>
    <tableColumn id="15" xr3:uid="{16D39F40-8BF0-41FE-B81A-9158200D566B}" name="法人／構成比" dataDxfId="441"/>
    <tableColumn id="16" xr3:uid="{17A6DD98-DC64-41D0-8E93-0B6D1ED33F33}" name="法人以外の団体／事業所数" totalsRowFunction="sum" totalsRowDxfId="440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2683ADBE-7846-422E-BA0F-0B58EA311CCE}" name="M_TABLE_47214" displayName="M_TABLE_47214" ref="B23:I44" totalsRowShown="0">
  <autoFilter ref="B23:I44" xr:uid="{2683ADBE-7846-422E-BA0F-0B58EA311CCE}"/>
  <tableColumns count="8">
    <tableColumn id="9" xr3:uid="{8F1E4B3E-70A2-432B-A6BE-0C73620B5F78}" name="産業中分類上位２０"/>
    <tableColumn id="10" xr3:uid="{DE82A543-522A-4B30-8F3E-0734E9527FB4}" name="総数／事業所数" dataCellStyle="桁区切り"/>
    <tableColumn id="11" xr3:uid="{E66AAE0F-FB64-470C-9C73-E4CDE3C3CA6E}" name="総数／構成比" dataDxfId="439"/>
    <tableColumn id="12" xr3:uid="{2AB7CF7D-5815-48E3-B895-4016F7B8F082}" name="個人／事業所数" dataCellStyle="桁区切り"/>
    <tableColumn id="13" xr3:uid="{A18B2FD8-CEC2-489A-980D-479E5BE870C5}" name="個人／構成比" dataDxfId="438"/>
    <tableColumn id="14" xr3:uid="{58B80E34-8F28-4885-8CF0-6B582A272A27}" name="法人／事業所数" dataCellStyle="桁区切り"/>
    <tableColumn id="15" xr3:uid="{A18620E2-5CF6-466E-8D92-EF0A9F3CFC7D}" name="法人／構成比" dataDxfId="437"/>
    <tableColumn id="16" xr3:uid="{043B5DBE-EF44-44AC-9EE9-639320A209AB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FE990C0D-BD34-466F-AED7-091AF5ABEF56}" name="S_TABLE_47214" displayName="S_TABLE_47214" ref="B47:I67" totalsRowShown="0">
  <autoFilter ref="B47:I67" xr:uid="{FE990C0D-BD34-466F-AED7-091AF5ABEF56}"/>
  <tableColumns count="8">
    <tableColumn id="9" xr3:uid="{166A6785-D367-471E-AABE-5DF2305603B1}" name="産業小分類上位２０"/>
    <tableColumn id="10" xr3:uid="{E68C9935-5AF1-4665-8C67-6A67907AFFCF}" name="総数／事業所数" dataCellStyle="桁区切り"/>
    <tableColumn id="11" xr3:uid="{C6992798-8806-423C-9B6C-8E6EE13A47FD}" name="総数／構成比" dataDxfId="436"/>
    <tableColumn id="12" xr3:uid="{2FAEFF9A-9A87-47FC-BA96-50C98A34A56A}" name="個人／事業所数" dataCellStyle="桁区切り"/>
    <tableColumn id="13" xr3:uid="{C04F8E48-F2B5-4171-927A-A3883CACC60C}" name="個人／構成比" dataDxfId="435"/>
    <tableColumn id="14" xr3:uid="{F453F2B3-8FBA-42FD-8663-FC4185C84A9F}" name="法人／事業所数" dataCellStyle="桁区切り"/>
    <tableColumn id="15" xr3:uid="{AF0786C1-2B47-45BB-8DF7-F44ADB4C71BC}" name="法人／構成比" dataDxfId="434"/>
    <tableColumn id="16" xr3:uid="{1ECAA2B4-A54D-4EEF-A021-80BDD0DA1308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B30D48AA-C5C3-474F-8804-65E1965AF630}" name="LTBL_47215" displayName="LTBL_47215" ref="B4:I20" totalsRowCount="1">
  <autoFilter ref="B4:I19" xr:uid="{B30D48AA-C5C3-474F-8804-65E1965AF630}"/>
  <tableColumns count="8">
    <tableColumn id="9" xr3:uid="{4BE8EAE7-837E-4C9F-8D83-D1BD822F89BE}" name="産業大分類" totalsRowLabel="合計" totalsRowDxfId="433"/>
    <tableColumn id="10" xr3:uid="{A2925FC4-068A-457B-BF51-8C493EDFAB63}" name="総数／事業所数" totalsRowFunction="custom" totalsRowDxfId="432" dataCellStyle="桁区切り" totalsRowCellStyle="桁区切り">
      <totalsRowFormula>SUM(LTBL_47215[総数／事業所数])</totalsRowFormula>
    </tableColumn>
    <tableColumn id="11" xr3:uid="{16A32BD5-77EA-4376-8E21-46887434FA98}" name="総数／構成比" dataDxfId="431"/>
    <tableColumn id="12" xr3:uid="{EDCE0026-BF02-4FD6-80C5-5AAC27D01201}" name="個人／事業所数" totalsRowFunction="sum" totalsRowDxfId="430" dataCellStyle="桁区切り" totalsRowCellStyle="桁区切り"/>
    <tableColumn id="13" xr3:uid="{235B7455-8A58-4E18-AFFB-502BF3FF322B}" name="個人／構成比" dataDxfId="429"/>
    <tableColumn id="14" xr3:uid="{01C2EEFD-8393-4BB3-B1CB-757736623076}" name="法人／事業所数" totalsRowFunction="sum" totalsRowDxfId="428" dataCellStyle="桁区切り" totalsRowCellStyle="桁区切り"/>
    <tableColumn id="15" xr3:uid="{342266A9-83AA-4F96-BF02-8B1D5307C181}" name="法人／構成比" dataDxfId="427"/>
    <tableColumn id="16" xr3:uid="{B56564FA-E435-4759-8F67-81CB2FB39574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73C0B5FF-4CD0-40C3-B716-5A36E756F673}" name="M_TABLE_47215" displayName="M_TABLE_47215" ref="B23:I43" totalsRowShown="0">
  <autoFilter ref="B23:I43" xr:uid="{73C0B5FF-4CD0-40C3-B716-5A36E756F673}"/>
  <tableColumns count="8">
    <tableColumn id="9" xr3:uid="{70D7C137-51CF-4BD4-897C-143B30260E20}" name="産業中分類上位２０"/>
    <tableColumn id="10" xr3:uid="{2310F8B6-1A79-4592-8ADD-EB4BEB6F2648}" name="総数／事業所数" dataCellStyle="桁区切り"/>
    <tableColumn id="11" xr3:uid="{C5A25B06-59F7-4B36-9F9E-A661F3E48BE7}" name="総数／構成比" dataDxfId="425"/>
    <tableColumn id="12" xr3:uid="{C567A3D9-1956-43EA-A944-608465DCC0A1}" name="個人／事業所数" dataCellStyle="桁区切り"/>
    <tableColumn id="13" xr3:uid="{B3906EA8-1DDD-4AD0-B2D0-C7D48C96C80A}" name="個人／構成比" dataDxfId="424"/>
    <tableColumn id="14" xr3:uid="{C08A4680-F139-49DA-9456-FE467B71DFC3}" name="法人／事業所数" dataCellStyle="桁区切り"/>
    <tableColumn id="15" xr3:uid="{CBBA6797-6B81-4FC8-9A85-CD97DCA246BD}" name="法人／構成比" dataDxfId="423"/>
    <tableColumn id="16" xr3:uid="{6010261C-DF29-4EB8-8CB4-14E10C48D46A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A391C230-1843-4E33-AC13-450DD4BE1F58}" name="S_TABLE_47215" displayName="S_TABLE_47215" ref="B46:I67" totalsRowShown="0">
  <autoFilter ref="B46:I67" xr:uid="{A391C230-1843-4E33-AC13-450DD4BE1F58}"/>
  <tableColumns count="8">
    <tableColumn id="9" xr3:uid="{14B1D7B1-1B2E-4433-833C-3A9AECC6DACE}" name="産業小分類上位２０"/>
    <tableColumn id="10" xr3:uid="{733E01CD-8AC4-4692-A500-B94B73D95670}" name="総数／事業所数" dataCellStyle="桁区切り"/>
    <tableColumn id="11" xr3:uid="{CE24AB4C-4A7B-4A6B-9DE1-05EE78E1CFDD}" name="総数／構成比" dataDxfId="422"/>
    <tableColumn id="12" xr3:uid="{7A7C48C3-2CBB-4D59-BF67-CBC42672FC45}" name="個人／事業所数" dataCellStyle="桁区切り"/>
    <tableColumn id="13" xr3:uid="{BE15C207-13F8-4016-91BA-98A8032C3BE3}" name="個人／構成比" dataDxfId="421"/>
    <tableColumn id="14" xr3:uid="{ECD76C6F-D92D-4ABF-ADB6-ECE15F6E25C6}" name="法人／事業所数" dataCellStyle="桁区切り"/>
    <tableColumn id="15" xr3:uid="{BC8A514C-D59F-4B7B-99D6-5A8CE5759192}" name="法人／構成比" dataDxfId="420"/>
    <tableColumn id="16" xr3:uid="{24D5CCE7-61A6-41DD-8B40-315809B2C1A5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C5FAE22-C1E1-4BB1-A2BC-144D82881C52}" name="LTBL_47301" displayName="LTBL_47301" ref="B4:I20" totalsRowCount="1">
  <autoFilter ref="B4:I19" xr:uid="{1C5FAE22-C1E1-4BB1-A2BC-144D82881C52}"/>
  <tableColumns count="8">
    <tableColumn id="9" xr3:uid="{67E589A0-E994-41B0-AE2F-602EAEFB23D9}" name="産業大分類" totalsRowLabel="合計" totalsRowDxfId="419"/>
    <tableColumn id="10" xr3:uid="{1D6DEEB2-86B1-4273-8BBB-3A0BCD57FF14}" name="総数／事業所数" totalsRowFunction="custom" totalsRowDxfId="418" dataCellStyle="桁区切り" totalsRowCellStyle="桁区切り">
      <totalsRowFormula>SUM(LTBL_47301[総数／事業所数])</totalsRowFormula>
    </tableColumn>
    <tableColumn id="11" xr3:uid="{F8FCA821-ACE1-4197-A37F-38A87CC814D3}" name="総数／構成比" dataDxfId="417"/>
    <tableColumn id="12" xr3:uid="{65F5BC20-A9CB-421C-AB5E-B5717943A96D}" name="個人／事業所数" totalsRowFunction="sum" totalsRowDxfId="416" dataCellStyle="桁区切り" totalsRowCellStyle="桁区切り"/>
    <tableColumn id="13" xr3:uid="{B9BCACB2-8C60-48C4-B0AF-F1D0D830AD38}" name="個人／構成比" dataDxfId="415"/>
    <tableColumn id="14" xr3:uid="{20C8FAC7-3848-4DDA-88E3-D5DED19D7D36}" name="法人／事業所数" totalsRowFunction="sum" totalsRowDxfId="414" dataCellStyle="桁区切り" totalsRowCellStyle="桁区切り"/>
    <tableColumn id="15" xr3:uid="{9F04EB5D-3CC0-4EE0-BAC7-9317FEF95D5F}" name="法人／構成比" dataDxfId="413"/>
    <tableColumn id="16" xr3:uid="{0C085E76-9310-4F72-8793-F57E00413E8A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A60AF2FB-667D-4B24-AD39-2F9D4B117906}" name="M_TABLE_47301" displayName="M_TABLE_47301" ref="B23:I44" totalsRowShown="0">
  <autoFilter ref="B23:I44" xr:uid="{A60AF2FB-667D-4B24-AD39-2F9D4B117906}"/>
  <tableColumns count="8">
    <tableColumn id="9" xr3:uid="{A7CC6D49-76C5-4B18-AA2F-011037B37B00}" name="産業中分類上位２０"/>
    <tableColumn id="10" xr3:uid="{8BFC2F32-064D-48EB-B867-8352532A026B}" name="総数／事業所数" dataCellStyle="桁区切り"/>
    <tableColumn id="11" xr3:uid="{6DBE5773-8AA4-44AA-93B4-4DDCC3D6E040}" name="総数／構成比" dataDxfId="411"/>
    <tableColumn id="12" xr3:uid="{31530FAE-F76A-405D-BD23-CFA3893041DB}" name="個人／事業所数" dataCellStyle="桁区切り"/>
    <tableColumn id="13" xr3:uid="{A6B252A5-2697-4B39-82CB-42D8128666C9}" name="個人／構成比" dataDxfId="410"/>
    <tableColumn id="14" xr3:uid="{863FC0A6-9E09-4607-80FD-5293B569497A}" name="法人／事業所数" dataCellStyle="桁区切り"/>
    <tableColumn id="15" xr3:uid="{8A5C3A53-167D-4442-A571-CCEF245271A6}" name="法人／構成比" dataDxfId="409"/>
    <tableColumn id="16" xr3:uid="{9F400B1D-EF88-45FC-8C7D-9033C576AF3C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29462666-4A19-446E-A23D-E8A083BA998A}" name="S_TABLE_47301" displayName="S_TABLE_47301" ref="B47:I67" totalsRowShown="0">
  <autoFilter ref="B47:I67" xr:uid="{29462666-4A19-446E-A23D-E8A083BA998A}"/>
  <tableColumns count="8">
    <tableColumn id="9" xr3:uid="{E4DC97E8-1C9B-467C-8BDC-03A629BDF526}" name="産業小分類上位２０"/>
    <tableColumn id="10" xr3:uid="{46FEF010-E0AB-4830-9929-8BDDBEECD784}" name="総数／事業所数" dataCellStyle="桁区切り"/>
    <tableColumn id="11" xr3:uid="{B147192E-F8E8-4FE6-AFF8-E125A88F0158}" name="総数／構成比" dataDxfId="408"/>
    <tableColumn id="12" xr3:uid="{8885A52F-1B2D-4E84-9030-3EF26C07218A}" name="個人／事業所数" dataCellStyle="桁区切り"/>
    <tableColumn id="13" xr3:uid="{86F6D41E-4965-4DB6-8678-CE6B91CD5068}" name="個人／構成比" dataDxfId="407"/>
    <tableColumn id="14" xr3:uid="{88633AFB-1ABF-41FC-881C-69F18FB895A1}" name="法人／事業所数" dataCellStyle="桁区切り"/>
    <tableColumn id="15" xr3:uid="{094D6F4A-6E82-4D40-8044-F190BECFDF2E}" name="法人／構成比" dataDxfId="406"/>
    <tableColumn id="16" xr3:uid="{FC139800-00A5-4953-AC98-8EA76F6652C4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C0F18DE-C7B9-403A-A051-EECBEEEA0486}" name="LTBL_47201" displayName="LTBL_47201" ref="B4:I20" totalsRowCount="1">
  <autoFilter ref="B4:I19" xr:uid="{8C0F18DE-C7B9-403A-A051-EECBEEEA0486}"/>
  <tableColumns count="8">
    <tableColumn id="9" xr3:uid="{82DBE337-6ED9-4384-98AA-7CE24FC7EFC6}" name="産業大分類" totalsRowLabel="合計" totalsRowDxfId="573"/>
    <tableColumn id="10" xr3:uid="{6F4DF1F0-4AF2-42AD-85DA-C390B48869CD}" name="総数／事業所数" totalsRowFunction="custom" totalsRowDxfId="572" dataCellStyle="桁区切り" totalsRowCellStyle="桁区切り">
      <totalsRowFormula>SUM(LTBL_47201[総数／事業所数])</totalsRowFormula>
    </tableColumn>
    <tableColumn id="11" xr3:uid="{6C0AC71B-A22B-4ED2-A5A6-144B7D5BD07D}" name="総数／構成比" dataDxfId="571"/>
    <tableColumn id="12" xr3:uid="{A329605F-C90E-41FC-9E11-835AAD032C5E}" name="個人／事業所数" totalsRowFunction="sum" totalsRowDxfId="570" dataCellStyle="桁区切り" totalsRowCellStyle="桁区切り"/>
    <tableColumn id="13" xr3:uid="{191D4F24-57E9-4F70-9BA5-3A19275E8E0A}" name="個人／構成比" dataDxfId="569"/>
    <tableColumn id="14" xr3:uid="{A2529CDA-34F5-4F5A-B7C2-FFB89853231D}" name="法人／事業所数" totalsRowFunction="sum" totalsRowDxfId="568" dataCellStyle="桁区切り" totalsRowCellStyle="桁区切り"/>
    <tableColumn id="15" xr3:uid="{EF0EA3CA-C6B4-4E23-ADED-86739A466FA4}" name="法人／構成比" dataDxfId="567"/>
    <tableColumn id="16" xr3:uid="{F69BE664-DC8A-48C7-8283-890A6EAC2B17}" name="法人以外の団体／事業所数" totalsRowFunction="sum" totalsRowDxfId="566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6B28D91F-FD0C-467E-B457-C16AC6954E6C}" name="LTBL_47302" displayName="LTBL_47302" ref="B4:I20" totalsRowCount="1">
  <autoFilter ref="B4:I19" xr:uid="{6B28D91F-FD0C-467E-B457-C16AC6954E6C}"/>
  <tableColumns count="8">
    <tableColumn id="9" xr3:uid="{F0BFC003-3AC9-4A2E-A582-7192592CF1AE}" name="産業大分類" totalsRowLabel="合計" totalsRowDxfId="405"/>
    <tableColumn id="10" xr3:uid="{86B30548-175F-4916-B7D1-C783B125134E}" name="総数／事業所数" totalsRowFunction="custom" totalsRowDxfId="404" dataCellStyle="桁区切り" totalsRowCellStyle="桁区切り">
      <totalsRowFormula>SUM(LTBL_47302[総数／事業所数])</totalsRowFormula>
    </tableColumn>
    <tableColumn id="11" xr3:uid="{32517553-E49F-41B3-92F3-A52E206626C5}" name="総数／構成比" dataDxfId="403"/>
    <tableColumn id="12" xr3:uid="{6864C9A7-4588-40E6-BAE9-CAA4289D81E3}" name="個人／事業所数" totalsRowFunction="sum" totalsRowDxfId="402" dataCellStyle="桁区切り" totalsRowCellStyle="桁区切り"/>
    <tableColumn id="13" xr3:uid="{A534A081-E36D-4946-AF4B-D66483C33A9E}" name="個人／構成比" dataDxfId="401"/>
    <tableColumn id="14" xr3:uid="{DC8EA201-1701-4753-AACF-44C5C29970E3}" name="法人／事業所数" totalsRowFunction="sum" totalsRowDxfId="400" dataCellStyle="桁区切り" totalsRowCellStyle="桁区切り"/>
    <tableColumn id="15" xr3:uid="{4A197AA9-C47B-470E-9264-DCE9210B9CFB}" name="法人／構成比" dataDxfId="399"/>
    <tableColumn id="16" xr3:uid="{AEC7FAA0-D89F-4AB7-9E82-7023BE60271F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C2C34DD-35A9-4866-AF90-8E368B9CE6E6}" name="M_TABLE_47302" displayName="M_TABLE_47302" ref="B23:I49" totalsRowShown="0">
  <autoFilter ref="B23:I49" xr:uid="{7C2C34DD-35A9-4866-AF90-8E368B9CE6E6}"/>
  <tableColumns count="8">
    <tableColumn id="9" xr3:uid="{67969B09-6561-4816-B4A5-0081D07464A8}" name="産業中分類上位２０"/>
    <tableColumn id="10" xr3:uid="{5145CDAD-6D3D-4F37-AD8E-18392BBB9A3D}" name="総数／事業所数" dataCellStyle="桁区切り"/>
    <tableColumn id="11" xr3:uid="{590DEF43-5B53-4576-A326-7D3A9EAD53AE}" name="総数／構成比" dataDxfId="397"/>
    <tableColumn id="12" xr3:uid="{03ACEE81-C5CF-4715-9323-744736A86536}" name="個人／事業所数" dataCellStyle="桁区切り"/>
    <tableColumn id="13" xr3:uid="{92DD5198-63F4-4FA7-96BF-8C5B52FCCCCA}" name="個人／構成比" dataDxfId="396"/>
    <tableColumn id="14" xr3:uid="{48436C17-00BB-4B88-8B7F-A4D0463CB8D8}" name="法人／事業所数" dataCellStyle="桁区切り"/>
    <tableColumn id="15" xr3:uid="{76FF40D4-763F-4A33-A09D-FE4C2EBC1285}" name="法人／構成比" dataDxfId="395"/>
    <tableColumn id="16" xr3:uid="{32A5AA41-5366-462D-ADB2-4E9F63EF3D8C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76D7C382-D129-48D9-93B7-71B2D5B4F836}" name="S_TABLE_47302" displayName="S_TABLE_47302" ref="B52:I95" totalsRowShown="0">
  <autoFilter ref="B52:I95" xr:uid="{76D7C382-D129-48D9-93B7-71B2D5B4F836}"/>
  <tableColumns count="8">
    <tableColumn id="9" xr3:uid="{118C9A87-0B70-44FC-9AA2-D2EDBC4EEBB8}" name="産業小分類上位２０"/>
    <tableColumn id="10" xr3:uid="{E6291629-AECF-4E44-8016-C360B35A8631}" name="総数／事業所数" dataCellStyle="桁区切り"/>
    <tableColumn id="11" xr3:uid="{269E92EE-EA20-4D17-BEBC-E25D8E3D2991}" name="総数／構成比" dataDxfId="394"/>
    <tableColumn id="12" xr3:uid="{A64BBDC7-B745-46FD-B505-A1F5857DCEED}" name="個人／事業所数" dataCellStyle="桁区切り"/>
    <tableColumn id="13" xr3:uid="{029474B9-F5BF-4791-8E4B-3B99CB558963}" name="個人／構成比" dataDxfId="393"/>
    <tableColumn id="14" xr3:uid="{C0A383CB-A295-450D-8A3E-A6E04D053E80}" name="法人／事業所数" dataCellStyle="桁区切り"/>
    <tableColumn id="15" xr3:uid="{760229B2-AC97-45CB-9674-4DDC56C45318}" name="法人／構成比" dataDxfId="392"/>
    <tableColumn id="16" xr3:uid="{C169952B-D143-432F-A6B5-C5453D770CE8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D96B5901-1CE0-407E-BA65-1844D304450D}" name="LTBL_47303" displayName="LTBL_47303" ref="B4:I20" totalsRowCount="1">
  <autoFilter ref="B4:I19" xr:uid="{D96B5901-1CE0-407E-BA65-1844D304450D}"/>
  <tableColumns count="8">
    <tableColumn id="9" xr3:uid="{B5AF02AC-4883-4B88-949E-30E8E6B9DF91}" name="産業大分類" totalsRowLabel="合計" totalsRowDxfId="391"/>
    <tableColumn id="10" xr3:uid="{EF6606EC-5EF7-47B9-AC5B-848B018F30D0}" name="総数／事業所数" totalsRowFunction="custom" totalsRowDxfId="390" dataCellStyle="桁区切り" totalsRowCellStyle="桁区切り">
      <totalsRowFormula>SUM(LTBL_47303[総数／事業所数])</totalsRowFormula>
    </tableColumn>
    <tableColumn id="11" xr3:uid="{87508052-7A58-4783-B94F-FB6039F3EE2D}" name="総数／構成比" dataDxfId="389"/>
    <tableColumn id="12" xr3:uid="{BADC8A4B-62D1-40B5-B5EE-ED1B516B14CB}" name="個人／事業所数" totalsRowFunction="sum" totalsRowDxfId="388" dataCellStyle="桁区切り" totalsRowCellStyle="桁区切り"/>
    <tableColumn id="13" xr3:uid="{DE254972-DC28-45EC-B8FD-5103D43763C4}" name="個人／構成比" dataDxfId="387"/>
    <tableColumn id="14" xr3:uid="{EA78B494-8F03-4C76-BCD0-A1B607F54E2E}" name="法人／事業所数" totalsRowFunction="sum" totalsRowDxfId="386" dataCellStyle="桁区切り" totalsRowCellStyle="桁区切り"/>
    <tableColumn id="15" xr3:uid="{2A6BBB98-D3C6-4B3A-80CD-E3709954BE53}" name="法人／構成比" dataDxfId="385"/>
    <tableColumn id="16" xr3:uid="{C8AA97D6-ECFA-4016-AF00-14612B04E38D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359ABB07-3498-4BE9-A1AB-EFD668EF9A5A}" name="M_TABLE_47303" displayName="M_TABLE_47303" ref="B23:I42" totalsRowShown="0">
  <autoFilter ref="B23:I42" xr:uid="{359ABB07-3498-4BE9-A1AB-EFD668EF9A5A}"/>
  <tableColumns count="8">
    <tableColumn id="9" xr3:uid="{878B1052-3305-4855-8ED5-E8505E38006E}" name="産業中分類上位２０"/>
    <tableColumn id="10" xr3:uid="{F2953AAC-DEF7-48FD-9272-0E728565715E}" name="総数／事業所数" dataCellStyle="桁区切り"/>
    <tableColumn id="11" xr3:uid="{4FBC6A18-A26D-4956-8424-50BFFD05FEAB}" name="総数／構成比" dataDxfId="383"/>
    <tableColumn id="12" xr3:uid="{DD7E9D54-C91A-4ED2-B99C-1627527D1D62}" name="個人／事業所数" dataCellStyle="桁区切り"/>
    <tableColumn id="13" xr3:uid="{0F92A6C7-1CB1-4236-B1EE-784E2D0CF2A4}" name="個人／構成比" dataDxfId="382"/>
    <tableColumn id="14" xr3:uid="{3C796AE2-B104-48AE-893A-A4162190796F}" name="法人／事業所数" dataCellStyle="桁区切り"/>
    <tableColumn id="15" xr3:uid="{6E94F368-9FE4-42A9-91C1-2603C0200C64}" name="法人／構成比" dataDxfId="381"/>
    <tableColumn id="16" xr3:uid="{E1EE94E0-7F52-4238-B6DD-0EEC8FA0963B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89C4506-D67B-429D-ADA1-E99684106F74}" name="S_TABLE_47303" displayName="S_TABLE_47303" ref="B45:I73" totalsRowShown="0">
  <autoFilter ref="B45:I73" xr:uid="{989C4506-D67B-429D-ADA1-E99684106F74}"/>
  <tableColumns count="8">
    <tableColumn id="9" xr3:uid="{D793B5A2-155E-43A9-B94A-449D5AC5EB95}" name="産業小分類上位２０"/>
    <tableColumn id="10" xr3:uid="{81413778-B31E-4BF0-AB78-DD2E1D47C4AB}" name="総数／事業所数" dataCellStyle="桁区切り"/>
    <tableColumn id="11" xr3:uid="{FAB55836-4DD9-4CD8-BD86-F6EF19FFB6BF}" name="総数／構成比" dataDxfId="380"/>
    <tableColumn id="12" xr3:uid="{4F1F5F6C-1414-4861-B788-36B5D7AD4CE4}" name="個人／事業所数" dataCellStyle="桁区切り"/>
    <tableColumn id="13" xr3:uid="{DFB38C5E-3690-440D-9FA5-49EDCA7064E8}" name="個人／構成比" dataDxfId="379"/>
    <tableColumn id="14" xr3:uid="{1A8543EA-B3A6-43ED-BE85-61C7C3608C7C}" name="法人／事業所数" dataCellStyle="桁区切り"/>
    <tableColumn id="15" xr3:uid="{2757C33D-33BF-48B2-B078-D4E0EF8F2211}" name="法人／構成比" dataDxfId="378"/>
    <tableColumn id="16" xr3:uid="{95534623-34FD-4741-9A04-2391304CCD6C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E21C3399-55C1-42C9-AE06-A9FC9FA84880}" name="LTBL_47306" displayName="LTBL_47306" ref="B4:I20" totalsRowCount="1">
  <autoFilter ref="B4:I19" xr:uid="{E21C3399-55C1-42C9-AE06-A9FC9FA84880}"/>
  <tableColumns count="8">
    <tableColumn id="9" xr3:uid="{7CA45DA8-6496-44C9-8686-B696D596566D}" name="産業大分類" totalsRowLabel="合計" totalsRowDxfId="377"/>
    <tableColumn id="10" xr3:uid="{AC343970-EB34-45FB-98A6-978B5591DD24}" name="総数／事業所数" totalsRowFunction="custom" totalsRowDxfId="376" dataCellStyle="桁区切り" totalsRowCellStyle="桁区切り">
      <totalsRowFormula>SUM(LTBL_47306[総数／事業所数])</totalsRowFormula>
    </tableColumn>
    <tableColumn id="11" xr3:uid="{807DFA69-4720-4CE5-9627-74A252EE5C1E}" name="総数／構成比" dataDxfId="375"/>
    <tableColumn id="12" xr3:uid="{AD88D142-5C3F-43FB-AA54-49871E5EF139}" name="個人／事業所数" totalsRowFunction="sum" totalsRowDxfId="374" dataCellStyle="桁区切り" totalsRowCellStyle="桁区切り"/>
    <tableColumn id="13" xr3:uid="{5154A9B0-83B8-4FB7-81F4-AB5918BF1AD5}" name="個人／構成比" dataDxfId="373"/>
    <tableColumn id="14" xr3:uid="{0C043C1E-5E9A-4A42-AAC8-3358E12CE897}" name="法人／事業所数" totalsRowFunction="sum" totalsRowDxfId="372" dataCellStyle="桁区切り" totalsRowCellStyle="桁区切り"/>
    <tableColumn id="15" xr3:uid="{00DFB5C3-0517-4753-8989-ED6607348A81}" name="法人／構成比" dataDxfId="371"/>
    <tableColumn id="16" xr3:uid="{D4FFD202-89E7-43C6-B125-E431DF935738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E9EE1843-F729-4ACB-A0D1-E5973ED12272}" name="M_TABLE_47306" displayName="M_TABLE_47306" ref="B23:I50" totalsRowShown="0">
  <autoFilter ref="B23:I50" xr:uid="{E9EE1843-F729-4ACB-A0D1-E5973ED12272}"/>
  <tableColumns count="8">
    <tableColumn id="9" xr3:uid="{F9D9F832-8DFC-4A41-9836-00F48D4284C3}" name="産業中分類上位２０"/>
    <tableColumn id="10" xr3:uid="{3356641D-1BC1-4A60-BA46-E6BC31419078}" name="総数／事業所数" dataCellStyle="桁区切り"/>
    <tableColumn id="11" xr3:uid="{CABF637A-7BEC-486E-8441-F02C5519B8EB}" name="総数／構成比" dataDxfId="369"/>
    <tableColumn id="12" xr3:uid="{602D3EE7-DCD9-4720-B756-439A800B4579}" name="個人／事業所数" dataCellStyle="桁区切り"/>
    <tableColumn id="13" xr3:uid="{94A3AD89-1A7F-4563-B197-8EF39137943B}" name="個人／構成比" dataDxfId="368"/>
    <tableColumn id="14" xr3:uid="{75079D3D-C10D-4383-81DC-09EFEE7B5B04}" name="法人／事業所数" dataCellStyle="桁区切り"/>
    <tableColumn id="15" xr3:uid="{36CB96E7-E08B-456F-94C8-2D1A0D09A0C7}" name="法人／構成比" dataDxfId="367"/>
    <tableColumn id="16" xr3:uid="{D64D57EB-6BE9-43C2-9945-B5258DAB479E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49B6B453-D3F4-4086-86E0-92E5641A837D}" name="S_TABLE_47306" displayName="S_TABLE_47306" ref="B53:I76" totalsRowShown="0">
  <autoFilter ref="B53:I76" xr:uid="{49B6B453-D3F4-4086-86E0-92E5641A837D}"/>
  <tableColumns count="8">
    <tableColumn id="9" xr3:uid="{340DD2FB-2E1B-4C3A-AFFB-88B393364017}" name="産業小分類上位２０"/>
    <tableColumn id="10" xr3:uid="{5E9D3885-B705-4992-AF56-F45B3FDF8B12}" name="総数／事業所数" dataCellStyle="桁区切り"/>
    <tableColumn id="11" xr3:uid="{36361ACE-064C-4609-9CF7-5C783992C644}" name="総数／構成比" dataDxfId="366"/>
    <tableColumn id="12" xr3:uid="{A3536588-EFE2-4526-8143-D97800700EED}" name="個人／事業所数" dataCellStyle="桁区切り"/>
    <tableColumn id="13" xr3:uid="{A7614774-6331-46EC-AE0D-A1016E4CFDEF}" name="個人／構成比" dataDxfId="365"/>
    <tableColumn id="14" xr3:uid="{DA50651B-E363-495A-9D62-5171F7A5BDA5}" name="法人／事業所数" dataCellStyle="桁区切り"/>
    <tableColumn id="15" xr3:uid="{D1631123-53D8-425A-9152-CCEB86CA051F}" name="法人／構成比" dataDxfId="364"/>
    <tableColumn id="16" xr3:uid="{C5DBFC9C-DC2F-4130-A32F-2CE23DA25C4A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F3DAAA66-D496-4FB8-9B8A-96200640DEEA}" name="LTBL_47308" displayName="LTBL_47308" ref="B4:I20" totalsRowCount="1">
  <autoFilter ref="B4:I19" xr:uid="{F3DAAA66-D496-4FB8-9B8A-96200640DEEA}"/>
  <tableColumns count="8">
    <tableColumn id="9" xr3:uid="{AD1C3AF5-500F-45AF-B6D7-A72AAB0E0CCA}" name="産業大分類" totalsRowLabel="合計" totalsRowDxfId="363"/>
    <tableColumn id="10" xr3:uid="{D3C29417-3847-4D4A-A830-39EEC5AC6DA9}" name="総数／事業所数" totalsRowFunction="custom" totalsRowDxfId="362" dataCellStyle="桁区切り" totalsRowCellStyle="桁区切り">
      <totalsRowFormula>SUM(LTBL_47308[総数／事業所数])</totalsRowFormula>
    </tableColumn>
    <tableColumn id="11" xr3:uid="{2E65D0AA-1A1A-4AD2-B22A-85846FB76C83}" name="総数／構成比" dataDxfId="361"/>
    <tableColumn id="12" xr3:uid="{85F294E4-AA16-401A-90AC-27B7828284F0}" name="個人／事業所数" totalsRowFunction="sum" totalsRowDxfId="360" dataCellStyle="桁区切り" totalsRowCellStyle="桁区切り"/>
    <tableColumn id="13" xr3:uid="{F530DD92-852C-4822-91D5-3325B8C83C7F}" name="個人／構成比" dataDxfId="359"/>
    <tableColumn id="14" xr3:uid="{7DEE86EB-128F-4EC8-93F2-D3853F22A396}" name="法人／事業所数" totalsRowFunction="sum" totalsRowDxfId="358" dataCellStyle="桁区切り" totalsRowCellStyle="桁区切り"/>
    <tableColumn id="15" xr3:uid="{EAF559B7-8B98-425B-A4DA-862F2CB03351}" name="法人／構成比" dataDxfId="357"/>
    <tableColumn id="16" xr3:uid="{80478020-FCDD-4C88-B869-1F746176FB0B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9F47318-6D84-4E0A-AA1B-6C337EEEAF4B}" name="M_TABLE_47201" displayName="M_TABLE_47201" ref="B23:I43" totalsRowShown="0">
  <autoFilter ref="B23:I43" xr:uid="{09F47318-6D84-4E0A-AA1B-6C337EEEAF4B}"/>
  <tableColumns count="8">
    <tableColumn id="9" xr3:uid="{412484B9-2EB5-4143-9CBB-4E784A525D6E}" name="産業中分類上位２０"/>
    <tableColumn id="10" xr3:uid="{9BF42AB4-F077-4DCA-A804-5FC661D7BB19}" name="総数／事業所数" dataCellStyle="桁区切り"/>
    <tableColumn id="11" xr3:uid="{9793B9AB-EF97-4DE3-AD75-82B9EF64E86D}" name="総数／構成比" dataDxfId="565"/>
    <tableColumn id="12" xr3:uid="{6A39C1A2-BBD6-4168-97AF-820ACC56EEBF}" name="個人／事業所数" dataCellStyle="桁区切り"/>
    <tableColumn id="13" xr3:uid="{35E3A2B2-D975-4772-94DE-772AA87A92F3}" name="個人／構成比" dataDxfId="564"/>
    <tableColumn id="14" xr3:uid="{DC3CC124-CADF-4034-AF67-037A795797A9}" name="法人／事業所数" dataCellStyle="桁区切り"/>
    <tableColumn id="15" xr3:uid="{B61BE669-986A-4BDF-84BB-A8139DF02AF3}" name="法人／構成比" dataDxfId="563"/>
    <tableColumn id="16" xr3:uid="{95324D20-1E92-4B87-BCF9-DC5F965F7CFD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56045C0C-F147-40C6-9EEC-F9FD35939F3D}" name="M_TABLE_47308" displayName="M_TABLE_47308" ref="B23:I45" totalsRowShown="0">
  <autoFilter ref="B23:I45" xr:uid="{56045C0C-F147-40C6-9EEC-F9FD35939F3D}"/>
  <tableColumns count="8">
    <tableColumn id="9" xr3:uid="{85AD8A4E-9B0F-4C40-85DD-044A02BE4719}" name="産業中分類上位２０"/>
    <tableColumn id="10" xr3:uid="{44F89C9E-9B14-4C70-A5F4-2917409F204B}" name="総数／事業所数" dataCellStyle="桁区切り"/>
    <tableColumn id="11" xr3:uid="{AB743384-6EA9-4DB5-B40E-8F679AC8E295}" name="総数／構成比" dataDxfId="355"/>
    <tableColumn id="12" xr3:uid="{7E1F06FD-E62B-4F40-926E-38B4D592D0E1}" name="個人／事業所数" dataCellStyle="桁区切り"/>
    <tableColumn id="13" xr3:uid="{3BAC7CCF-6D4A-401B-9F3F-FE6D611D8EBB}" name="個人／構成比" dataDxfId="354"/>
    <tableColumn id="14" xr3:uid="{47754F26-3DCA-4E07-A2E9-EBA3DAE6F0AD}" name="法人／事業所数" dataCellStyle="桁区切り"/>
    <tableColumn id="15" xr3:uid="{A15EAFE4-99BF-4931-ADDF-FCEDFFC38197}" name="法人／構成比" dataDxfId="353"/>
    <tableColumn id="16" xr3:uid="{2CA2D3AF-DD86-4A14-8B5C-8143B10CC498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9E66F4F6-94D5-4815-B3EC-17DDA83DE070}" name="S_TABLE_47308" displayName="S_TABLE_47308" ref="B48:I69" totalsRowShown="0">
  <autoFilter ref="B48:I69" xr:uid="{9E66F4F6-94D5-4815-B3EC-17DDA83DE070}"/>
  <tableColumns count="8">
    <tableColumn id="9" xr3:uid="{6B044BCF-3F34-4EBC-A2DF-D7DBCA4B8117}" name="産業小分類上位２０"/>
    <tableColumn id="10" xr3:uid="{1D6BE6F5-A8EF-4576-88C0-B543000ABA3A}" name="総数／事業所数" dataCellStyle="桁区切り"/>
    <tableColumn id="11" xr3:uid="{E5672BC3-0656-4772-A944-D486DB856F0F}" name="総数／構成比" dataDxfId="352"/>
    <tableColumn id="12" xr3:uid="{A9629DEA-545C-4266-8FC7-78B680CC3F28}" name="個人／事業所数" dataCellStyle="桁区切り"/>
    <tableColumn id="13" xr3:uid="{0C754E36-24A3-4756-ADD7-752A319E0558}" name="個人／構成比" dataDxfId="351"/>
    <tableColumn id="14" xr3:uid="{E7CE1BAF-F7D2-407E-97EE-257DA92B30A8}" name="法人／事業所数" dataCellStyle="桁区切り"/>
    <tableColumn id="15" xr3:uid="{DB094544-BABA-427D-B710-39A11FE96607}" name="法人／構成比" dataDxfId="350"/>
    <tableColumn id="16" xr3:uid="{B6AE1C50-D750-4374-BE79-134A057B563D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56BA8B80-900B-4C64-8036-A3EC7D7E336B}" name="LTBL_47311" displayName="LTBL_47311" ref="B4:I20" totalsRowCount="1">
  <autoFilter ref="B4:I19" xr:uid="{56BA8B80-900B-4C64-8036-A3EC7D7E336B}"/>
  <tableColumns count="8">
    <tableColumn id="9" xr3:uid="{91963840-BFA5-4862-8A08-D09C965A39FC}" name="産業大分類" totalsRowLabel="合計" totalsRowDxfId="349"/>
    <tableColumn id="10" xr3:uid="{70A9016B-15A8-4B49-B30F-D19171F9BC54}" name="総数／事業所数" totalsRowFunction="custom" totalsRowDxfId="348" dataCellStyle="桁区切り" totalsRowCellStyle="桁区切り">
      <totalsRowFormula>SUM(LTBL_47311[総数／事業所数])</totalsRowFormula>
    </tableColumn>
    <tableColumn id="11" xr3:uid="{D08875D3-890D-4D8D-A21B-63F732E9FF10}" name="総数／構成比" dataDxfId="347"/>
    <tableColumn id="12" xr3:uid="{90B78DA1-4FB5-4C52-9F0F-1D14686B26E4}" name="個人／事業所数" totalsRowFunction="sum" totalsRowDxfId="346" dataCellStyle="桁区切り" totalsRowCellStyle="桁区切り"/>
    <tableColumn id="13" xr3:uid="{6B82089E-0642-4793-B626-D8E71072F447}" name="個人／構成比" dataDxfId="345"/>
    <tableColumn id="14" xr3:uid="{731EBFE9-9DDC-4966-80CA-D8DB19BE9A47}" name="法人／事業所数" totalsRowFunction="sum" totalsRowDxfId="344" dataCellStyle="桁区切り" totalsRowCellStyle="桁区切り"/>
    <tableColumn id="15" xr3:uid="{2E1B1B5C-BF0A-4009-9ED3-3AD9B8D62D2B}" name="法人／構成比" dataDxfId="343"/>
    <tableColumn id="16" xr3:uid="{B5070A98-77AA-4953-8DBE-DE9BDECFF502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A5F81255-0CE7-439A-B4A0-BADE23B8873D}" name="M_TABLE_47311" displayName="M_TABLE_47311" ref="B23:I48" totalsRowShown="0">
  <autoFilter ref="B23:I48" xr:uid="{A5F81255-0CE7-439A-B4A0-BADE23B8873D}"/>
  <tableColumns count="8">
    <tableColumn id="9" xr3:uid="{DE69F69B-10AC-4B0F-8151-36CB8E294312}" name="産業中分類上位２０"/>
    <tableColumn id="10" xr3:uid="{88E29CD0-DEAA-4AE3-8299-2634EBF9B3EE}" name="総数／事業所数" dataCellStyle="桁区切り"/>
    <tableColumn id="11" xr3:uid="{654B8AEA-502A-44FF-BA2F-62B24682BB15}" name="総数／構成比" dataDxfId="341"/>
    <tableColumn id="12" xr3:uid="{174B4693-64BB-49A7-B6C8-5CA1994FE98A}" name="個人／事業所数" dataCellStyle="桁区切り"/>
    <tableColumn id="13" xr3:uid="{49AE21E8-369C-47A4-A751-87BA96721E11}" name="個人／構成比" dataDxfId="340"/>
    <tableColumn id="14" xr3:uid="{690D2803-4F38-4557-9FD1-7268E73251B7}" name="法人／事業所数" dataCellStyle="桁区切り"/>
    <tableColumn id="15" xr3:uid="{8E24B306-7B88-40B7-8DDD-02D6D03BBE2F}" name="法人／構成比" dataDxfId="339"/>
    <tableColumn id="16" xr3:uid="{367C179F-7CF2-4AF2-BB56-073A668D3030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4D38363E-6890-415F-892A-BF0BDAF10AF9}" name="S_TABLE_47311" displayName="S_TABLE_47311" ref="B51:I86" totalsRowShown="0">
  <autoFilter ref="B51:I86" xr:uid="{4D38363E-6890-415F-892A-BF0BDAF10AF9}"/>
  <tableColumns count="8">
    <tableColumn id="9" xr3:uid="{A598925D-E6CA-4907-9CB2-ABD4EAD5B3C4}" name="産業小分類上位２０"/>
    <tableColumn id="10" xr3:uid="{85E4C853-C5E7-45C8-A661-F6878A79E602}" name="総数／事業所数" dataCellStyle="桁区切り"/>
    <tableColumn id="11" xr3:uid="{D62D9128-41F6-49FA-8D02-2A5897702B00}" name="総数／構成比" dataDxfId="338"/>
    <tableColumn id="12" xr3:uid="{DBABC6D8-B844-456E-B41A-A854938D8B86}" name="個人／事業所数" dataCellStyle="桁区切り"/>
    <tableColumn id="13" xr3:uid="{B9FE347A-F6B8-4FC6-8E2E-C3122A5BA4A3}" name="個人／構成比" dataDxfId="337"/>
    <tableColumn id="14" xr3:uid="{F334DC39-DC33-4E36-8CCA-B5013BE4BB9D}" name="法人／事業所数" dataCellStyle="桁区切り"/>
    <tableColumn id="15" xr3:uid="{25A001A4-B921-45D3-B871-11733509CA2B}" name="法人／構成比" dataDxfId="336"/>
    <tableColumn id="16" xr3:uid="{D25F8B89-BB8E-438B-9CE6-20011D48703D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93C8CE57-5166-4EE1-BB02-671873F53803}" name="LTBL_47313" displayName="LTBL_47313" ref="B4:I20" totalsRowCount="1">
  <autoFilter ref="B4:I19" xr:uid="{93C8CE57-5166-4EE1-BB02-671873F53803}"/>
  <tableColumns count="8">
    <tableColumn id="9" xr3:uid="{D07861AA-2ACD-4B83-8217-EA05627FA1FE}" name="産業大分類" totalsRowLabel="合計" totalsRowDxfId="335"/>
    <tableColumn id="10" xr3:uid="{E5B5ACD7-9EC7-4A02-ABD8-CB3CCCDA23D3}" name="総数／事業所数" totalsRowFunction="custom" totalsRowDxfId="334" dataCellStyle="桁区切り" totalsRowCellStyle="桁区切り">
      <totalsRowFormula>SUM(LTBL_47313[総数／事業所数])</totalsRowFormula>
    </tableColumn>
    <tableColumn id="11" xr3:uid="{5B27765F-5C5A-402F-9381-C856D8F05949}" name="総数／構成比" dataDxfId="333"/>
    <tableColumn id="12" xr3:uid="{9F85F1B3-0B4B-422E-BEAF-A3B2F845562C}" name="個人／事業所数" totalsRowFunction="sum" totalsRowDxfId="332" dataCellStyle="桁区切り" totalsRowCellStyle="桁区切り"/>
    <tableColumn id="13" xr3:uid="{03735465-118E-4BC5-835F-F071973481EB}" name="個人／構成比" dataDxfId="331"/>
    <tableColumn id="14" xr3:uid="{D8345ABA-69A9-4D3D-A17C-2DA281614224}" name="法人／事業所数" totalsRowFunction="sum" totalsRowDxfId="330" dataCellStyle="桁区切り" totalsRowCellStyle="桁区切り"/>
    <tableColumn id="15" xr3:uid="{FC01A9F9-E2D2-4830-8FB5-CB6F3E708C64}" name="法人／構成比" dataDxfId="329"/>
    <tableColumn id="16" xr3:uid="{01066145-B0C8-475F-867E-AF8E769F5DA9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F0989C3F-9FD6-460C-AC3A-5D7A7AFDF49E}" name="M_TABLE_47313" displayName="M_TABLE_47313" ref="B23:I45" totalsRowShown="0">
  <autoFilter ref="B23:I45" xr:uid="{F0989C3F-9FD6-460C-AC3A-5D7A7AFDF49E}"/>
  <tableColumns count="8">
    <tableColumn id="9" xr3:uid="{3D501D91-DC8D-4D03-AB81-FBDF76071A9D}" name="産業中分類上位２０"/>
    <tableColumn id="10" xr3:uid="{8C651118-F855-41AE-B0C0-E971783D6D30}" name="総数／事業所数" dataCellStyle="桁区切り"/>
    <tableColumn id="11" xr3:uid="{4B98C3A6-56EF-4FB7-A946-202D8E190840}" name="総数／構成比" dataDxfId="327"/>
    <tableColumn id="12" xr3:uid="{0A0F4B9E-63F2-4664-A415-9AF32C3998E2}" name="個人／事業所数" dataCellStyle="桁区切り"/>
    <tableColumn id="13" xr3:uid="{A7EC4C8A-B8B3-4835-9FAD-F42EB2CC685F}" name="個人／構成比" dataDxfId="326"/>
    <tableColumn id="14" xr3:uid="{04470CC0-74C7-4138-B779-33102F7C4BD6}" name="法人／事業所数" dataCellStyle="桁区切り"/>
    <tableColumn id="15" xr3:uid="{3F9E0D4E-0DC2-4502-9109-0DA955D0F7B8}" name="法人／構成比" dataDxfId="325"/>
    <tableColumn id="16" xr3:uid="{7751AB34-0CB3-498C-8553-88CF2FAF37BF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D07D1886-6D09-4CE5-B5BD-67060E02E906}" name="S_TABLE_47313" displayName="S_TABLE_47313" ref="B48:I78" totalsRowShown="0">
  <autoFilter ref="B48:I78" xr:uid="{D07D1886-6D09-4CE5-B5BD-67060E02E906}"/>
  <tableColumns count="8">
    <tableColumn id="9" xr3:uid="{FA667736-9318-4787-95BA-258FA5BA4976}" name="産業小分類上位２０"/>
    <tableColumn id="10" xr3:uid="{21853CB2-06F4-49E1-BE6A-525E4D2270BF}" name="総数／事業所数" dataCellStyle="桁区切り"/>
    <tableColumn id="11" xr3:uid="{003DC577-1A02-4CB8-B3E7-E023D08A0CDA}" name="総数／構成比" dataDxfId="324"/>
    <tableColumn id="12" xr3:uid="{55235DFB-0C6A-41C5-9540-B61789113A85}" name="個人／事業所数" dataCellStyle="桁区切り"/>
    <tableColumn id="13" xr3:uid="{49878ACF-9E7D-4BD4-AD96-CA43326AAEE0}" name="個人／構成比" dataDxfId="323"/>
    <tableColumn id="14" xr3:uid="{5D019676-164F-48E7-838E-0B20E8323638}" name="法人／事業所数" dataCellStyle="桁区切り"/>
    <tableColumn id="15" xr3:uid="{5954BFCB-AECF-4D6E-8E1B-876F65F87C78}" name="法人／構成比" dataDxfId="322"/>
    <tableColumn id="16" xr3:uid="{0C48989F-97F2-4382-BC40-E0EA4B4B53F4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2A23667D-DD4C-4AAB-9618-FB4342BBB7E0}" name="LTBL_47314" displayName="LTBL_47314" ref="B4:I20" totalsRowCount="1">
  <autoFilter ref="B4:I19" xr:uid="{2A23667D-DD4C-4AAB-9618-FB4342BBB7E0}"/>
  <tableColumns count="8">
    <tableColumn id="9" xr3:uid="{BE8C8C92-8331-47D0-AFC7-36F40B43558A}" name="産業大分類" totalsRowLabel="合計" totalsRowDxfId="321"/>
    <tableColumn id="10" xr3:uid="{B38A00CB-EEB0-4EAA-BE38-09966012D083}" name="総数／事業所数" totalsRowFunction="custom" totalsRowDxfId="320" dataCellStyle="桁区切り" totalsRowCellStyle="桁区切り">
      <totalsRowFormula>SUM(LTBL_47314[総数／事業所数])</totalsRowFormula>
    </tableColumn>
    <tableColumn id="11" xr3:uid="{2DCCFDF6-1AE1-4ABD-B889-293CDC5A6179}" name="総数／構成比" dataDxfId="319"/>
    <tableColumn id="12" xr3:uid="{BF74F392-1F20-4409-B462-184E16A765CF}" name="個人／事業所数" totalsRowFunction="sum" totalsRowDxfId="318" dataCellStyle="桁区切り" totalsRowCellStyle="桁区切り"/>
    <tableColumn id="13" xr3:uid="{62B049C0-528E-483C-BDBD-8C7E668A86D3}" name="個人／構成比" dataDxfId="317"/>
    <tableColumn id="14" xr3:uid="{9A102C01-9B90-48D1-A223-1E423699D436}" name="法人／事業所数" totalsRowFunction="sum" totalsRowDxfId="316" dataCellStyle="桁区切り" totalsRowCellStyle="桁区切り"/>
    <tableColumn id="15" xr3:uid="{CFC90AD0-9066-44DB-9F66-3541240F6922}" name="法人／構成比" dataDxfId="315"/>
    <tableColumn id="16" xr3:uid="{ADB757CA-01EE-4E8D-8FA3-4232B4D4CF4F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D9EA091D-97EC-4C7D-9FB2-F76177356BE5}" name="M_TABLE_47314" displayName="M_TABLE_47314" ref="B23:I44" totalsRowShown="0">
  <autoFilter ref="B23:I44" xr:uid="{D9EA091D-97EC-4C7D-9FB2-F76177356BE5}"/>
  <tableColumns count="8">
    <tableColumn id="9" xr3:uid="{BA28201A-835B-4532-A57A-B20F757A3EED}" name="産業中分類上位２０"/>
    <tableColumn id="10" xr3:uid="{06D37078-5B9A-485F-A06E-03F19C671788}" name="総数／事業所数" dataCellStyle="桁区切り"/>
    <tableColumn id="11" xr3:uid="{F02A7DFD-CE14-4DF1-AA20-767D914920CE}" name="総数／構成比" dataDxfId="313"/>
    <tableColumn id="12" xr3:uid="{71852538-18EB-4702-94C3-DD44A123E1BE}" name="個人／事業所数" dataCellStyle="桁区切り"/>
    <tableColumn id="13" xr3:uid="{C8BC957F-4D8A-458C-9D1D-D4B43688739B}" name="個人／構成比" dataDxfId="312"/>
    <tableColumn id="14" xr3:uid="{8DD8D66E-6FD6-4EBF-BE86-BFF63BB3D13F}" name="法人／事業所数" dataCellStyle="桁区切り"/>
    <tableColumn id="15" xr3:uid="{8EA74B88-A323-41DC-8F57-4C8857609A72}" name="法人／構成比" dataDxfId="311"/>
    <tableColumn id="16" xr3:uid="{972A8690-DEBD-4F85-B6FD-4F2967B123C0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E1B26B5-9052-4957-AB23-CD4616CE1F26}" name="S_TABLE_47201" displayName="S_TABLE_47201" ref="B46:I66" totalsRowShown="0">
  <autoFilter ref="B46:I66" xr:uid="{BE1B26B5-9052-4957-AB23-CD4616CE1F26}"/>
  <tableColumns count="8">
    <tableColumn id="9" xr3:uid="{EC44D2D6-3097-48E4-AC94-D8B0192D9124}" name="産業小分類上位２０"/>
    <tableColumn id="10" xr3:uid="{874DA31F-59DE-4996-A15F-2EB98A641FF6}" name="総数／事業所数" dataCellStyle="桁区切り"/>
    <tableColumn id="11" xr3:uid="{DCD9356C-04B6-4BA5-ABE7-66F655E8E726}" name="総数／構成比" dataDxfId="562"/>
    <tableColumn id="12" xr3:uid="{CB52F6E0-76F6-4F24-A6AD-2759C28CF060}" name="個人／事業所数" dataCellStyle="桁区切り"/>
    <tableColumn id="13" xr3:uid="{54B1AB6A-D275-4C28-949D-6245CFB7562B}" name="個人／構成比" dataDxfId="561"/>
    <tableColumn id="14" xr3:uid="{DBABF741-403D-45DA-82EF-37E875DB56AA}" name="法人／事業所数" dataCellStyle="桁区切り"/>
    <tableColumn id="15" xr3:uid="{032DBAE1-EC14-4B7D-9782-CE5F0D8A55EB}" name="法人／構成比" dataDxfId="560"/>
    <tableColumn id="16" xr3:uid="{DE97960B-91F7-4452-93D2-7C91751FD1C9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4C03E1C-BB07-422D-8044-E1A3BFFEDE97}" name="S_TABLE_47314" displayName="S_TABLE_47314" ref="B47:I68" totalsRowShown="0">
  <autoFilter ref="B47:I68" xr:uid="{34C03E1C-BB07-422D-8044-E1A3BFFEDE97}"/>
  <tableColumns count="8">
    <tableColumn id="9" xr3:uid="{238DF868-E264-437D-BB15-61E72B36370E}" name="産業小分類上位２０"/>
    <tableColumn id="10" xr3:uid="{B54EC1D7-11E8-4D1E-816A-2AA2BA8F1925}" name="総数／事業所数" dataCellStyle="桁区切り"/>
    <tableColumn id="11" xr3:uid="{CBDCBA72-B5AA-4FE2-BAC5-EEB057676C54}" name="総数／構成比" dataDxfId="310"/>
    <tableColumn id="12" xr3:uid="{F37AB879-29E7-4A80-86B1-7F6BFAFFD019}" name="個人／事業所数" dataCellStyle="桁区切り"/>
    <tableColumn id="13" xr3:uid="{A47B279C-03B4-4D69-A334-88116A414131}" name="個人／構成比" dataDxfId="309"/>
    <tableColumn id="14" xr3:uid="{504BD8D2-6390-45C7-AB6A-D2F9F34EBF6C}" name="法人／事業所数" dataCellStyle="桁区切り"/>
    <tableColumn id="15" xr3:uid="{FEA9EF58-5DC2-47A7-9EA5-004BB734F6E8}" name="法人／構成比" dataDxfId="308"/>
    <tableColumn id="16" xr3:uid="{1403415C-2399-477A-96AF-E2EFC7BB4F0C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E2C91780-7BBA-4375-B1A5-C4356DECAD66}" name="LTBL_47315" displayName="LTBL_47315" ref="B4:I20" totalsRowCount="1">
  <autoFilter ref="B4:I19" xr:uid="{E2C91780-7BBA-4375-B1A5-C4356DECAD66}"/>
  <tableColumns count="8">
    <tableColumn id="9" xr3:uid="{3E75C0D8-7E74-48E3-9066-00143C1FE6A5}" name="産業大分類" totalsRowLabel="合計" totalsRowDxfId="307"/>
    <tableColumn id="10" xr3:uid="{873DA6B1-E20A-4A21-9AE5-1F8668E0AB9D}" name="総数／事業所数" totalsRowFunction="custom" totalsRowDxfId="306" dataCellStyle="桁区切り" totalsRowCellStyle="桁区切り">
      <totalsRowFormula>SUM(LTBL_47315[総数／事業所数])</totalsRowFormula>
    </tableColumn>
    <tableColumn id="11" xr3:uid="{4C4BC36D-6C3F-4D6F-858E-12F13063C15C}" name="総数／構成比" dataDxfId="305"/>
    <tableColumn id="12" xr3:uid="{A98210D2-177E-4701-BA40-3329656F080C}" name="個人／事業所数" totalsRowFunction="sum" totalsRowDxfId="304" dataCellStyle="桁区切り" totalsRowCellStyle="桁区切り"/>
    <tableColumn id="13" xr3:uid="{C57E6611-DE44-4911-9E9D-D7E322DD3A74}" name="個人／構成比" dataDxfId="303"/>
    <tableColumn id="14" xr3:uid="{8B1A73EC-B5DF-4400-B8A6-AD3E2ABC539A}" name="法人／事業所数" totalsRowFunction="sum" totalsRowDxfId="302" dataCellStyle="桁区切り" totalsRowCellStyle="桁区切り"/>
    <tableColumn id="15" xr3:uid="{8EAA3178-41AD-4AAD-A05A-6B448CF8CC98}" name="法人／構成比" dataDxfId="301"/>
    <tableColumn id="16" xr3:uid="{22AEB9AB-3A99-413C-AD57-7101D701F728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9E60F1F3-0400-47E2-B903-46F92D7B7A58}" name="M_TABLE_47315" displayName="M_TABLE_47315" ref="B23:I46" totalsRowShown="0">
  <autoFilter ref="B23:I46" xr:uid="{9E60F1F3-0400-47E2-B903-46F92D7B7A58}"/>
  <tableColumns count="8">
    <tableColumn id="9" xr3:uid="{82AC92B4-5165-4397-A2C7-203782D60051}" name="産業中分類上位２０"/>
    <tableColumn id="10" xr3:uid="{04B7DD15-41DF-4CA0-A94E-79CE1638102F}" name="総数／事業所数" dataCellStyle="桁区切り"/>
    <tableColumn id="11" xr3:uid="{54195C57-F675-47BA-994E-38DC0E379CBF}" name="総数／構成比" dataDxfId="299"/>
    <tableColumn id="12" xr3:uid="{2D1D98D8-2EFE-42D7-813D-7075EC3BA542}" name="個人／事業所数" dataCellStyle="桁区切り"/>
    <tableColumn id="13" xr3:uid="{D470AE77-A10A-4D30-9568-288734B5C697}" name="個人／構成比" dataDxfId="298"/>
    <tableColumn id="14" xr3:uid="{CE033101-6F7C-4DBE-9AF7-B85DEF14165A}" name="法人／事業所数" dataCellStyle="桁区切り"/>
    <tableColumn id="15" xr3:uid="{4ED40F83-4C5E-46F7-B251-B041BDA6C905}" name="法人／構成比" dataDxfId="297"/>
    <tableColumn id="16" xr3:uid="{731A08A2-52DF-424A-94A8-9C72A2F97D6B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115912F4-59CB-4084-A138-2894911975AD}" name="S_TABLE_47315" displayName="S_TABLE_47315" ref="B49:I72" totalsRowShown="0">
  <autoFilter ref="B49:I72" xr:uid="{115912F4-59CB-4084-A138-2894911975AD}"/>
  <tableColumns count="8">
    <tableColumn id="9" xr3:uid="{EC55B1B6-A4EB-405C-A07F-05FF17019EA3}" name="産業小分類上位２０"/>
    <tableColumn id="10" xr3:uid="{65EFC174-56CC-4FED-9069-6606DCFBDB77}" name="総数／事業所数" dataCellStyle="桁区切り"/>
    <tableColumn id="11" xr3:uid="{C55CAE95-7BA4-41A7-8096-13FD2002DD63}" name="総数／構成比" dataDxfId="296"/>
    <tableColumn id="12" xr3:uid="{81A63B83-4250-4186-AB12-F87A693BE5A6}" name="個人／事業所数" dataCellStyle="桁区切り"/>
    <tableColumn id="13" xr3:uid="{E0DEEAED-DC47-40AF-925B-77B68A10A643}" name="個人／構成比" dataDxfId="295"/>
    <tableColumn id="14" xr3:uid="{696D74BD-A5AF-4C5F-B30A-F69FB20E6BD0}" name="法人／事業所数" dataCellStyle="桁区切り"/>
    <tableColumn id="15" xr3:uid="{07962147-C215-40E3-88EC-0FB95DB80D0F}" name="法人／構成比" dataDxfId="294"/>
    <tableColumn id="16" xr3:uid="{BE919339-B96C-477A-84F6-35719375522C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BDFED123-1F97-4C7C-9A96-2886B64CE3F6}" name="LTBL_47324" displayName="LTBL_47324" ref="B4:I20" totalsRowCount="1">
  <autoFilter ref="B4:I19" xr:uid="{BDFED123-1F97-4C7C-9A96-2886B64CE3F6}"/>
  <tableColumns count="8">
    <tableColumn id="9" xr3:uid="{798A4C68-7D53-4F50-9EF8-E127E31C76B9}" name="産業大分類" totalsRowLabel="合計" totalsRowDxfId="293"/>
    <tableColumn id="10" xr3:uid="{9D1EA82D-AE3E-4F55-929B-AFDE0B6A8BC6}" name="総数／事業所数" totalsRowFunction="custom" totalsRowDxfId="292" dataCellStyle="桁区切り" totalsRowCellStyle="桁区切り">
      <totalsRowFormula>SUM(LTBL_47324[総数／事業所数])</totalsRowFormula>
    </tableColumn>
    <tableColumn id="11" xr3:uid="{0C7DE062-5786-4D7D-97FD-C1CF63D60304}" name="総数／構成比" dataDxfId="291"/>
    <tableColumn id="12" xr3:uid="{ED70E9DB-7795-438D-8D9E-D8067B3B79BB}" name="個人／事業所数" totalsRowFunction="sum" totalsRowDxfId="290" dataCellStyle="桁区切り" totalsRowCellStyle="桁区切り"/>
    <tableColumn id="13" xr3:uid="{AB6D05AB-9A71-472C-A879-1FEDD4889F89}" name="個人／構成比" dataDxfId="289"/>
    <tableColumn id="14" xr3:uid="{DE109BF7-39CB-4F53-BDE1-C0453001F067}" name="法人／事業所数" totalsRowFunction="sum" totalsRowDxfId="288" dataCellStyle="桁区切り" totalsRowCellStyle="桁区切り"/>
    <tableColumn id="15" xr3:uid="{0C1B2CDD-186B-40E1-8A54-A349C79C1A38}" name="法人／構成比" dataDxfId="287"/>
    <tableColumn id="16" xr3:uid="{A5DCAC6F-508C-4C74-A5C0-AA0DFD8ABC46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1870F8A7-4EE5-4F73-868E-0055DA09CC53}" name="M_TABLE_47324" displayName="M_TABLE_47324" ref="B23:I48" totalsRowShown="0">
  <autoFilter ref="B23:I48" xr:uid="{1870F8A7-4EE5-4F73-868E-0055DA09CC53}"/>
  <tableColumns count="8">
    <tableColumn id="9" xr3:uid="{C7ABC1BC-7654-48BB-81F1-F61044D7AA8B}" name="産業中分類上位２０"/>
    <tableColumn id="10" xr3:uid="{0950BF22-2D18-47CA-99E2-89BAB26569C2}" name="総数／事業所数" dataCellStyle="桁区切り"/>
    <tableColumn id="11" xr3:uid="{FA7C4247-DA33-4A66-B379-924EE12391C2}" name="総数／構成比" dataDxfId="285"/>
    <tableColumn id="12" xr3:uid="{BA969523-64E3-42D6-BB84-7AF2A268CA08}" name="個人／事業所数" dataCellStyle="桁区切り"/>
    <tableColumn id="13" xr3:uid="{487A5AC1-5853-4620-82DF-7A33FADC05FE}" name="個人／構成比" dataDxfId="284"/>
    <tableColumn id="14" xr3:uid="{49D30EB3-633F-444E-A4EE-02C10F4206A2}" name="法人／事業所数" dataCellStyle="桁区切り"/>
    <tableColumn id="15" xr3:uid="{D8E23714-89A8-4A80-BD2F-F4BE36EF4705}" name="法人／構成比" dataDxfId="283"/>
    <tableColumn id="16" xr3:uid="{698B1D9A-FBF7-4E8D-AC2E-BBCC84B4B577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8F8DB28F-B860-4E3F-ABC3-AD8507616C84}" name="S_TABLE_47324" displayName="S_TABLE_47324" ref="B51:I72" totalsRowShown="0">
  <autoFilter ref="B51:I72" xr:uid="{8F8DB28F-B860-4E3F-ABC3-AD8507616C84}"/>
  <tableColumns count="8">
    <tableColumn id="9" xr3:uid="{A018E8A2-9E96-439E-B941-0D7AD3824EC2}" name="産業小分類上位２０"/>
    <tableColumn id="10" xr3:uid="{19D6D9A4-2EB9-4068-8A4D-82F63E955797}" name="総数／事業所数" dataCellStyle="桁区切り"/>
    <tableColumn id="11" xr3:uid="{A45A0434-C879-4CFC-9B23-69784D519842}" name="総数／構成比" dataDxfId="282"/>
    <tableColumn id="12" xr3:uid="{9A528FFE-B680-41C3-980D-CA9C5E532DC8}" name="個人／事業所数" dataCellStyle="桁区切り"/>
    <tableColumn id="13" xr3:uid="{DE705733-2ACC-4077-87D1-D41B2E21EB58}" name="個人／構成比" dataDxfId="281"/>
    <tableColumn id="14" xr3:uid="{F33DC275-F2F8-461B-B8E7-29099D170B05}" name="法人／事業所数" dataCellStyle="桁区切り"/>
    <tableColumn id="15" xr3:uid="{8F18AECC-CBA3-4F92-A84E-C1AAB3B9F760}" name="法人／構成比" dataDxfId="280"/>
    <tableColumn id="16" xr3:uid="{73A59754-13C8-4AFC-9150-DF29333A5386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27D2315B-5C48-4E13-87E3-35FC5E0AB5E6}" name="LTBL_47325" displayName="LTBL_47325" ref="B4:I20" totalsRowCount="1">
  <autoFilter ref="B4:I19" xr:uid="{27D2315B-5C48-4E13-87E3-35FC5E0AB5E6}"/>
  <tableColumns count="8">
    <tableColumn id="9" xr3:uid="{502132E3-DB67-4F4E-AC4E-CA901AA2B788}" name="産業大分類" totalsRowLabel="合計" totalsRowDxfId="279"/>
    <tableColumn id="10" xr3:uid="{540CE225-AA2F-48CA-9AEB-F4CC6C3A3B79}" name="総数／事業所数" totalsRowFunction="custom" totalsRowDxfId="278" dataCellStyle="桁区切り" totalsRowCellStyle="桁区切り">
      <totalsRowFormula>SUM(LTBL_47325[総数／事業所数])</totalsRowFormula>
    </tableColumn>
    <tableColumn id="11" xr3:uid="{6230DDFD-6D03-4421-A1FE-10D1C18004F6}" name="総数／構成比" dataDxfId="277"/>
    <tableColumn id="12" xr3:uid="{12863295-1078-4F75-A024-B6BB0E58B433}" name="個人／事業所数" totalsRowFunction="sum" totalsRowDxfId="276" dataCellStyle="桁区切り" totalsRowCellStyle="桁区切り"/>
    <tableColumn id="13" xr3:uid="{7A44EC6C-0FFC-41A2-BA0D-2E40AA901257}" name="個人／構成比" dataDxfId="275"/>
    <tableColumn id="14" xr3:uid="{8E51D3AB-3711-4616-AD13-E90E0A0EF276}" name="法人／事業所数" totalsRowFunction="sum" totalsRowDxfId="274" dataCellStyle="桁区切り" totalsRowCellStyle="桁区切り"/>
    <tableColumn id="15" xr3:uid="{C1BB7E02-3084-4DAE-93CA-6F47959D0A58}" name="法人／構成比" dataDxfId="273"/>
    <tableColumn id="16" xr3:uid="{EF79DDD6-303F-4B9C-B035-DFC491629607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F32C7E84-3E0F-4846-88DD-B26E14F9FBA6}" name="M_TABLE_47325" displayName="M_TABLE_47325" ref="B23:I43" totalsRowShown="0">
  <autoFilter ref="B23:I43" xr:uid="{F32C7E84-3E0F-4846-88DD-B26E14F9FBA6}"/>
  <tableColumns count="8">
    <tableColumn id="9" xr3:uid="{DCD3AB49-63BB-4AC6-B834-C999232B5D6E}" name="産業中分類上位２０"/>
    <tableColumn id="10" xr3:uid="{E0E9AC69-8F0A-436F-AC61-B9493553F95C}" name="総数／事業所数" dataCellStyle="桁区切り"/>
    <tableColumn id="11" xr3:uid="{F4BF1148-EFA2-4EB1-9115-89F10379A80A}" name="総数／構成比" dataDxfId="271"/>
    <tableColumn id="12" xr3:uid="{002D8913-4744-4F61-8411-72E457ECA3DC}" name="個人／事業所数" dataCellStyle="桁区切り"/>
    <tableColumn id="13" xr3:uid="{6DBDD63E-772E-4489-AB13-012A4959FB19}" name="個人／構成比" dataDxfId="270"/>
    <tableColumn id="14" xr3:uid="{3B58D8B7-F96C-470F-8B40-8E9F8794F91E}" name="法人／事業所数" dataCellStyle="桁区切り"/>
    <tableColumn id="15" xr3:uid="{39FCAE58-8285-4051-9F52-9023056A124B}" name="法人／構成比" dataDxfId="269"/>
    <tableColumn id="16" xr3:uid="{926668B3-5221-4F09-8168-34A96FDB220F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74ADAB8D-2B43-42B0-860E-0C59E4025433}" name="S_TABLE_47325" displayName="S_TABLE_47325" ref="B46:I66" totalsRowShown="0">
  <autoFilter ref="B46:I66" xr:uid="{74ADAB8D-2B43-42B0-860E-0C59E4025433}"/>
  <tableColumns count="8">
    <tableColumn id="9" xr3:uid="{1FC4A45E-C33C-44F0-A8D2-3209D3150E06}" name="産業小分類上位２０"/>
    <tableColumn id="10" xr3:uid="{0A5D394D-9CFE-4BCA-87D7-2336B1D5254D}" name="総数／事業所数" dataCellStyle="桁区切り"/>
    <tableColumn id="11" xr3:uid="{475116B9-7F37-4FB7-A969-B67D078E66BD}" name="総数／構成比" dataDxfId="268"/>
    <tableColumn id="12" xr3:uid="{16B6389E-D83F-419A-BE07-130448E4ADE3}" name="個人／事業所数" dataCellStyle="桁区切り"/>
    <tableColumn id="13" xr3:uid="{61CA4DAF-F47B-46C1-9E52-B993C1707E5A}" name="個人／構成比" dataDxfId="267"/>
    <tableColumn id="14" xr3:uid="{20878020-115B-43A3-8C7A-C98EDBFAA4C0}" name="法人／事業所数" dataCellStyle="桁区切り"/>
    <tableColumn id="15" xr3:uid="{27D2F303-6F43-42EF-80E0-E643F5F5502C}" name="法人／構成比" dataDxfId="266"/>
    <tableColumn id="16" xr3:uid="{DCF1AE7E-F0C1-4E7D-AD7D-0D469581A91C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2B9DA56-6FE4-44B4-BE67-9A19B1703EDF}" name="LTBL_47205" displayName="LTBL_47205" ref="B4:I20" totalsRowCount="1">
  <autoFilter ref="B4:I19" xr:uid="{62B9DA56-6FE4-44B4-BE67-9A19B1703EDF}"/>
  <tableColumns count="8">
    <tableColumn id="9" xr3:uid="{10620465-00C4-4D2A-BBF7-E417003E76CD}" name="産業大分類" totalsRowLabel="合計" totalsRowDxfId="559"/>
    <tableColumn id="10" xr3:uid="{90C2E890-26AB-4C2C-A36A-EBE5283B5A1B}" name="総数／事業所数" totalsRowFunction="custom" totalsRowDxfId="558" dataCellStyle="桁区切り" totalsRowCellStyle="桁区切り">
      <totalsRowFormula>SUM(LTBL_47205[総数／事業所数])</totalsRowFormula>
    </tableColumn>
    <tableColumn id="11" xr3:uid="{2B3E2676-6775-410A-B7B9-211D3131A038}" name="総数／構成比" dataDxfId="557"/>
    <tableColumn id="12" xr3:uid="{A52C80B1-16E7-4C84-9337-5678936D660A}" name="個人／事業所数" totalsRowFunction="sum" totalsRowDxfId="556" dataCellStyle="桁区切り" totalsRowCellStyle="桁区切り"/>
    <tableColumn id="13" xr3:uid="{5D14E91B-2B46-4699-A74A-A0980149B293}" name="個人／構成比" dataDxfId="555"/>
    <tableColumn id="14" xr3:uid="{C1255704-EAD6-4C74-BF3C-E9112084FCFE}" name="法人／事業所数" totalsRowFunction="sum" totalsRowDxfId="554" dataCellStyle="桁区切り" totalsRowCellStyle="桁区切り"/>
    <tableColumn id="15" xr3:uid="{50B231A7-3B47-475E-950A-7F1831269DDB}" name="法人／構成比" dataDxfId="553"/>
    <tableColumn id="16" xr3:uid="{C152AB74-B5FA-4024-AF7F-AAE529D0E824}" name="法人以外の団体／事業所数" totalsRowFunction="sum" totalsRowDxfId="552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96710E0B-FA33-4A08-A1AF-D1FBAD92B6C7}" name="LTBL_47326" displayName="LTBL_47326" ref="B4:I20" totalsRowCount="1">
  <autoFilter ref="B4:I19" xr:uid="{96710E0B-FA33-4A08-A1AF-D1FBAD92B6C7}"/>
  <tableColumns count="8">
    <tableColumn id="9" xr3:uid="{0B4229C2-46F5-45FC-B082-0139B328A222}" name="産業大分類" totalsRowLabel="合計" totalsRowDxfId="265"/>
    <tableColumn id="10" xr3:uid="{713D56E1-264C-4859-8466-693C5957641A}" name="総数／事業所数" totalsRowFunction="custom" totalsRowDxfId="264" dataCellStyle="桁区切り" totalsRowCellStyle="桁区切り">
      <totalsRowFormula>SUM(LTBL_47326[総数／事業所数])</totalsRowFormula>
    </tableColumn>
    <tableColumn id="11" xr3:uid="{6C371443-A0AB-4775-A154-80B5A57C32EE}" name="総数／構成比" dataDxfId="263"/>
    <tableColumn id="12" xr3:uid="{EBBEC99B-8A63-4B82-9876-CF5A56DBA344}" name="個人／事業所数" totalsRowFunction="sum" totalsRowDxfId="262" dataCellStyle="桁区切り" totalsRowCellStyle="桁区切り"/>
    <tableColumn id="13" xr3:uid="{00A20B7E-8C43-4901-BBA5-F163A2A58FBE}" name="個人／構成比" dataDxfId="261"/>
    <tableColumn id="14" xr3:uid="{E87501DB-F2F5-4B68-9929-876040BB8944}" name="法人／事業所数" totalsRowFunction="sum" totalsRowDxfId="260" dataCellStyle="桁区切り" totalsRowCellStyle="桁区切り"/>
    <tableColumn id="15" xr3:uid="{F0DF9C25-6348-4701-8735-905D7A1D4FD8}" name="法人／構成比" dataDxfId="259"/>
    <tableColumn id="16" xr3:uid="{63E54EE0-2B87-4929-B0C7-4BAB4DCDEC6B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43A67DF-A505-4C71-BC6C-95325C967F3C}" name="M_TABLE_47326" displayName="M_TABLE_47326" ref="B23:I44" totalsRowShown="0">
  <autoFilter ref="B23:I44" xr:uid="{043A67DF-A505-4C71-BC6C-95325C967F3C}"/>
  <tableColumns count="8">
    <tableColumn id="9" xr3:uid="{66B97811-98DC-444B-818C-B65785B524C2}" name="産業中分類上位２０"/>
    <tableColumn id="10" xr3:uid="{8EA7E6C6-B328-448F-AC18-5E5C4AF127EA}" name="総数／事業所数" dataCellStyle="桁区切り"/>
    <tableColumn id="11" xr3:uid="{2E75656B-0F17-493C-8F32-458770CCE79B}" name="総数／構成比" dataDxfId="257"/>
    <tableColumn id="12" xr3:uid="{69BC7FC9-0F1F-478D-A4F9-9BB3D50AA8A8}" name="個人／事業所数" dataCellStyle="桁区切り"/>
    <tableColumn id="13" xr3:uid="{41CF518A-0D91-43F8-8E02-749772E3FA1C}" name="個人／構成比" dataDxfId="256"/>
    <tableColumn id="14" xr3:uid="{35BE193F-75F3-4E93-A4ED-B32A1803DDAB}" name="法人／事業所数" dataCellStyle="桁区切り"/>
    <tableColumn id="15" xr3:uid="{17262A6A-A2E2-4786-A20E-38BFA8F755E1}" name="法人／構成比" dataDxfId="255"/>
    <tableColumn id="16" xr3:uid="{186695A5-FBC5-4A50-8CA6-C0F32B7FA1B0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2D42D7F8-2613-4C0B-8019-599610037938}" name="S_TABLE_47326" displayName="S_TABLE_47326" ref="B47:I71" totalsRowShown="0">
  <autoFilter ref="B47:I71" xr:uid="{2D42D7F8-2613-4C0B-8019-599610037938}"/>
  <tableColumns count="8">
    <tableColumn id="9" xr3:uid="{55E98419-C861-4513-8D87-822605631792}" name="産業小分類上位２０"/>
    <tableColumn id="10" xr3:uid="{86A4C638-DF76-4B6D-AD59-0C462FC6FC17}" name="総数／事業所数" dataCellStyle="桁区切り"/>
    <tableColumn id="11" xr3:uid="{2B548166-6348-4C82-8AA8-74559A7C78FC}" name="総数／構成比" dataDxfId="254"/>
    <tableColumn id="12" xr3:uid="{8314290F-E2CA-4C5E-AEDB-DB388646771B}" name="個人／事業所数" dataCellStyle="桁区切り"/>
    <tableColumn id="13" xr3:uid="{0F2190F1-2A79-4DF7-B76B-9C4A1BBA611B}" name="個人／構成比" dataDxfId="253"/>
    <tableColumn id="14" xr3:uid="{3698C6FB-CBE3-465F-B7CE-EB9C27B77D84}" name="法人／事業所数" dataCellStyle="桁区切り"/>
    <tableColumn id="15" xr3:uid="{79FA826A-0174-4171-AEE0-9B32694BDE9A}" name="法人／構成比" dataDxfId="252"/>
    <tableColumn id="16" xr3:uid="{FBB97AA3-C3D6-483F-9F46-3705916C369F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1B95C6DD-D03F-4DED-857A-8189593DD2BA}" name="LTBL_47327" displayName="LTBL_47327" ref="B4:I20" totalsRowCount="1">
  <autoFilter ref="B4:I19" xr:uid="{1B95C6DD-D03F-4DED-857A-8189593DD2BA}"/>
  <tableColumns count="8">
    <tableColumn id="9" xr3:uid="{9572FF8F-9A88-4F78-B194-E43B99EDE9F5}" name="産業大分類" totalsRowLabel="合計" totalsRowDxfId="251"/>
    <tableColumn id="10" xr3:uid="{B1028B53-F922-423C-A1DA-BCE79EDFE1B8}" name="総数／事業所数" totalsRowFunction="custom" totalsRowDxfId="250" dataCellStyle="桁区切り" totalsRowCellStyle="桁区切り">
      <totalsRowFormula>SUM(LTBL_47327[総数／事業所数])</totalsRowFormula>
    </tableColumn>
    <tableColumn id="11" xr3:uid="{237AF31D-7411-48A9-B3C3-E74B610F2593}" name="総数／構成比" dataDxfId="249"/>
    <tableColumn id="12" xr3:uid="{077025F4-8526-4740-BF6F-BF00B9F8089F}" name="個人／事業所数" totalsRowFunction="sum" totalsRowDxfId="248" dataCellStyle="桁区切り" totalsRowCellStyle="桁区切り"/>
    <tableColumn id="13" xr3:uid="{741E4960-0923-4029-97A7-91879E512D1C}" name="個人／構成比" dataDxfId="247"/>
    <tableColumn id="14" xr3:uid="{772A34AD-3B95-45E1-AF6E-6CC9868220CA}" name="法人／事業所数" totalsRowFunction="sum" totalsRowDxfId="246" dataCellStyle="桁区切り" totalsRowCellStyle="桁区切り"/>
    <tableColumn id="15" xr3:uid="{F7849E05-658C-4BCB-9737-931655E36324}" name="法人／構成比" dataDxfId="245"/>
    <tableColumn id="16" xr3:uid="{DB54E4A2-7F79-4BB3-8C43-C50CE982833B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ABB50216-939B-4DD5-907C-8376A6A962CC}" name="M_TABLE_47327" displayName="M_TABLE_47327" ref="B23:I44" totalsRowShown="0">
  <autoFilter ref="B23:I44" xr:uid="{ABB50216-939B-4DD5-907C-8376A6A962CC}"/>
  <tableColumns count="8">
    <tableColumn id="9" xr3:uid="{2739F220-8649-4D86-BEF4-16152F58DF82}" name="産業中分類上位２０"/>
    <tableColumn id="10" xr3:uid="{3E592379-0322-4D42-8B23-2350F53B7968}" name="総数／事業所数" dataCellStyle="桁区切り"/>
    <tableColumn id="11" xr3:uid="{4AF8CB3C-CC0D-4FB5-B6B5-984B9A6ECE86}" name="総数／構成比" dataDxfId="243"/>
    <tableColumn id="12" xr3:uid="{BB30A46F-6495-48B8-95FA-43AC3349434F}" name="個人／事業所数" dataCellStyle="桁区切り"/>
    <tableColumn id="13" xr3:uid="{9A05FE07-9AC9-496B-BCB1-CDE65D5F9D89}" name="個人／構成比" dataDxfId="242"/>
    <tableColumn id="14" xr3:uid="{173E57B2-FB91-4620-BEAC-5DD99F4F49AC}" name="法人／事業所数" dataCellStyle="桁区切り"/>
    <tableColumn id="15" xr3:uid="{645DADAA-900D-4061-8FB7-15B01AE80DEC}" name="法人／構成比" dataDxfId="241"/>
    <tableColumn id="16" xr3:uid="{8A62B3D6-0F6D-4306-95F3-D00AE68759D8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FE53A8D4-0742-4E02-AF53-2693C1C7EB64}" name="S_TABLE_47327" displayName="S_TABLE_47327" ref="B47:I70" totalsRowShown="0">
  <autoFilter ref="B47:I70" xr:uid="{FE53A8D4-0742-4E02-AF53-2693C1C7EB64}"/>
  <tableColumns count="8">
    <tableColumn id="9" xr3:uid="{ADE3CDC4-B01E-4BBB-B96A-6918A737AC82}" name="産業小分類上位２０"/>
    <tableColumn id="10" xr3:uid="{71393E4B-D18E-4BDB-B4FC-5FACE6168099}" name="総数／事業所数" dataCellStyle="桁区切り"/>
    <tableColumn id="11" xr3:uid="{FD5A512C-2CC4-40CA-AF3B-9E2523A3AB94}" name="総数／構成比" dataDxfId="240"/>
    <tableColumn id="12" xr3:uid="{607C8D32-0EDD-429D-8001-2E61D9BF61E6}" name="個人／事業所数" dataCellStyle="桁区切り"/>
    <tableColumn id="13" xr3:uid="{3AEFFFD6-C2D6-4FF9-B7EE-4308D0DAD421}" name="個人／構成比" dataDxfId="239"/>
    <tableColumn id="14" xr3:uid="{5AFB77B0-0B7F-4AF2-A6EC-1E38208F5296}" name="法人／事業所数" dataCellStyle="桁区切り"/>
    <tableColumn id="15" xr3:uid="{F5A26B86-85B2-4F30-9C2C-F77F3C7334EC}" name="法人／構成比" dataDxfId="238"/>
    <tableColumn id="16" xr3:uid="{F7593ABF-2D86-49C0-8B0E-9D0CC3639F52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56CE8D75-9D0E-4837-ACB1-09B02AB96716}" name="LTBL_47328" displayName="LTBL_47328" ref="B4:I20" totalsRowCount="1">
  <autoFilter ref="B4:I19" xr:uid="{56CE8D75-9D0E-4837-ACB1-09B02AB96716}"/>
  <tableColumns count="8">
    <tableColumn id="9" xr3:uid="{91804153-780A-4E68-9ED4-232C333002B2}" name="産業大分類" totalsRowLabel="合計" totalsRowDxfId="237"/>
    <tableColumn id="10" xr3:uid="{1168C865-4FD3-4BF7-9B70-CC3A3ED93E4D}" name="総数／事業所数" totalsRowFunction="custom" totalsRowDxfId="236" dataCellStyle="桁区切り" totalsRowCellStyle="桁区切り">
      <totalsRowFormula>SUM(LTBL_47328[総数／事業所数])</totalsRowFormula>
    </tableColumn>
    <tableColumn id="11" xr3:uid="{9D3F356B-AD7A-41D7-8280-C656C75B6A3F}" name="総数／構成比" dataDxfId="235"/>
    <tableColumn id="12" xr3:uid="{FCAACACB-A72D-4538-BD6C-0F21D2E6E6BF}" name="個人／事業所数" totalsRowFunction="sum" totalsRowDxfId="234" dataCellStyle="桁区切り" totalsRowCellStyle="桁区切り"/>
    <tableColumn id="13" xr3:uid="{CC092FCB-30A4-4F99-B846-210F63EAA9C6}" name="個人／構成比" dataDxfId="233"/>
    <tableColumn id="14" xr3:uid="{69323F03-1EBD-4F86-A558-76F856B585C2}" name="法人／事業所数" totalsRowFunction="sum" totalsRowDxfId="232" dataCellStyle="桁区切り" totalsRowCellStyle="桁区切り"/>
    <tableColumn id="15" xr3:uid="{B3993896-F9BC-4DA1-A4CA-BE08BC1FA3D5}" name="法人／構成比" dataDxfId="231"/>
    <tableColumn id="16" xr3:uid="{05EE1555-B007-40AB-A72C-C7C0846530B3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512A84F4-44D6-45DC-8FDC-D2E2D3D5D554}" name="M_TABLE_47328" displayName="M_TABLE_47328" ref="B23:I43" totalsRowShown="0">
  <autoFilter ref="B23:I43" xr:uid="{512A84F4-44D6-45DC-8FDC-D2E2D3D5D554}"/>
  <tableColumns count="8">
    <tableColumn id="9" xr3:uid="{F87F9D83-36D4-469F-BBF8-69C7B375B8E2}" name="産業中分類上位２０"/>
    <tableColumn id="10" xr3:uid="{4694D6C8-9211-4C3B-9C58-57E0BF6A347E}" name="総数／事業所数" dataCellStyle="桁区切り"/>
    <tableColumn id="11" xr3:uid="{13E5B56A-82C6-4F3B-892D-3850D30CB77F}" name="総数／構成比" dataDxfId="229"/>
    <tableColumn id="12" xr3:uid="{164580BD-0A1B-4EE3-8A27-C8AFDA983E22}" name="個人／事業所数" dataCellStyle="桁区切り"/>
    <tableColumn id="13" xr3:uid="{3FC82981-EAC3-4FB8-A75D-64553BA0985F}" name="個人／構成比" dataDxfId="228"/>
    <tableColumn id="14" xr3:uid="{58A60DC9-DCF6-4ADC-95E2-83195B92BDAA}" name="法人／事業所数" dataCellStyle="桁区切り"/>
    <tableColumn id="15" xr3:uid="{571844D0-B09E-48CB-9547-264E3375647A}" name="法人／構成比" dataDxfId="227"/>
    <tableColumn id="16" xr3:uid="{20F86516-7CE2-43C7-81C8-1630E1ED3225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767CE1BB-1F3E-4286-85E4-F1A7142C4ADB}" name="S_TABLE_47328" displayName="S_TABLE_47328" ref="B46:I66" totalsRowShown="0">
  <autoFilter ref="B46:I66" xr:uid="{767CE1BB-1F3E-4286-85E4-F1A7142C4ADB}"/>
  <tableColumns count="8">
    <tableColumn id="9" xr3:uid="{E580BCFF-E0BF-4798-9237-03298BCF3073}" name="産業小分類上位２０"/>
    <tableColumn id="10" xr3:uid="{605C06E9-08C5-49E8-B099-1BB42AE20CB8}" name="総数／事業所数" dataCellStyle="桁区切り"/>
    <tableColumn id="11" xr3:uid="{98DD13CB-D314-4DB0-8D02-588C1A468931}" name="総数／構成比" dataDxfId="226"/>
    <tableColumn id="12" xr3:uid="{C310E54B-2CAB-4899-BB21-8496B29E7032}" name="個人／事業所数" dataCellStyle="桁区切り"/>
    <tableColumn id="13" xr3:uid="{A4321B24-7166-4371-ABE7-015EEC9E129A}" name="個人／構成比" dataDxfId="225"/>
    <tableColumn id="14" xr3:uid="{81E477FA-9051-4FEF-B8FB-9F2808145D92}" name="法人／事業所数" dataCellStyle="桁区切り"/>
    <tableColumn id="15" xr3:uid="{AC6A3A88-84C4-4A70-BA0F-E6B772256C5C}" name="法人／構成比" dataDxfId="224"/>
    <tableColumn id="16" xr3:uid="{BD2CFAA9-3EAD-4A81-9171-1F5D9E913C77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3E59DF82-1A2C-4F70-BAB9-7678E1BE9D64}" name="LTBL_47329" displayName="LTBL_47329" ref="B4:I20" totalsRowCount="1">
  <autoFilter ref="B4:I19" xr:uid="{3E59DF82-1A2C-4F70-BAB9-7678E1BE9D64}"/>
  <tableColumns count="8">
    <tableColumn id="9" xr3:uid="{CBC186B9-A272-41E5-8B67-C5DEE1CFE9C4}" name="産業大分類" totalsRowLabel="合計" totalsRowDxfId="223"/>
    <tableColumn id="10" xr3:uid="{C6128B4A-879D-4B1C-BA55-B780114CC5D5}" name="総数／事業所数" totalsRowFunction="custom" totalsRowDxfId="222" dataCellStyle="桁区切り" totalsRowCellStyle="桁区切り">
      <totalsRowFormula>SUM(LTBL_47329[総数／事業所数])</totalsRowFormula>
    </tableColumn>
    <tableColumn id="11" xr3:uid="{8E9CB381-B253-43C5-9BE9-0163492C9C1B}" name="総数／構成比" dataDxfId="221"/>
    <tableColumn id="12" xr3:uid="{A22B9614-8AAC-4E1A-990F-963FA42FBE5F}" name="個人／事業所数" totalsRowFunction="sum" totalsRowDxfId="220" dataCellStyle="桁区切り" totalsRowCellStyle="桁区切り"/>
    <tableColumn id="13" xr3:uid="{D6DF32BE-C973-4836-8E70-78A508B6E8D0}" name="個人／構成比" dataDxfId="219"/>
    <tableColumn id="14" xr3:uid="{52D5ADB2-7E87-4F67-936D-18CF9C7CE067}" name="法人／事業所数" totalsRowFunction="sum" totalsRowDxfId="218" dataCellStyle="桁区切り" totalsRowCellStyle="桁区切り"/>
    <tableColumn id="15" xr3:uid="{B0566D90-69B0-4A49-9B59-AC2F88CC7CF3}" name="法人／構成比" dataDxfId="217"/>
    <tableColumn id="16" xr3:uid="{BF13B286-D8CA-4DFE-8ED8-9A70C71B93C0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13D07AA-2DE8-4291-A60E-233FF33EF2CC}" name="M_TABLE_47205" displayName="M_TABLE_47205" ref="B23:I43" totalsRowShown="0">
  <autoFilter ref="B23:I43" xr:uid="{813D07AA-2DE8-4291-A60E-233FF33EF2CC}"/>
  <tableColumns count="8">
    <tableColumn id="9" xr3:uid="{761FA9DA-BA65-4093-BC80-89DD79F7A50D}" name="産業中分類上位２０"/>
    <tableColumn id="10" xr3:uid="{0DC1832A-20D0-430F-83C3-D918A33ECFDE}" name="総数／事業所数" dataCellStyle="桁区切り"/>
    <tableColumn id="11" xr3:uid="{1F3BC2E3-BF1A-462B-B5E2-7FFDDAD90498}" name="総数／構成比" dataDxfId="551"/>
    <tableColumn id="12" xr3:uid="{47C795EC-EF17-4807-9AE6-3699F0390A99}" name="個人／事業所数" dataCellStyle="桁区切り"/>
    <tableColumn id="13" xr3:uid="{C6951A3B-2D72-40E3-9D61-D9EE97AED8AA}" name="個人／構成比" dataDxfId="550"/>
    <tableColumn id="14" xr3:uid="{B73FC5C7-CB4F-46F9-992E-8FE4768A36B8}" name="法人／事業所数" dataCellStyle="桁区切り"/>
    <tableColumn id="15" xr3:uid="{7FEB7775-2E3A-4A1C-919F-9225DE936E1B}" name="法人／構成比" dataDxfId="549"/>
    <tableColumn id="16" xr3:uid="{B9FE26FC-6188-4D6B-8886-5D7750816DBA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602493E9-BE90-4B19-8AE4-9DBD6890E0E6}" name="M_TABLE_47329" displayName="M_TABLE_47329" ref="B23:I43" totalsRowShown="0">
  <autoFilter ref="B23:I43" xr:uid="{602493E9-BE90-4B19-8AE4-9DBD6890E0E6}"/>
  <tableColumns count="8">
    <tableColumn id="9" xr3:uid="{63997279-73BD-4A61-A7FC-461857CFD027}" name="産業中分類上位２０"/>
    <tableColumn id="10" xr3:uid="{35F47114-2970-46B1-B2AE-CDDC820823FD}" name="総数／事業所数" dataCellStyle="桁区切り"/>
    <tableColumn id="11" xr3:uid="{401B930F-FF36-499F-A48F-21E25AFFC7CC}" name="総数／構成比" dataDxfId="215"/>
    <tableColumn id="12" xr3:uid="{0552DC4D-9C13-4C2E-A871-0F03B6542772}" name="個人／事業所数" dataCellStyle="桁区切り"/>
    <tableColumn id="13" xr3:uid="{3A685B37-0831-45F9-93B1-8C0D76B28C3B}" name="個人／構成比" dataDxfId="214"/>
    <tableColumn id="14" xr3:uid="{9E644B11-1EC9-48EE-88F4-8C330EE5D439}" name="法人／事業所数" dataCellStyle="桁区切り"/>
    <tableColumn id="15" xr3:uid="{E7927E33-499E-4922-98C2-D85761032B86}" name="法人／構成比" dataDxfId="213"/>
    <tableColumn id="16" xr3:uid="{8602D5A1-0B65-41DA-BF96-4BEF02A42831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9108AB87-42E1-4DD6-802C-170845C3B675}" name="S_TABLE_47329" displayName="S_TABLE_47329" ref="B46:I67" totalsRowShown="0">
  <autoFilter ref="B46:I67" xr:uid="{9108AB87-42E1-4DD6-802C-170845C3B675}"/>
  <tableColumns count="8">
    <tableColumn id="9" xr3:uid="{F5FCE87E-FF15-440C-80BF-9D9C3F2BDA0B}" name="産業小分類上位２０"/>
    <tableColumn id="10" xr3:uid="{99C9E102-90BB-409A-9BDA-FCC18C6716DE}" name="総数／事業所数" dataCellStyle="桁区切り"/>
    <tableColumn id="11" xr3:uid="{CAFE8BA8-948C-470C-9B24-105B960C9E5C}" name="総数／構成比" dataDxfId="212"/>
    <tableColumn id="12" xr3:uid="{96367462-0EC5-48CB-B4B2-D1FA74FAEB13}" name="個人／事業所数" dataCellStyle="桁区切り"/>
    <tableColumn id="13" xr3:uid="{893AD927-BBD9-426F-BD73-6C88F24C13F8}" name="個人／構成比" dataDxfId="211"/>
    <tableColumn id="14" xr3:uid="{DB78B04A-DB20-48F6-A72F-C1DF3BA4A0F2}" name="法人／事業所数" dataCellStyle="桁区切り"/>
    <tableColumn id="15" xr3:uid="{A6AB3EC2-E4E5-4C49-984F-9891DEF89F05}" name="法人／構成比" dataDxfId="210"/>
    <tableColumn id="16" xr3:uid="{1F511851-E630-4A15-B4EE-8DBF7D160718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1FD0F9B6-7712-4DCE-A7DD-D91705DE1302}" name="LTBL_47348" displayName="LTBL_47348" ref="B4:I20" totalsRowCount="1">
  <autoFilter ref="B4:I19" xr:uid="{1FD0F9B6-7712-4DCE-A7DD-D91705DE1302}"/>
  <tableColumns count="8">
    <tableColumn id="9" xr3:uid="{2D833F02-AD4A-4A03-A441-7E1789CAFE20}" name="産業大分類" totalsRowLabel="合計" totalsRowDxfId="209"/>
    <tableColumn id="10" xr3:uid="{3C76B11D-4910-48F6-ACCC-F21F67CCDA67}" name="総数／事業所数" totalsRowFunction="custom" totalsRowDxfId="208" dataCellStyle="桁区切り" totalsRowCellStyle="桁区切り">
      <totalsRowFormula>SUM(LTBL_47348[総数／事業所数])</totalsRowFormula>
    </tableColumn>
    <tableColumn id="11" xr3:uid="{0BA997A4-CF54-472A-BCC6-0882BBE528AF}" name="総数／構成比" dataDxfId="207"/>
    <tableColumn id="12" xr3:uid="{25F14EE9-34F6-4CB0-B056-42C92E1F55A1}" name="個人／事業所数" totalsRowFunction="sum" totalsRowDxfId="206" dataCellStyle="桁区切り" totalsRowCellStyle="桁区切り"/>
    <tableColumn id="13" xr3:uid="{2B093FD0-8971-4DA3-AB9D-DD9FACA5DE98}" name="個人／構成比" dataDxfId="205"/>
    <tableColumn id="14" xr3:uid="{F981853E-C22E-48DA-B8FE-585B923C3B6C}" name="法人／事業所数" totalsRowFunction="sum" totalsRowDxfId="204" dataCellStyle="桁区切り" totalsRowCellStyle="桁区切り"/>
    <tableColumn id="15" xr3:uid="{FACF5829-ABF5-4820-BA31-35BF8F13571E}" name="法人／構成比" dataDxfId="203"/>
    <tableColumn id="16" xr3:uid="{BA9D5E4A-FDB7-4B71-9BF2-E8A2F9104265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6A6D1209-2E49-4E55-957E-A69E3099D015}" name="M_TABLE_47348" displayName="M_TABLE_47348" ref="B23:I43" totalsRowShown="0">
  <autoFilter ref="B23:I43" xr:uid="{6A6D1209-2E49-4E55-957E-A69E3099D015}"/>
  <tableColumns count="8">
    <tableColumn id="9" xr3:uid="{783909DB-7733-4F9C-A72E-DEFD6EDA7C60}" name="産業中分類上位２０"/>
    <tableColumn id="10" xr3:uid="{642B8EB6-1D20-4F6A-9571-F07B8CD71C21}" name="総数／事業所数" dataCellStyle="桁区切り"/>
    <tableColumn id="11" xr3:uid="{54716F40-ADCB-4561-854A-ED319C4D51E8}" name="総数／構成比" dataDxfId="201"/>
    <tableColumn id="12" xr3:uid="{1BE9A028-1315-4562-97D4-7C6A00F979DD}" name="個人／事業所数" dataCellStyle="桁区切り"/>
    <tableColumn id="13" xr3:uid="{C80A29C7-49AD-4BC4-88E6-88BE066DB224}" name="個人／構成比" dataDxfId="200"/>
    <tableColumn id="14" xr3:uid="{3D979139-71C5-4EAD-AB0E-968F7A6B949C}" name="法人／事業所数" dataCellStyle="桁区切り"/>
    <tableColumn id="15" xr3:uid="{7B1C8BA6-FE42-45FB-A15B-D256F2A0BF8C}" name="法人／構成比" dataDxfId="199"/>
    <tableColumn id="16" xr3:uid="{BBAAEE7C-3F0B-4E42-9109-A23EC80F7D83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C0F1637C-669D-44E6-B779-994A8CE9BB1E}" name="S_TABLE_47348" displayName="S_TABLE_47348" ref="B46:I68" totalsRowShown="0">
  <autoFilter ref="B46:I68" xr:uid="{C0F1637C-669D-44E6-B779-994A8CE9BB1E}"/>
  <tableColumns count="8">
    <tableColumn id="9" xr3:uid="{438D67A0-51B4-41AA-8DE0-A6A794F7ACF2}" name="産業小分類上位２０"/>
    <tableColumn id="10" xr3:uid="{9E06B78E-A81C-4350-9E61-9898C1AB0A18}" name="総数／事業所数" dataCellStyle="桁区切り"/>
    <tableColumn id="11" xr3:uid="{3B9F8BCE-A8A6-4BA7-A0FD-7150FE526E61}" name="総数／構成比" dataDxfId="198"/>
    <tableColumn id="12" xr3:uid="{DD6F4B95-9C69-424D-8B9B-87313EADA860}" name="個人／事業所数" dataCellStyle="桁区切り"/>
    <tableColumn id="13" xr3:uid="{844388E2-1290-44FC-843A-93CA9375B1B5}" name="個人／構成比" dataDxfId="197"/>
    <tableColumn id="14" xr3:uid="{D1A6F813-A4D9-4CF5-BF59-238D2EC3DA4A}" name="法人／事業所数" dataCellStyle="桁区切り"/>
    <tableColumn id="15" xr3:uid="{3291905D-14F6-4CEB-9028-6917A9577E61}" name="法人／構成比" dataDxfId="196"/>
    <tableColumn id="16" xr3:uid="{EE99C15B-6985-4E8C-A0A7-7814D105DDD6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5C4C1B6C-7E33-46C5-ACB7-F722E815B66C}" name="LTBL_47350" displayName="LTBL_47350" ref="B4:I20" totalsRowCount="1">
  <autoFilter ref="B4:I19" xr:uid="{5C4C1B6C-7E33-46C5-ACB7-F722E815B66C}"/>
  <tableColumns count="8">
    <tableColumn id="9" xr3:uid="{8A89CF73-35BA-421E-900D-58EF8CFA012A}" name="産業大分類" totalsRowLabel="合計" totalsRowDxfId="195"/>
    <tableColumn id="10" xr3:uid="{4F0D18C8-3E58-4429-84A0-AF3055E7737F}" name="総数／事業所数" totalsRowFunction="custom" totalsRowDxfId="194" dataCellStyle="桁区切り" totalsRowCellStyle="桁区切り">
      <totalsRowFormula>SUM(LTBL_47350[総数／事業所数])</totalsRowFormula>
    </tableColumn>
    <tableColumn id="11" xr3:uid="{98C9D4C9-B634-49CB-91EC-6D1DE6DC394D}" name="総数／構成比" dataDxfId="193"/>
    <tableColumn id="12" xr3:uid="{63991DBA-789E-42FE-B1F8-61DF4FCC7827}" name="個人／事業所数" totalsRowFunction="sum" totalsRowDxfId="192" dataCellStyle="桁区切り" totalsRowCellStyle="桁区切り"/>
    <tableColumn id="13" xr3:uid="{20C9E92F-E3EE-4B04-B02C-33330AA2A2E1}" name="個人／構成比" dataDxfId="191"/>
    <tableColumn id="14" xr3:uid="{C9CD9E21-7A82-4880-9D61-F3EDDBF44242}" name="法人／事業所数" totalsRowFunction="sum" totalsRowDxfId="190" dataCellStyle="桁区切り" totalsRowCellStyle="桁区切り"/>
    <tableColumn id="15" xr3:uid="{517B01F8-A9F2-4638-8543-847A506E7EC8}" name="法人／構成比" dataDxfId="189"/>
    <tableColumn id="16" xr3:uid="{1307AAF7-EFFF-42DE-A434-C3C4FF55CB32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93143347-C5A9-4B7C-8B4E-9C15400A59FC}" name="M_TABLE_47350" displayName="M_TABLE_47350" ref="B23:I44" totalsRowShown="0">
  <autoFilter ref="B23:I44" xr:uid="{93143347-C5A9-4B7C-8B4E-9C15400A59FC}"/>
  <tableColumns count="8">
    <tableColumn id="9" xr3:uid="{2ACF6FBF-BB98-4C48-953C-771B03EDE821}" name="産業中分類上位２０"/>
    <tableColumn id="10" xr3:uid="{E0EB0852-6D25-4544-B5D5-FFB42F6889D1}" name="総数／事業所数" dataCellStyle="桁区切り"/>
    <tableColumn id="11" xr3:uid="{11F2E6FB-0C34-4EFD-82BC-FDF2F5885269}" name="総数／構成比" dataDxfId="187"/>
    <tableColumn id="12" xr3:uid="{6B3367DA-42D2-4C4F-9A47-CAA88640696E}" name="個人／事業所数" dataCellStyle="桁区切り"/>
    <tableColumn id="13" xr3:uid="{451836D2-007B-4613-9C6C-9659D85E1969}" name="個人／構成比" dataDxfId="186"/>
    <tableColumn id="14" xr3:uid="{A1FCC1D6-EB75-4D67-84DC-06ABC90C571E}" name="法人／事業所数" dataCellStyle="桁区切り"/>
    <tableColumn id="15" xr3:uid="{5069BC4B-B2C5-4FAF-8B4E-F8B1E21A44F1}" name="法人／構成比" dataDxfId="185"/>
    <tableColumn id="16" xr3:uid="{796FDD3C-7447-424B-B57B-28950A481A1F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3FA18EE6-509C-4735-837B-3710C5A5B164}" name="S_TABLE_47350" displayName="S_TABLE_47350" ref="B47:I68" totalsRowShown="0">
  <autoFilter ref="B47:I68" xr:uid="{3FA18EE6-509C-4735-837B-3710C5A5B164}"/>
  <tableColumns count="8">
    <tableColumn id="9" xr3:uid="{AAAB1D8B-9E85-475E-BF56-65343D83EBF1}" name="産業小分類上位２０"/>
    <tableColumn id="10" xr3:uid="{82406A23-CC79-4173-9F9D-DCB15ED57FFB}" name="総数／事業所数" dataCellStyle="桁区切り"/>
    <tableColumn id="11" xr3:uid="{A1198AE6-56D7-4CC3-95EA-A861837DE7B0}" name="総数／構成比" dataDxfId="184"/>
    <tableColumn id="12" xr3:uid="{FFF97E97-93D0-4242-BE0D-8B7C75F4C19F}" name="個人／事業所数" dataCellStyle="桁区切り"/>
    <tableColumn id="13" xr3:uid="{578BAC82-F326-472A-BFD1-E1104F15B0C1}" name="個人／構成比" dataDxfId="183"/>
    <tableColumn id="14" xr3:uid="{B797483D-EE21-4E73-AE92-42CDA1C1F660}" name="法人／事業所数" dataCellStyle="桁区切り"/>
    <tableColumn id="15" xr3:uid="{68054590-9613-4AA8-9999-F0D5C73AFF90}" name="法人／構成比" dataDxfId="182"/>
    <tableColumn id="16" xr3:uid="{371C597F-7572-4AB5-A061-B10199FABC31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C77EC179-B639-4437-A3FD-6E1A16F28038}" name="LTBL_47353" displayName="LTBL_47353" ref="B4:I20" totalsRowCount="1">
  <autoFilter ref="B4:I19" xr:uid="{C77EC179-B639-4437-A3FD-6E1A16F28038}"/>
  <tableColumns count="8">
    <tableColumn id="9" xr3:uid="{C5322F3C-327C-4F3F-AED8-18393C46248D}" name="産業大分類" totalsRowLabel="合計" totalsRowDxfId="181"/>
    <tableColumn id="10" xr3:uid="{B60A5C43-50E2-4F44-BAC9-061F5BAD731F}" name="総数／事業所数" totalsRowFunction="custom" totalsRowDxfId="180" dataCellStyle="桁区切り" totalsRowCellStyle="桁区切り">
      <totalsRowFormula>SUM(LTBL_47353[総数／事業所数])</totalsRowFormula>
    </tableColumn>
    <tableColumn id="11" xr3:uid="{B92B124E-9411-477C-8E09-0636BE3512FD}" name="総数／構成比" dataDxfId="179"/>
    <tableColumn id="12" xr3:uid="{383E2F65-7058-443B-A818-B90DBCF6B4AC}" name="個人／事業所数" totalsRowFunction="sum" totalsRowDxfId="178" dataCellStyle="桁区切り" totalsRowCellStyle="桁区切り"/>
    <tableColumn id="13" xr3:uid="{85B367CF-E9F7-4E6E-A739-39BB63EF40F2}" name="個人／構成比" dataDxfId="177"/>
    <tableColumn id="14" xr3:uid="{200356F8-443E-4E22-9399-2C15CBF84AC2}" name="法人／事業所数" totalsRowFunction="sum" totalsRowDxfId="176" dataCellStyle="桁区切り" totalsRowCellStyle="桁区切り"/>
    <tableColumn id="15" xr3:uid="{843CEA3B-BA04-4A69-A139-1497C8B71406}" name="法人／構成比" dataDxfId="175"/>
    <tableColumn id="16" xr3:uid="{0EB14995-912B-400E-969C-E90B781F80E1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FDD7EE5A-73B9-49FF-9251-E565F007BD11}" name="M_TABLE_47353" displayName="M_TABLE_47353" ref="B23:I46" totalsRowShown="0">
  <autoFilter ref="B23:I46" xr:uid="{FDD7EE5A-73B9-49FF-9251-E565F007BD11}"/>
  <tableColumns count="8">
    <tableColumn id="9" xr3:uid="{F792106D-E96D-4CAB-9557-ABC2C11DE9CF}" name="産業中分類上位２０"/>
    <tableColumn id="10" xr3:uid="{5B9D4EE7-E9FA-4D7A-A43E-447FED47EAB0}" name="総数／事業所数" dataCellStyle="桁区切り"/>
    <tableColumn id="11" xr3:uid="{226E68B1-FCF1-4A04-95A5-53B3A33D2055}" name="総数／構成比" dataDxfId="173"/>
    <tableColumn id="12" xr3:uid="{ED703620-4500-40D7-95E9-B66108FC2872}" name="個人／事業所数" dataCellStyle="桁区切り"/>
    <tableColumn id="13" xr3:uid="{C59EEC38-3D59-42FC-AC5B-1FCE1A81807E}" name="個人／構成比" dataDxfId="172"/>
    <tableColumn id="14" xr3:uid="{375D1040-05B5-4301-B1AF-B085445ED240}" name="法人／事業所数" dataCellStyle="桁区切り"/>
    <tableColumn id="15" xr3:uid="{12DD0031-B40D-4526-886E-1C67B3250A36}" name="法人／構成比" dataDxfId="171"/>
    <tableColumn id="16" xr3:uid="{D5787951-F643-4AD7-B0F4-74E9753176B3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4698B62-AB9D-4B11-A076-D0557F80D956}" name="S_TABLE_47205" displayName="S_TABLE_47205" ref="B46:I66" totalsRowShown="0">
  <autoFilter ref="B46:I66" xr:uid="{C4698B62-AB9D-4B11-A076-D0557F80D956}"/>
  <tableColumns count="8">
    <tableColumn id="9" xr3:uid="{8E3F8D03-3687-43C5-889A-7FDFBB1997A3}" name="産業小分類上位２０"/>
    <tableColumn id="10" xr3:uid="{D2F47DA4-E740-4339-881E-116309965438}" name="総数／事業所数" dataCellStyle="桁区切り"/>
    <tableColumn id="11" xr3:uid="{984458E3-CEA2-41C6-BBF0-7630C08EA31F}" name="総数／構成比" dataDxfId="548"/>
    <tableColumn id="12" xr3:uid="{731071B5-02F7-4621-A8BE-A6969EE715BD}" name="個人／事業所数" dataCellStyle="桁区切り"/>
    <tableColumn id="13" xr3:uid="{BA0F8CA1-0DC1-4A92-ACE1-D345F55BACB4}" name="個人／構成比" dataDxfId="547"/>
    <tableColumn id="14" xr3:uid="{C580F739-96C7-45B4-8F43-07A28F2EC7CA}" name="法人／事業所数" dataCellStyle="桁区切り"/>
    <tableColumn id="15" xr3:uid="{9A9FB416-2746-4226-B19A-4C4CD0DC4E36}" name="法人／構成比" dataDxfId="546"/>
    <tableColumn id="16" xr3:uid="{D8A1AC96-C994-480D-B97C-B210743E5997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2F03E33D-B85A-43E8-A192-B0DEDF2580C5}" name="S_TABLE_47353" displayName="S_TABLE_47353" ref="B49:I81" totalsRowShown="0">
  <autoFilter ref="B49:I81" xr:uid="{2F03E33D-B85A-43E8-A192-B0DEDF2580C5}"/>
  <tableColumns count="8">
    <tableColumn id="9" xr3:uid="{8AC64B6E-C750-4604-BA3C-6CEC2075798C}" name="産業小分類上位２０"/>
    <tableColumn id="10" xr3:uid="{EBA38D84-8362-42B6-9A2F-75FE5F280FD8}" name="総数／事業所数" dataCellStyle="桁区切り"/>
    <tableColumn id="11" xr3:uid="{C9A33DEC-EFAB-4BA0-88B5-7B887D589CEA}" name="総数／構成比" dataDxfId="170"/>
    <tableColumn id="12" xr3:uid="{4F14A44D-BA72-4CFB-9FC5-291314CD8D70}" name="個人／事業所数" dataCellStyle="桁区切り"/>
    <tableColumn id="13" xr3:uid="{56B13426-7D7A-4499-92F8-2BC08387F450}" name="個人／構成比" dataDxfId="169"/>
    <tableColumn id="14" xr3:uid="{24F8A532-35C3-41FF-904A-65CA088B67AA}" name="法人／事業所数" dataCellStyle="桁区切り"/>
    <tableColumn id="15" xr3:uid="{DF65A7AC-4ED0-4BEB-BA21-0E24A2B8EBC7}" name="法人／構成比" dataDxfId="168"/>
    <tableColumn id="16" xr3:uid="{CDDEE665-090F-4B36-A146-5012CBC0072C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7444C680-7284-42F5-9054-EAF993368F56}" name="LTBL_47354" displayName="LTBL_47354" ref="B4:I20" totalsRowCount="1">
  <autoFilter ref="B4:I19" xr:uid="{7444C680-7284-42F5-9054-EAF993368F56}"/>
  <tableColumns count="8">
    <tableColumn id="9" xr3:uid="{633160A2-198F-4B81-A980-7C0A632D366A}" name="産業大分類" totalsRowLabel="合計" totalsRowDxfId="167"/>
    <tableColumn id="10" xr3:uid="{71DC6BBF-E282-49E5-83A5-1F817B308466}" name="総数／事業所数" totalsRowFunction="custom" totalsRowDxfId="166" dataCellStyle="桁区切り" totalsRowCellStyle="桁区切り">
      <totalsRowFormula>SUM(LTBL_47354[総数／事業所数])</totalsRowFormula>
    </tableColumn>
    <tableColumn id="11" xr3:uid="{E93E9E61-F7E0-40BA-A56D-DAD0D740B918}" name="総数／構成比" dataDxfId="165"/>
    <tableColumn id="12" xr3:uid="{8C1D1125-237F-4C4E-B415-A183F4BE82C3}" name="個人／事業所数" totalsRowFunction="sum" totalsRowDxfId="164" dataCellStyle="桁区切り" totalsRowCellStyle="桁区切り"/>
    <tableColumn id="13" xr3:uid="{5E639431-3016-471F-9FEE-0B35B2716365}" name="個人／構成比" dataDxfId="163"/>
    <tableColumn id="14" xr3:uid="{0F78FE5F-A581-4199-81A6-C1CCB27BD75C}" name="法人／事業所数" totalsRowFunction="sum" totalsRowDxfId="162" dataCellStyle="桁区切り" totalsRowCellStyle="桁区切り"/>
    <tableColumn id="15" xr3:uid="{C402ACC5-918C-4685-A347-9D695F88C508}" name="法人／構成比" dataDxfId="161"/>
    <tableColumn id="16" xr3:uid="{313E37A1-FDFB-45BA-B1E4-0BAEBA7CA968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19D0E94F-FAFC-496E-A757-245FACB49318}" name="M_TABLE_47354" displayName="M_TABLE_47354" ref="B23:I42" totalsRowShown="0">
  <autoFilter ref="B23:I42" xr:uid="{19D0E94F-FAFC-496E-A757-245FACB49318}"/>
  <tableColumns count="8">
    <tableColumn id="9" xr3:uid="{B980A577-9C2D-49F1-9E59-1BA066590D13}" name="産業中分類上位２０"/>
    <tableColumn id="10" xr3:uid="{1D976972-780C-48A6-9AB6-99185D442010}" name="総数／事業所数" dataCellStyle="桁区切り"/>
    <tableColumn id="11" xr3:uid="{CE5672E5-4736-4928-A0DD-D78A1561346D}" name="総数／構成比" dataDxfId="159"/>
    <tableColumn id="12" xr3:uid="{54D100BD-C2A1-4522-BD32-EFFC96FB26C4}" name="個人／事業所数" dataCellStyle="桁区切り"/>
    <tableColumn id="13" xr3:uid="{D09CFC52-F797-4749-A87D-FEC4E121EC3D}" name="個人／構成比" dataDxfId="158"/>
    <tableColumn id="14" xr3:uid="{2ADC61D5-04E0-43AD-9C61-60551EADE150}" name="法人／事業所数" dataCellStyle="桁区切り"/>
    <tableColumn id="15" xr3:uid="{534BDB8E-9DF0-4F4E-A431-B44FB166403D}" name="法人／構成比" dataDxfId="157"/>
    <tableColumn id="16" xr3:uid="{A637933C-1B7B-4093-9248-C069354D33C1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7D845A76-ACD0-422C-8030-9D7CF762B35F}" name="S_TABLE_47354" displayName="S_TABLE_47354" ref="B45:I81" totalsRowShown="0">
  <autoFilter ref="B45:I81" xr:uid="{7D845A76-ACD0-422C-8030-9D7CF762B35F}"/>
  <tableColumns count="8">
    <tableColumn id="9" xr3:uid="{7D772921-FC6B-49D1-8A6F-25E0D653643C}" name="産業小分類上位２０"/>
    <tableColumn id="10" xr3:uid="{87851961-6F79-46F5-AE0F-0ED559240D19}" name="総数／事業所数" dataCellStyle="桁区切り"/>
    <tableColumn id="11" xr3:uid="{3C1C69D9-0541-42CF-92D2-588E21539814}" name="総数／構成比" dataDxfId="156"/>
    <tableColumn id="12" xr3:uid="{9E432458-69A5-4A8D-B9A2-247EBAEA79D5}" name="個人／事業所数" dataCellStyle="桁区切り"/>
    <tableColumn id="13" xr3:uid="{92FF2FE4-17E1-4B8E-A7E9-FD17FD629F53}" name="個人／構成比" dataDxfId="155"/>
    <tableColumn id="14" xr3:uid="{45B53896-BD95-4CCC-9D66-B2C97971DEFE}" name="法人／事業所数" dataCellStyle="桁区切り"/>
    <tableColumn id="15" xr3:uid="{4FAD79CE-3A82-4A9E-AD9D-03B09058405B}" name="法人／構成比" dataDxfId="154"/>
    <tableColumn id="16" xr3:uid="{57C99F7A-6427-4F3B-B30F-F3367D2A156B}" name="法人以外の団体／事業所数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C14979DC-3D93-4023-983E-9B7CE7FD7A82}" name="LTBL_47355" displayName="LTBL_47355" ref="B4:I20" totalsRowCount="1">
  <autoFilter ref="B4:I19" xr:uid="{C14979DC-3D93-4023-983E-9B7CE7FD7A82}"/>
  <tableColumns count="8">
    <tableColumn id="9" xr3:uid="{E43C08AC-7406-4064-8FF5-E02705E28B0E}" name="産業大分類" totalsRowLabel="合計" totalsRowDxfId="153"/>
    <tableColumn id="10" xr3:uid="{67DF2C4C-801E-445E-8FC0-8CF319FE6E91}" name="総数／事業所数" totalsRowFunction="custom" totalsRowDxfId="152" dataCellStyle="桁区切り" totalsRowCellStyle="桁区切り">
      <totalsRowFormula>SUM(LTBL_47355[総数／事業所数])</totalsRowFormula>
    </tableColumn>
    <tableColumn id="11" xr3:uid="{15DDAC52-66F2-4A29-BC15-9DAD2671C1A7}" name="総数／構成比" dataDxfId="151"/>
    <tableColumn id="12" xr3:uid="{99E55014-BF36-41CB-BE55-5603CD329199}" name="個人／事業所数" totalsRowFunction="sum" totalsRowDxfId="150" dataCellStyle="桁区切り" totalsRowCellStyle="桁区切り"/>
    <tableColumn id="13" xr3:uid="{9B4732D2-32AD-43F8-A856-D16894DA0529}" name="個人／構成比" dataDxfId="149"/>
    <tableColumn id="14" xr3:uid="{9DC3E87E-6F7F-4D15-8541-A660869F19F8}" name="法人／事業所数" totalsRowFunction="sum" totalsRowDxfId="148" dataCellStyle="桁区切り" totalsRowCellStyle="桁区切り"/>
    <tableColumn id="15" xr3:uid="{A73B0DF1-3043-4302-9DAF-AEFBDEE9ED21}" name="法人／構成比" dataDxfId="147"/>
    <tableColumn id="16" xr3:uid="{9AFD20E1-D966-4B5B-88B1-B8DAC15E53C5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594E17AC-7F22-4651-BC48-0F0144223A37}" name="M_TABLE_47355" displayName="M_TABLE_47355" ref="B23:I38" totalsRowShown="0">
  <autoFilter ref="B23:I38" xr:uid="{594E17AC-7F22-4651-BC48-0F0144223A37}"/>
  <tableColumns count="8">
    <tableColumn id="9" xr3:uid="{152B7687-15E2-46D7-A436-C87FAB57A18B}" name="産業中分類上位２０"/>
    <tableColumn id="10" xr3:uid="{3DC19D62-4C91-47B3-967F-8C79969CA755}" name="総数／事業所数" dataCellStyle="桁区切り"/>
    <tableColumn id="11" xr3:uid="{7135BDC5-44D3-422C-9D38-0D321BFFA89D}" name="総数／構成比" dataDxfId="145"/>
    <tableColumn id="12" xr3:uid="{2C3949B3-974F-4011-87CA-FE061748C345}" name="個人／事業所数" dataCellStyle="桁区切り"/>
    <tableColumn id="13" xr3:uid="{D9F0CEB0-C890-4204-BF9F-552160D37509}" name="個人／構成比" dataDxfId="144"/>
    <tableColumn id="14" xr3:uid="{300837E0-ECC6-4019-91AE-521E61EC772E}" name="法人／事業所数" dataCellStyle="桁区切り"/>
    <tableColumn id="15" xr3:uid="{DD827C11-4A6E-4AA2-8B2D-83DE392E5EF9}" name="法人／構成比" dataDxfId="143"/>
    <tableColumn id="16" xr3:uid="{912E36B3-D219-4BBE-8D04-77DBAEAEED1C}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E57D608B-60F6-41BD-9504-7FBF930E5D3B}" name="S_TABLE_47355" displayName="S_TABLE_47355" ref="B41:I65" totalsRowShown="0">
  <autoFilter ref="B41:I65" xr:uid="{E57D608B-60F6-41BD-9504-7FBF930E5D3B}"/>
  <tableColumns count="8">
    <tableColumn id="9" xr3:uid="{79CAC896-575D-4677-B7EC-AEE99A2997C8}" name="産業小分類上位２０"/>
    <tableColumn id="10" xr3:uid="{15A48B8B-063E-44B1-A8B7-D7F0986E3978}" name="総数／事業所数" dataCellStyle="桁区切り"/>
    <tableColumn id="11" xr3:uid="{C21B9F2D-5EE6-4F57-8F4B-23A8586F2A07}" name="総数／構成比" dataDxfId="142"/>
    <tableColumn id="12" xr3:uid="{0E590477-CF2A-404A-85D9-095DE566297B}" name="個人／事業所数" dataCellStyle="桁区切り"/>
    <tableColumn id="13" xr3:uid="{3D5914F1-7303-44C3-8F6D-8DAD50826E3B}" name="個人／構成比" dataDxfId="141"/>
    <tableColumn id="14" xr3:uid="{98B617DD-B15A-4E9D-A73F-222CCC16AB54}" name="法人／事業所数" dataCellStyle="桁区切り"/>
    <tableColumn id="15" xr3:uid="{4152DF04-04D1-4096-860F-5576B41EB766}" name="法人／構成比" dataDxfId="140"/>
    <tableColumn id="16" xr3:uid="{BC57AC03-363B-4C26-A9B7-1442376D4852}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334AE425-63CF-4A28-9BC4-D512C9D5D50F}" name="LTBL_47356" displayName="LTBL_47356" ref="B4:I20" totalsRowCount="1">
  <autoFilter ref="B4:I19" xr:uid="{334AE425-63CF-4A28-9BC4-D512C9D5D50F}"/>
  <tableColumns count="8">
    <tableColumn id="9" xr3:uid="{B62F5692-7019-442D-8FB6-02429933F286}" name="産業大分類" totalsRowLabel="合計" totalsRowDxfId="139"/>
    <tableColumn id="10" xr3:uid="{73E2FA33-533F-4642-81E0-DC05698DC2D7}" name="総数／事業所数" totalsRowFunction="custom" totalsRowDxfId="138" dataCellStyle="桁区切り" totalsRowCellStyle="桁区切り">
      <totalsRowFormula>SUM(LTBL_47356[総数／事業所数])</totalsRowFormula>
    </tableColumn>
    <tableColumn id="11" xr3:uid="{D38C54D8-E213-4971-BD84-91BFCA8AD9D8}" name="総数／構成比" dataDxfId="137"/>
    <tableColumn id="12" xr3:uid="{FB96CA54-B51B-495A-9D61-FD3B70BAA3D4}" name="個人／事業所数" totalsRowFunction="sum" totalsRowDxfId="136" dataCellStyle="桁区切り" totalsRowCellStyle="桁区切り"/>
    <tableColumn id="13" xr3:uid="{1AC45DD2-7045-4E47-8181-FD11815C54FF}" name="個人／構成比" dataDxfId="135"/>
    <tableColumn id="14" xr3:uid="{A5203E15-5959-4214-ADA9-201BA0A3C052}" name="法人／事業所数" totalsRowFunction="sum" totalsRowDxfId="134" dataCellStyle="桁区切り" totalsRowCellStyle="桁区切り"/>
    <tableColumn id="15" xr3:uid="{36B9920F-3F1A-4739-A55F-94ED4222C143}" name="法人／構成比" dataDxfId="133"/>
    <tableColumn id="16" xr3:uid="{D8007FFF-993D-4146-9A53-5CAF0CC007FC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C4FE468F-1224-4882-AE63-4334EE07B255}" name="M_TABLE_47356" displayName="M_TABLE_47356" ref="B23:I32" totalsRowShown="0">
  <autoFilter ref="B23:I32" xr:uid="{C4FE468F-1224-4882-AE63-4334EE07B255}"/>
  <tableColumns count="8">
    <tableColumn id="9" xr3:uid="{86DA5CFE-B812-4F1E-8DC1-801BA16B91FC}" name="産業中分類上位２０"/>
    <tableColumn id="10" xr3:uid="{29D31BA5-9A3E-40F6-A6E9-760737196055}" name="総数／事業所数" dataCellStyle="桁区切り"/>
    <tableColumn id="11" xr3:uid="{A57B8456-62C5-4BA0-B2C0-B9ECF5CA3F7C}" name="総数／構成比" dataDxfId="131"/>
    <tableColumn id="12" xr3:uid="{A865E8F4-8AB5-4096-84B1-28F465160B67}" name="個人／事業所数" dataCellStyle="桁区切り"/>
    <tableColumn id="13" xr3:uid="{CA42BBE3-BE21-4676-9504-530AF00A645C}" name="個人／構成比" dataDxfId="130"/>
    <tableColumn id="14" xr3:uid="{BBD50D9C-4276-406C-B6A0-9AFBE9BC13F1}" name="法人／事業所数" dataCellStyle="桁区切り"/>
    <tableColumn id="15" xr3:uid="{8375DF15-D191-4EB4-ADB3-7E1273E95C7D}" name="法人／構成比" dataDxfId="129"/>
    <tableColumn id="16" xr3:uid="{75D315D8-4532-4542-ABCF-DE0393BF1A3C}" name="法人以外の団体／事業所数" dataCellStyle="桁区切り"/>
  </tableColumns>
  <tableStyleInfo name="TableStyleMedium9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4B7DF7FB-40B7-49CD-AF9B-7AE5B3E24CE8}" name="S_TABLE_47356" displayName="S_TABLE_47356" ref="B35:I47" totalsRowShown="0">
  <autoFilter ref="B35:I47" xr:uid="{4B7DF7FB-40B7-49CD-AF9B-7AE5B3E24CE8}"/>
  <tableColumns count="8">
    <tableColumn id="9" xr3:uid="{F7290F2B-92D2-4B1F-A57D-7324814BA5C1}" name="産業小分類上位２０"/>
    <tableColumn id="10" xr3:uid="{184245CE-9A9D-4AEA-99D8-87D09F7F6AD5}" name="総数／事業所数" dataCellStyle="桁区切り"/>
    <tableColumn id="11" xr3:uid="{03A83ABD-D1FB-480A-838C-A644FE428BAF}" name="総数／構成比" dataDxfId="128"/>
    <tableColumn id="12" xr3:uid="{DAFB770E-856A-4466-8201-C2F534C2A04E}" name="個人／事業所数" dataCellStyle="桁区切り"/>
    <tableColumn id="13" xr3:uid="{D3887C64-A120-4279-961C-63451B2A4683}" name="個人／構成比" dataDxfId="127"/>
    <tableColumn id="14" xr3:uid="{B84AABAA-7768-44D0-B958-C360BCB499D3}" name="法人／事業所数" dataCellStyle="桁区切り"/>
    <tableColumn id="15" xr3:uid="{26357EA4-3DF4-4953-BB3A-2FB27ACD80B3}" name="法人／構成比" dataDxfId="126"/>
    <tableColumn id="16" xr3:uid="{6F7A853B-FEED-4B25-8B5B-3077945A02B7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35.bin"/><Relationship Id="rId4" Type="http://schemas.openxmlformats.org/officeDocument/2006/relationships/table" Target="../tables/table9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36.bin"/><Relationship Id="rId4" Type="http://schemas.openxmlformats.org/officeDocument/2006/relationships/table" Target="../tables/table99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1.xml"/><Relationship Id="rId2" Type="http://schemas.openxmlformats.org/officeDocument/2006/relationships/table" Target="../tables/table100.xml"/><Relationship Id="rId1" Type="http://schemas.openxmlformats.org/officeDocument/2006/relationships/printerSettings" Target="../printerSettings/printerSettings37.bin"/><Relationship Id="rId4" Type="http://schemas.openxmlformats.org/officeDocument/2006/relationships/table" Target="../tables/table102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4.xml"/><Relationship Id="rId2" Type="http://schemas.openxmlformats.org/officeDocument/2006/relationships/table" Target="../tables/table103.xml"/><Relationship Id="rId1" Type="http://schemas.openxmlformats.org/officeDocument/2006/relationships/printerSettings" Target="../printerSettings/printerSettings38.bin"/><Relationship Id="rId4" Type="http://schemas.openxmlformats.org/officeDocument/2006/relationships/table" Target="../tables/table10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7.xml"/><Relationship Id="rId2" Type="http://schemas.openxmlformats.org/officeDocument/2006/relationships/table" Target="../tables/table106.xml"/><Relationship Id="rId1" Type="http://schemas.openxmlformats.org/officeDocument/2006/relationships/printerSettings" Target="../printerSettings/printerSettings39.bin"/><Relationship Id="rId4" Type="http://schemas.openxmlformats.org/officeDocument/2006/relationships/table" Target="../tables/table10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40.bin"/><Relationship Id="rId4" Type="http://schemas.openxmlformats.org/officeDocument/2006/relationships/table" Target="../tables/table11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3.xml"/><Relationship Id="rId2" Type="http://schemas.openxmlformats.org/officeDocument/2006/relationships/table" Target="../tables/table112.xml"/><Relationship Id="rId1" Type="http://schemas.openxmlformats.org/officeDocument/2006/relationships/printerSettings" Target="../printerSettings/printerSettings41.bin"/><Relationship Id="rId4" Type="http://schemas.openxmlformats.org/officeDocument/2006/relationships/table" Target="../tables/table114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6.xml"/><Relationship Id="rId2" Type="http://schemas.openxmlformats.org/officeDocument/2006/relationships/table" Target="../tables/table115.xml"/><Relationship Id="rId1" Type="http://schemas.openxmlformats.org/officeDocument/2006/relationships/printerSettings" Target="../printerSettings/printerSettings42.bin"/><Relationship Id="rId4" Type="http://schemas.openxmlformats.org/officeDocument/2006/relationships/table" Target="../tables/table117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9.xml"/><Relationship Id="rId2" Type="http://schemas.openxmlformats.org/officeDocument/2006/relationships/table" Target="../tables/table118.xml"/><Relationship Id="rId1" Type="http://schemas.openxmlformats.org/officeDocument/2006/relationships/printerSettings" Target="../printerSettings/printerSettings43.bin"/><Relationship Id="rId4" Type="http://schemas.openxmlformats.org/officeDocument/2006/relationships/table" Target="../tables/table120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44.bin"/><Relationship Id="rId4" Type="http://schemas.openxmlformats.org/officeDocument/2006/relationships/table" Target="../tables/table12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5.xml"/><Relationship Id="rId2" Type="http://schemas.openxmlformats.org/officeDocument/2006/relationships/table" Target="../tables/table124.xml"/><Relationship Id="rId1" Type="http://schemas.openxmlformats.org/officeDocument/2006/relationships/printerSettings" Target="../printerSettings/printerSettings45.bin"/><Relationship Id="rId4" Type="http://schemas.openxmlformats.org/officeDocument/2006/relationships/table" Target="../tables/table12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7C685-20AA-492B-89BA-D4A046AD340E}">
  <dimension ref="A1:B46"/>
  <sheetViews>
    <sheetView tabSelected="1" workbookViewId="0"/>
  </sheetViews>
  <sheetFormatPr defaultRowHeight="13.2" x14ac:dyDescent="0.2"/>
  <sheetData>
    <row r="1" spans="1:2" x14ac:dyDescent="0.2">
      <c r="A1" t="s">
        <v>347</v>
      </c>
    </row>
    <row r="2" spans="1:2" x14ac:dyDescent="0.2">
      <c r="B2" s="13" t="s">
        <v>259</v>
      </c>
    </row>
    <row r="3" spans="1:2" x14ac:dyDescent="0.2">
      <c r="B3" s="13" t="s">
        <v>121</v>
      </c>
    </row>
    <row r="4" spans="1:2" x14ac:dyDescent="0.2">
      <c r="B4" s="13" t="s">
        <v>257</v>
      </c>
    </row>
    <row r="5" spans="1:2" x14ac:dyDescent="0.2">
      <c r="B5" s="13" t="s">
        <v>305</v>
      </c>
    </row>
    <row r="6" spans="1:2" x14ac:dyDescent="0.2">
      <c r="B6" s="13" t="s">
        <v>306</v>
      </c>
    </row>
    <row r="7" spans="1:2" x14ac:dyDescent="0.2">
      <c r="B7" s="13" t="s">
        <v>307</v>
      </c>
    </row>
    <row r="8" spans="1:2" x14ac:dyDescent="0.2">
      <c r="B8" s="13" t="s">
        <v>308</v>
      </c>
    </row>
    <row r="9" spans="1:2" x14ac:dyDescent="0.2">
      <c r="B9" s="13" t="s">
        <v>309</v>
      </c>
    </row>
    <row r="10" spans="1:2" x14ac:dyDescent="0.2">
      <c r="B10" s="13" t="s">
        <v>310</v>
      </c>
    </row>
    <row r="11" spans="1:2" x14ac:dyDescent="0.2">
      <c r="B11" s="13" t="s">
        <v>311</v>
      </c>
    </row>
    <row r="12" spans="1:2" x14ac:dyDescent="0.2">
      <c r="B12" s="13" t="s">
        <v>312</v>
      </c>
    </row>
    <row r="13" spans="1:2" x14ac:dyDescent="0.2">
      <c r="B13" s="13" t="s">
        <v>313</v>
      </c>
    </row>
    <row r="14" spans="1:2" x14ac:dyDescent="0.2">
      <c r="B14" s="13" t="s">
        <v>314</v>
      </c>
    </row>
    <row r="15" spans="1:2" x14ac:dyDescent="0.2">
      <c r="B15" s="13" t="s">
        <v>315</v>
      </c>
    </row>
    <row r="16" spans="1:2" x14ac:dyDescent="0.2">
      <c r="B16" s="13" t="s">
        <v>316</v>
      </c>
    </row>
    <row r="17" spans="2:2" x14ac:dyDescent="0.2">
      <c r="B17" s="13" t="s">
        <v>317</v>
      </c>
    </row>
    <row r="18" spans="2:2" x14ac:dyDescent="0.2">
      <c r="B18" s="13" t="s">
        <v>318</v>
      </c>
    </row>
    <row r="19" spans="2:2" x14ac:dyDescent="0.2">
      <c r="B19" s="13" t="s">
        <v>319</v>
      </c>
    </row>
    <row r="20" spans="2:2" x14ac:dyDescent="0.2">
      <c r="B20" s="13" t="s">
        <v>320</v>
      </c>
    </row>
    <row r="21" spans="2:2" x14ac:dyDescent="0.2">
      <c r="B21" s="13" t="s">
        <v>321</v>
      </c>
    </row>
    <row r="22" spans="2:2" x14ac:dyDescent="0.2">
      <c r="B22" s="13" t="s">
        <v>322</v>
      </c>
    </row>
    <row r="23" spans="2:2" x14ac:dyDescent="0.2">
      <c r="B23" s="13" t="s">
        <v>323</v>
      </c>
    </row>
    <row r="24" spans="2:2" x14ac:dyDescent="0.2">
      <c r="B24" s="13" t="s">
        <v>324</v>
      </c>
    </row>
    <row r="25" spans="2:2" x14ac:dyDescent="0.2">
      <c r="B25" s="13" t="s">
        <v>325</v>
      </c>
    </row>
    <row r="26" spans="2:2" x14ac:dyDescent="0.2">
      <c r="B26" s="13" t="s">
        <v>326</v>
      </c>
    </row>
    <row r="27" spans="2:2" x14ac:dyDescent="0.2">
      <c r="B27" s="13" t="s">
        <v>327</v>
      </c>
    </row>
    <row r="28" spans="2:2" x14ac:dyDescent="0.2">
      <c r="B28" s="13" t="s">
        <v>328</v>
      </c>
    </row>
    <row r="29" spans="2:2" x14ac:dyDescent="0.2">
      <c r="B29" s="13" t="s">
        <v>329</v>
      </c>
    </row>
    <row r="30" spans="2:2" x14ac:dyDescent="0.2">
      <c r="B30" s="13" t="s">
        <v>330</v>
      </c>
    </row>
    <row r="31" spans="2:2" x14ac:dyDescent="0.2">
      <c r="B31" s="13" t="s">
        <v>331</v>
      </c>
    </row>
    <row r="32" spans="2:2" x14ac:dyDescent="0.2">
      <c r="B32" s="13" t="s">
        <v>332</v>
      </c>
    </row>
    <row r="33" spans="2:2" x14ac:dyDescent="0.2">
      <c r="B33" s="13" t="s">
        <v>333</v>
      </c>
    </row>
    <row r="34" spans="2:2" x14ac:dyDescent="0.2">
      <c r="B34" s="13" t="s">
        <v>334</v>
      </c>
    </row>
    <row r="35" spans="2:2" x14ac:dyDescent="0.2">
      <c r="B35" s="13" t="s">
        <v>335</v>
      </c>
    </row>
    <row r="36" spans="2:2" x14ac:dyDescent="0.2">
      <c r="B36" s="13" t="s">
        <v>336</v>
      </c>
    </row>
    <row r="37" spans="2:2" x14ac:dyDescent="0.2">
      <c r="B37" s="13" t="s">
        <v>337</v>
      </c>
    </row>
    <row r="38" spans="2:2" x14ac:dyDescent="0.2">
      <c r="B38" s="13" t="s">
        <v>338</v>
      </c>
    </row>
    <row r="39" spans="2:2" x14ac:dyDescent="0.2">
      <c r="B39" s="13" t="s">
        <v>339</v>
      </c>
    </row>
    <row r="40" spans="2:2" x14ac:dyDescent="0.2">
      <c r="B40" s="13" t="s">
        <v>340</v>
      </c>
    </row>
    <row r="41" spans="2:2" x14ac:dyDescent="0.2">
      <c r="B41" s="13" t="s">
        <v>341</v>
      </c>
    </row>
    <row r="42" spans="2:2" x14ac:dyDescent="0.2">
      <c r="B42" s="13" t="s">
        <v>342</v>
      </c>
    </row>
    <row r="43" spans="2:2" x14ac:dyDescent="0.2">
      <c r="B43" s="13" t="s">
        <v>343</v>
      </c>
    </row>
    <row r="44" spans="2:2" x14ac:dyDescent="0.2">
      <c r="B44" s="13" t="s">
        <v>344</v>
      </c>
    </row>
    <row r="45" spans="2:2" x14ac:dyDescent="0.2">
      <c r="B45" s="13" t="s">
        <v>345</v>
      </c>
    </row>
    <row r="46" spans="2:2" x14ac:dyDescent="0.2">
      <c r="B46" s="13" t="s">
        <v>346</v>
      </c>
    </row>
  </sheetData>
  <phoneticPr fontId="1"/>
  <hyperlinks>
    <hyperlink ref="B2" location="'産業大分類'!a1" display="産業大分類" xr:uid="{576823E9-B4E2-4A57-92BD-7361EB911B09}"/>
    <hyperlink ref="B3" location="'産業中分類'!a1" display="産業中分類" xr:uid="{F02D14C0-40F1-4E7B-A9BE-BFF60852AC1E}"/>
    <hyperlink ref="B4" location="'産業小分類'!a1" display="産業小分類" xr:uid="{433BA309-493C-4639-8F7A-5EF56D4AC3D1}"/>
    <hyperlink ref="B5" location="'沖縄県'!a1" display="沖縄県" xr:uid="{1106E569-D18A-4906-A0F7-C607B2CC664A}"/>
    <hyperlink ref="B6" location="'那覇市'!a1" display="那覇市" xr:uid="{5B7825F7-8260-4A1A-889E-DBBF78B66FDD}"/>
    <hyperlink ref="B7" location="'宜野湾市'!a1" display="宜野湾市" xr:uid="{12A1C28B-151A-4F95-841F-FB6CC325437F}"/>
    <hyperlink ref="B8" location="'石垣市'!a1" display="石垣市" xr:uid="{332C9552-B6CE-4F17-B90B-D2B0BD14B91C}"/>
    <hyperlink ref="B9" location="'浦添市'!a1" display="浦添市" xr:uid="{44F6BEFB-6765-4DCF-A4B5-B0E8E4E32FF4}"/>
    <hyperlink ref="B10" location="'名護市'!a1" display="名護市" xr:uid="{B91A5096-0E36-4BE6-90D4-234AAA49630C}"/>
    <hyperlink ref="B11" location="'糸満市'!a1" display="糸満市" xr:uid="{3BF29CD9-217B-475C-80C3-551996E0DF6E}"/>
    <hyperlink ref="B12" location="'沖縄市'!a1" display="沖縄市" xr:uid="{FA328248-8C06-4BE3-839B-07F3A835E766}"/>
    <hyperlink ref="B13" location="'豊見城市'!a1" display="豊見城市" xr:uid="{4AC78D58-04AF-4D18-BB33-C818F881CDF4}"/>
    <hyperlink ref="B14" location="'うるま市'!a1" display="うるま市" xr:uid="{C171A5C8-C8EE-4DCB-AB88-92DF281135D0}"/>
    <hyperlink ref="B15" location="'宮古島市'!a1" display="宮古島市" xr:uid="{D72E8374-4765-4E5C-BF0E-98A6DE0B602C}"/>
    <hyperlink ref="B16" location="'南城市'!a1" display="南城市" xr:uid="{B5EF66B6-F52C-47B5-B5EE-036F418F7313}"/>
    <hyperlink ref="B17" location="'国頭郡国頭村'!a1" display="国頭郡国頭村" xr:uid="{729C6E42-3C90-42AF-9B8F-87684310AFED}"/>
    <hyperlink ref="B18" location="'国頭郡大宜味村'!a1" display="国頭郡大宜味村" xr:uid="{6A7177B0-087C-4C87-B20A-C285A9D504F5}"/>
    <hyperlink ref="B19" location="'国頭郡東村'!a1" display="国頭郡東村" xr:uid="{DCEAFEC7-F30E-430C-9E6F-2765573D2E15}"/>
    <hyperlink ref="B20" location="'国頭郡今帰仁村'!a1" display="国頭郡今帰仁村" xr:uid="{1D052B2E-536B-4312-8A33-C2658DDFAB03}"/>
    <hyperlink ref="B21" location="'国頭郡本部町'!a1" display="国頭郡本部町" xr:uid="{B8AB2B27-B0CF-4C8E-9960-9FAF8646CBB9}"/>
    <hyperlink ref="B22" location="'国頭郡恩納村'!a1" display="国頭郡恩納村" xr:uid="{D630DCFD-280E-4B16-9656-360E53C4C6FC}"/>
    <hyperlink ref="B23" location="'国頭郡宜野座村'!a1" display="国頭郡宜野座村" xr:uid="{702A349A-D301-40A4-AA80-20F49758BFC1}"/>
    <hyperlink ref="B24" location="'国頭郡金武町'!a1" display="国頭郡金武町" xr:uid="{0ACF7974-AADC-491B-954B-938E13A97018}"/>
    <hyperlink ref="B25" location="'国頭郡伊江村'!a1" display="国頭郡伊江村" xr:uid="{F3C14AE5-9EA1-46D8-BAF0-B36EA966B139}"/>
    <hyperlink ref="B26" location="'中頭郡読谷村'!a1" display="中頭郡読谷村" xr:uid="{F212CC09-F709-44AF-B83E-5185925F3C71}"/>
    <hyperlink ref="B27" location="'中頭郡嘉手納町'!a1" display="中頭郡嘉手納町" xr:uid="{8DDD611F-F856-45AC-9EDD-A72D45B3A14F}"/>
    <hyperlink ref="B28" location="'中頭郡北谷町'!a1" display="中頭郡北谷町" xr:uid="{FA462EBA-4C23-4548-B72D-527883146071}"/>
    <hyperlink ref="B29" location="'中頭郡北中城村'!a1" display="中頭郡北中城村" xr:uid="{592E4ABA-A3DA-4AD8-8A45-5F171FE82078}"/>
    <hyperlink ref="B30" location="'中頭郡中城村'!a1" display="中頭郡中城村" xr:uid="{30610A00-AA69-41EF-B4A3-EDA96B30AB9B}"/>
    <hyperlink ref="B31" location="'中頭郡西原町'!a1" display="中頭郡西原町" xr:uid="{81152265-843D-496C-9E28-6A7EAFD9A67D}"/>
    <hyperlink ref="B32" location="'島尻郡与那原町'!a1" display="島尻郡与那原町" xr:uid="{0AC913D9-C4BB-4EFA-9883-A24C1CD54D02}"/>
    <hyperlink ref="B33" location="'島尻郡南風原町'!a1" display="島尻郡南風原町" xr:uid="{B92E28A1-E03A-441B-AB34-C502A345C1B5}"/>
    <hyperlink ref="B34" location="'島尻郡渡嘉敷村'!a1" display="島尻郡渡嘉敷村" xr:uid="{D58C9024-93EB-46B5-A929-65279DC6132B}"/>
    <hyperlink ref="B35" location="'島尻郡座間味村'!a1" display="島尻郡座間味村" xr:uid="{7FCEA4FE-143C-432F-8B5D-872647AE9E11}"/>
    <hyperlink ref="B36" location="'島尻郡粟国村'!a1" display="島尻郡粟国村" xr:uid="{5F3CFE40-AF34-44AC-9A46-22CC9BE09E56}"/>
    <hyperlink ref="B37" location="'島尻郡渡名喜村'!a1" display="島尻郡渡名喜村" xr:uid="{CFFD7987-E417-4B28-B627-06EF0AFB7A81}"/>
    <hyperlink ref="B38" location="'島尻郡南大東村'!a1" display="島尻郡南大東村" xr:uid="{B0C74BEC-F0F1-48F5-8751-6BE6007DD50F}"/>
    <hyperlink ref="B39" location="'島尻郡北大東村'!a1" display="島尻郡北大東村" xr:uid="{C89FD3E4-3448-4B19-B2B5-59110542F521}"/>
    <hyperlink ref="B40" location="'島尻郡伊平屋村'!a1" display="島尻郡伊平屋村" xr:uid="{F39EB621-9CFB-4B4D-BC49-41F378B6B8C2}"/>
    <hyperlink ref="B41" location="'島尻郡伊是名村'!a1" display="島尻郡伊是名村" xr:uid="{59262037-7A71-4945-A30A-BE9A3B913A94}"/>
    <hyperlink ref="B42" location="'島尻郡久米島町'!a1" display="島尻郡久米島町" xr:uid="{A13DA508-C636-44AE-9DA6-8F59768F37E7}"/>
    <hyperlink ref="B43" location="'島尻郡八重瀬町'!a1" display="島尻郡八重瀬町" xr:uid="{3292481D-3C81-45B6-934C-069F70D9DD14}"/>
    <hyperlink ref="B44" location="'宮古郡多良間村'!a1" display="宮古郡多良間村" xr:uid="{CB829770-3B49-4EF8-B33E-62FF0538155E}"/>
    <hyperlink ref="B45" location="'八重山郡竹富町'!a1" display="八重山郡竹富町" xr:uid="{4FBA54DC-A70C-4BDE-B3AF-C8048A98EAB8}"/>
    <hyperlink ref="B46" location="'八重山郡与那国町'!a1" display="八重山郡与那国町" xr:uid="{E982CD3B-8B36-44F2-AEE9-25CA0584EEB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73B5-5C31-4C50-AFA1-89371D6F06B7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268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0.25</v>
      </c>
      <c r="I5" s="12">
        <v>0</v>
      </c>
    </row>
    <row r="6" spans="2:9" ht="15" customHeight="1" x14ac:dyDescent="0.2">
      <c r="B6" t="s">
        <v>43</v>
      </c>
      <c r="C6" s="12">
        <v>105</v>
      </c>
      <c r="D6" s="8">
        <v>7.06</v>
      </c>
      <c r="E6" s="12">
        <v>41</v>
      </c>
      <c r="F6" s="8">
        <v>3.85</v>
      </c>
      <c r="G6" s="12">
        <v>64</v>
      </c>
      <c r="H6" s="8">
        <v>15.8</v>
      </c>
      <c r="I6" s="12">
        <v>0</v>
      </c>
    </row>
    <row r="7" spans="2:9" ht="15" customHeight="1" x14ac:dyDescent="0.2">
      <c r="B7" t="s">
        <v>44</v>
      </c>
      <c r="C7" s="12">
        <v>74</v>
      </c>
      <c r="D7" s="8">
        <v>4.97</v>
      </c>
      <c r="E7" s="12">
        <v>48</v>
      </c>
      <c r="F7" s="8">
        <v>4.51</v>
      </c>
      <c r="G7" s="12">
        <v>26</v>
      </c>
      <c r="H7" s="8">
        <v>6.42</v>
      </c>
      <c r="I7" s="12">
        <v>0</v>
      </c>
    </row>
    <row r="8" spans="2:9" ht="15" customHeight="1" x14ac:dyDescent="0.2">
      <c r="B8" t="s">
        <v>45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46</v>
      </c>
      <c r="C9" s="12">
        <v>11</v>
      </c>
      <c r="D9" s="8">
        <v>0.74</v>
      </c>
      <c r="E9" s="12">
        <v>0</v>
      </c>
      <c r="F9" s="8">
        <v>0</v>
      </c>
      <c r="G9" s="12">
        <v>11</v>
      </c>
      <c r="H9" s="8">
        <v>2.72</v>
      </c>
      <c r="I9" s="12">
        <v>0</v>
      </c>
    </row>
    <row r="10" spans="2:9" ht="15" customHeight="1" x14ac:dyDescent="0.2">
      <c r="B10" t="s">
        <v>47</v>
      </c>
      <c r="C10" s="12">
        <v>6</v>
      </c>
      <c r="D10" s="8">
        <v>0.4</v>
      </c>
      <c r="E10" s="12">
        <v>3</v>
      </c>
      <c r="F10" s="8">
        <v>0.28000000000000003</v>
      </c>
      <c r="G10" s="12">
        <v>3</v>
      </c>
      <c r="H10" s="8">
        <v>0.74</v>
      </c>
      <c r="I10" s="12">
        <v>0</v>
      </c>
    </row>
    <row r="11" spans="2:9" ht="15" customHeight="1" x14ac:dyDescent="0.2">
      <c r="B11" t="s">
        <v>48</v>
      </c>
      <c r="C11" s="12">
        <v>382</v>
      </c>
      <c r="D11" s="8">
        <v>25.67</v>
      </c>
      <c r="E11" s="12">
        <v>289</v>
      </c>
      <c r="F11" s="8">
        <v>27.16</v>
      </c>
      <c r="G11" s="12">
        <v>91</v>
      </c>
      <c r="H11" s="8">
        <v>22.47</v>
      </c>
      <c r="I11" s="12">
        <v>2</v>
      </c>
    </row>
    <row r="12" spans="2:9" ht="15" customHeight="1" x14ac:dyDescent="0.2">
      <c r="B12" t="s">
        <v>49</v>
      </c>
      <c r="C12" s="12">
        <v>8</v>
      </c>
      <c r="D12" s="8">
        <v>0.54</v>
      </c>
      <c r="E12" s="12">
        <v>1</v>
      </c>
      <c r="F12" s="8">
        <v>0.09</v>
      </c>
      <c r="G12" s="12">
        <v>7</v>
      </c>
      <c r="H12" s="8">
        <v>1.73</v>
      </c>
      <c r="I12" s="12">
        <v>0</v>
      </c>
    </row>
    <row r="13" spans="2:9" ht="15" customHeight="1" x14ac:dyDescent="0.2">
      <c r="B13" t="s">
        <v>50</v>
      </c>
      <c r="C13" s="12">
        <v>115</v>
      </c>
      <c r="D13" s="8">
        <v>7.73</v>
      </c>
      <c r="E13" s="12">
        <v>47</v>
      </c>
      <c r="F13" s="8">
        <v>4.42</v>
      </c>
      <c r="G13" s="12">
        <v>68</v>
      </c>
      <c r="H13" s="8">
        <v>16.79</v>
      </c>
      <c r="I13" s="12">
        <v>0</v>
      </c>
    </row>
    <row r="14" spans="2:9" ht="15" customHeight="1" x14ac:dyDescent="0.2">
      <c r="B14" t="s">
        <v>51</v>
      </c>
      <c r="C14" s="12">
        <v>60</v>
      </c>
      <c r="D14" s="8">
        <v>4.03</v>
      </c>
      <c r="E14" s="12">
        <v>29</v>
      </c>
      <c r="F14" s="8">
        <v>2.73</v>
      </c>
      <c r="G14" s="12">
        <v>28</v>
      </c>
      <c r="H14" s="8">
        <v>6.91</v>
      </c>
      <c r="I14" s="12">
        <v>0</v>
      </c>
    </row>
    <row r="15" spans="2:9" ht="15" customHeight="1" x14ac:dyDescent="0.2">
      <c r="B15" t="s">
        <v>52</v>
      </c>
      <c r="C15" s="12">
        <v>323</v>
      </c>
      <c r="D15" s="8">
        <v>21.71</v>
      </c>
      <c r="E15" s="12">
        <v>301</v>
      </c>
      <c r="F15" s="8">
        <v>28.29</v>
      </c>
      <c r="G15" s="12">
        <v>21</v>
      </c>
      <c r="H15" s="8">
        <v>5.19</v>
      </c>
      <c r="I15" s="12">
        <v>1</v>
      </c>
    </row>
    <row r="16" spans="2:9" ht="15" customHeight="1" x14ac:dyDescent="0.2">
      <c r="B16" t="s">
        <v>53</v>
      </c>
      <c r="C16" s="12">
        <v>221</v>
      </c>
      <c r="D16" s="8">
        <v>14.85</v>
      </c>
      <c r="E16" s="12">
        <v>193</v>
      </c>
      <c r="F16" s="8">
        <v>18.14</v>
      </c>
      <c r="G16" s="12">
        <v>27</v>
      </c>
      <c r="H16" s="8">
        <v>6.67</v>
      </c>
      <c r="I16" s="12">
        <v>0</v>
      </c>
    </row>
    <row r="17" spans="2:9" ht="15" customHeight="1" x14ac:dyDescent="0.2">
      <c r="B17" t="s">
        <v>54</v>
      </c>
      <c r="C17" s="12">
        <v>70</v>
      </c>
      <c r="D17" s="8">
        <v>4.7</v>
      </c>
      <c r="E17" s="12">
        <v>51</v>
      </c>
      <c r="F17" s="8">
        <v>4.79</v>
      </c>
      <c r="G17" s="12">
        <v>10</v>
      </c>
      <c r="H17" s="8">
        <v>2.4700000000000002</v>
      </c>
      <c r="I17" s="12">
        <v>9</v>
      </c>
    </row>
    <row r="18" spans="2:9" ht="15" customHeight="1" x14ac:dyDescent="0.2">
      <c r="B18" t="s">
        <v>55</v>
      </c>
      <c r="C18" s="12">
        <v>58</v>
      </c>
      <c r="D18" s="8">
        <v>3.9</v>
      </c>
      <c r="E18" s="12">
        <v>29</v>
      </c>
      <c r="F18" s="8">
        <v>2.73</v>
      </c>
      <c r="G18" s="12">
        <v>28</v>
      </c>
      <c r="H18" s="8">
        <v>6.91</v>
      </c>
      <c r="I18" s="12">
        <v>1</v>
      </c>
    </row>
    <row r="19" spans="2:9" ht="15" customHeight="1" x14ac:dyDescent="0.2">
      <c r="B19" t="s">
        <v>56</v>
      </c>
      <c r="C19" s="12">
        <v>54</v>
      </c>
      <c r="D19" s="8">
        <v>3.63</v>
      </c>
      <c r="E19" s="12">
        <v>32</v>
      </c>
      <c r="F19" s="8">
        <v>3.01</v>
      </c>
      <c r="G19" s="12">
        <v>20</v>
      </c>
      <c r="H19" s="8">
        <v>4.9400000000000004</v>
      </c>
      <c r="I19" s="12">
        <v>2</v>
      </c>
    </row>
    <row r="20" spans="2:9" ht="15" customHeight="1" x14ac:dyDescent="0.2">
      <c r="B20" s="9" t="s">
        <v>260</v>
      </c>
      <c r="C20" s="12">
        <f>SUM(LTBL_47209[総数／事業所数])</f>
        <v>1488</v>
      </c>
      <c r="E20" s="12">
        <f>SUBTOTAL(109,LTBL_47209[個人／事業所数])</f>
        <v>1064</v>
      </c>
      <c r="G20" s="12">
        <f>SUBTOTAL(109,LTBL_47209[法人／事業所数])</f>
        <v>405</v>
      </c>
      <c r="I20" s="12">
        <f>SUBTOTAL(109,LTBL_47209[法人以外の団体／事業所数])</f>
        <v>15</v>
      </c>
    </row>
    <row r="21" spans="2:9" ht="15" customHeight="1" x14ac:dyDescent="0.2">
      <c r="E21" s="11">
        <f>LTBL_47209[[#Totals],[個人／事業所数]]/LTBL_47209[[#Totals],[総数／事業所数]]</f>
        <v>0.71505376344086025</v>
      </c>
      <c r="G21" s="11">
        <f>LTBL_47209[[#Totals],[法人／事業所数]]/LTBL_47209[[#Totals],[総数／事業所数]]</f>
        <v>0.27217741935483869</v>
      </c>
      <c r="I21" s="11">
        <f>LTBL_47209[[#Totals],[法人以外の団体／事業所数]]/LTBL_47209[[#Totals],[総数／事業所数]]</f>
        <v>1.0080645161290322E-2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77</v>
      </c>
      <c r="C24" s="12">
        <v>297</v>
      </c>
      <c r="D24" s="8">
        <v>19.96</v>
      </c>
      <c r="E24" s="12">
        <v>279</v>
      </c>
      <c r="F24" s="8">
        <v>26.22</v>
      </c>
      <c r="G24" s="12">
        <v>17</v>
      </c>
      <c r="H24" s="8">
        <v>4.2</v>
      </c>
      <c r="I24" s="12">
        <v>1</v>
      </c>
    </row>
    <row r="25" spans="2:9" ht="15" customHeight="1" x14ac:dyDescent="0.2">
      <c r="B25" t="s">
        <v>78</v>
      </c>
      <c r="C25" s="12">
        <v>189</v>
      </c>
      <c r="D25" s="8">
        <v>12.7</v>
      </c>
      <c r="E25" s="12">
        <v>174</v>
      </c>
      <c r="F25" s="8">
        <v>16.350000000000001</v>
      </c>
      <c r="G25" s="12">
        <v>15</v>
      </c>
      <c r="H25" s="8">
        <v>3.7</v>
      </c>
      <c r="I25" s="12">
        <v>0</v>
      </c>
    </row>
    <row r="26" spans="2:9" ht="15" customHeight="1" x14ac:dyDescent="0.2">
      <c r="B26" t="s">
        <v>71</v>
      </c>
      <c r="C26" s="12">
        <v>141</v>
      </c>
      <c r="D26" s="8">
        <v>9.48</v>
      </c>
      <c r="E26" s="12">
        <v>106</v>
      </c>
      <c r="F26" s="8">
        <v>9.9600000000000009</v>
      </c>
      <c r="G26" s="12">
        <v>34</v>
      </c>
      <c r="H26" s="8">
        <v>8.4</v>
      </c>
      <c r="I26" s="12">
        <v>1</v>
      </c>
    </row>
    <row r="27" spans="2:9" ht="15" customHeight="1" x14ac:dyDescent="0.2">
      <c r="B27" t="s">
        <v>69</v>
      </c>
      <c r="C27" s="12">
        <v>109</v>
      </c>
      <c r="D27" s="8">
        <v>7.33</v>
      </c>
      <c r="E27" s="12">
        <v>98</v>
      </c>
      <c r="F27" s="8">
        <v>9.2100000000000009</v>
      </c>
      <c r="G27" s="12">
        <v>10</v>
      </c>
      <c r="H27" s="8">
        <v>2.4700000000000002</v>
      </c>
      <c r="I27" s="12">
        <v>1</v>
      </c>
    </row>
    <row r="28" spans="2:9" ht="15" customHeight="1" x14ac:dyDescent="0.2">
      <c r="B28" t="s">
        <v>73</v>
      </c>
      <c r="C28" s="12">
        <v>74</v>
      </c>
      <c r="D28" s="8">
        <v>4.97</v>
      </c>
      <c r="E28" s="12">
        <v>38</v>
      </c>
      <c r="F28" s="8">
        <v>3.57</v>
      </c>
      <c r="G28" s="12">
        <v>36</v>
      </c>
      <c r="H28" s="8">
        <v>8.89</v>
      </c>
      <c r="I28" s="12">
        <v>0</v>
      </c>
    </row>
    <row r="29" spans="2:9" ht="15" customHeight="1" x14ac:dyDescent="0.2">
      <c r="B29" t="s">
        <v>81</v>
      </c>
      <c r="C29" s="12">
        <v>70</v>
      </c>
      <c r="D29" s="8">
        <v>4.7</v>
      </c>
      <c r="E29" s="12">
        <v>51</v>
      </c>
      <c r="F29" s="8">
        <v>4.79</v>
      </c>
      <c r="G29" s="12">
        <v>10</v>
      </c>
      <c r="H29" s="8">
        <v>2.4700000000000002</v>
      </c>
      <c r="I29" s="12">
        <v>9</v>
      </c>
    </row>
    <row r="30" spans="2:9" ht="15" customHeight="1" x14ac:dyDescent="0.2">
      <c r="B30" t="s">
        <v>65</v>
      </c>
      <c r="C30" s="12">
        <v>52</v>
      </c>
      <c r="D30" s="8">
        <v>3.49</v>
      </c>
      <c r="E30" s="12">
        <v>12</v>
      </c>
      <c r="F30" s="8">
        <v>1.1299999999999999</v>
      </c>
      <c r="G30" s="12">
        <v>40</v>
      </c>
      <c r="H30" s="8">
        <v>9.8800000000000008</v>
      </c>
      <c r="I30" s="12">
        <v>0</v>
      </c>
    </row>
    <row r="31" spans="2:9" ht="15" customHeight="1" x14ac:dyDescent="0.2">
      <c r="B31" t="s">
        <v>70</v>
      </c>
      <c r="C31" s="12">
        <v>40</v>
      </c>
      <c r="D31" s="8">
        <v>2.69</v>
      </c>
      <c r="E31" s="12">
        <v>36</v>
      </c>
      <c r="F31" s="8">
        <v>3.38</v>
      </c>
      <c r="G31" s="12">
        <v>4</v>
      </c>
      <c r="H31" s="8">
        <v>0.99</v>
      </c>
      <c r="I31" s="12">
        <v>0</v>
      </c>
    </row>
    <row r="32" spans="2:9" ht="15" customHeight="1" x14ac:dyDescent="0.2">
      <c r="B32" t="s">
        <v>75</v>
      </c>
      <c r="C32" s="12">
        <v>32</v>
      </c>
      <c r="D32" s="8">
        <v>2.15</v>
      </c>
      <c r="E32" s="12">
        <v>9</v>
      </c>
      <c r="F32" s="8">
        <v>0.85</v>
      </c>
      <c r="G32" s="12">
        <v>21</v>
      </c>
      <c r="H32" s="8">
        <v>5.19</v>
      </c>
      <c r="I32" s="12">
        <v>0</v>
      </c>
    </row>
    <row r="33" spans="2:9" ht="15" customHeight="1" x14ac:dyDescent="0.2">
      <c r="B33" t="s">
        <v>68</v>
      </c>
      <c r="C33" s="12">
        <v>31</v>
      </c>
      <c r="D33" s="8">
        <v>2.08</v>
      </c>
      <c r="E33" s="12">
        <v>22</v>
      </c>
      <c r="F33" s="8">
        <v>2.0699999999999998</v>
      </c>
      <c r="G33" s="12">
        <v>9</v>
      </c>
      <c r="H33" s="8">
        <v>2.2200000000000002</v>
      </c>
      <c r="I33" s="12">
        <v>0</v>
      </c>
    </row>
    <row r="34" spans="2:9" ht="15" customHeight="1" x14ac:dyDescent="0.2">
      <c r="B34" t="s">
        <v>82</v>
      </c>
      <c r="C34" s="12">
        <v>29</v>
      </c>
      <c r="D34" s="8">
        <v>1.95</v>
      </c>
      <c r="E34" s="12">
        <v>26</v>
      </c>
      <c r="F34" s="8">
        <v>2.44</v>
      </c>
      <c r="G34" s="12">
        <v>3</v>
      </c>
      <c r="H34" s="8">
        <v>0.74</v>
      </c>
      <c r="I34" s="12">
        <v>0</v>
      </c>
    </row>
    <row r="35" spans="2:9" ht="15" customHeight="1" x14ac:dyDescent="0.2">
      <c r="B35" t="s">
        <v>83</v>
      </c>
      <c r="C35" s="12">
        <v>29</v>
      </c>
      <c r="D35" s="8">
        <v>1.95</v>
      </c>
      <c r="E35" s="12">
        <v>3</v>
      </c>
      <c r="F35" s="8">
        <v>0.28000000000000003</v>
      </c>
      <c r="G35" s="12">
        <v>25</v>
      </c>
      <c r="H35" s="8">
        <v>6.17</v>
      </c>
      <c r="I35" s="12">
        <v>1</v>
      </c>
    </row>
    <row r="36" spans="2:9" ht="15" customHeight="1" x14ac:dyDescent="0.2">
      <c r="B36" t="s">
        <v>66</v>
      </c>
      <c r="C36" s="12">
        <v>28</v>
      </c>
      <c r="D36" s="8">
        <v>1.88</v>
      </c>
      <c r="E36" s="12">
        <v>19</v>
      </c>
      <c r="F36" s="8">
        <v>1.79</v>
      </c>
      <c r="G36" s="12">
        <v>9</v>
      </c>
      <c r="H36" s="8">
        <v>2.2200000000000002</v>
      </c>
      <c r="I36" s="12">
        <v>0</v>
      </c>
    </row>
    <row r="37" spans="2:9" ht="15" customHeight="1" x14ac:dyDescent="0.2">
      <c r="B37" t="s">
        <v>84</v>
      </c>
      <c r="C37" s="12">
        <v>27</v>
      </c>
      <c r="D37" s="8">
        <v>1.81</v>
      </c>
      <c r="E37" s="12">
        <v>26</v>
      </c>
      <c r="F37" s="8">
        <v>2.44</v>
      </c>
      <c r="G37" s="12">
        <v>1</v>
      </c>
      <c r="H37" s="8">
        <v>0.25</v>
      </c>
      <c r="I37" s="12">
        <v>0</v>
      </c>
    </row>
    <row r="38" spans="2:9" ht="15" customHeight="1" x14ac:dyDescent="0.2">
      <c r="B38" t="s">
        <v>67</v>
      </c>
      <c r="C38" s="12">
        <v>25</v>
      </c>
      <c r="D38" s="8">
        <v>1.68</v>
      </c>
      <c r="E38" s="12">
        <v>10</v>
      </c>
      <c r="F38" s="8">
        <v>0.94</v>
      </c>
      <c r="G38" s="12">
        <v>15</v>
      </c>
      <c r="H38" s="8">
        <v>3.7</v>
      </c>
      <c r="I38" s="12">
        <v>0</v>
      </c>
    </row>
    <row r="39" spans="2:9" ht="15" customHeight="1" x14ac:dyDescent="0.2">
      <c r="B39" t="s">
        <v>72</v>
      </c>
      <c r="C39" s="12">
        <v>25</v>
      </c>
      <c r="D39" s="8">
        <v>1.68</v>
      </c>
      <c r="E39" s="12">
        <v>6</v>
      </c>
      <c r="F39" s="8">
        <v>0.56000000000000005</v>
      </c>
      <c r="G39" s="12">
        <v>19</v>
      </c>
      <c r="H39" s="8">
        <v>4.6900000000000004</v>
      </c>
      <c r="I39" s="12">
        <v>0</v>
      </c>
    </row>
    <row r="40" spans="2:9" ht="15" customHeight="1" x14ac:dyDescent="0.2">
      <c r="B40" t="s">
        <v>74</v>
      </c>
      <c r="C40" s="12">
        <v>24</v>
      </c>
      <c r="D40" s="8">
        <v>1.61</v>
      </c>
      <c r="E40" s="12">
        <v>20</v>
      </c>
      <c r="F40" s="8">
        <v>1.88</v>
      </c>
      <c r="G40" s="12">
        <v>4</v>
      </c>
      <c r="H40" s="8">
        <v>0.99</v>
      </c>
      <c r="I40" s="12">
        <v>0</v>
      </c>
    </row>
    <row r="41" spans="2:9" ht="15" customHeight="1" x14ac:dyDescent="0.2">
      <c r="B41" t="s">
        <v>89</v>
      </c>
      <c r="C41" s="12">
        <v>21</v>
      </c>
      <c r="D41" s="8">
        <v>1.41</v>
      </c>
      <c r="E41" s="12">
        <v>13</v>
      </c>
      <c r="F41" s="8">
        <v>1.22</v>
      </c>
      <c r="G41" s="12">
        <v>8</v>
      </c>
      <c r="H41" s="8">
        <v>1.98</v>
      </c>
      <c r="I41" s="12">
        <v>0</v>
      </c>
    </row>
    <row r="42" spans="2:9" ht="15" customHeight="1" x14ac:dyDescent="0.2">
      <c r="B42" t="s">
        <v>76</v>
      </c>
      <c r="C42" s="12">
        <v>18</v>
      </c>
      <c r="D42" s="8">
        <v>1.21</v>
      </c>
      <c r="E42" s="12">
        <v>17</v>
      </c>
      <c r="F42" s="8">
        <v>1.6</v>
      </c>
      <c r="G42" s="12">
        <v>1</v>
      </c>
      <c r="H42" s="8">
        <v>0.25</v>
      </c>
      <c r="I42" s="12">
        <v>0</v>
      </c>
    </row>
    <row r="43" spans="2:9" ht="15" customHeight="1" x14ac:dyDescent="0.2">
      <c r="B43" t="s">
        <v>85</v>
      </c>
      <c r="C43" s="12">
        <v>17</v>
      </c>
      <c r="D43" s="8">
        <v>1.1399999999999999</v>
      </c>
      <c r="E43" s="12">
        <v>5</v>
      </c>
      <c r="F43" s="8">
        <v>0.47</v>
      </c>
      <c r="G43" s="12">
        <v>12</v>
      </c>
      <c r="H43" s="8">
        <v>2.96</v>
      </c>
      <c r="I43" s="12">
        <v>0</v>
      </c>
    </row>
    <row r="44" spans="2:9" ht="15" customHeight="1" x14ac:dyDescent="0.2">
      <c r="B44" t="s">
        <v>79</v>
      </c>
      <c r="C44" s="12">
        <v>17</v>
      </c>
      <c r="D44" s="8">
        <v>1.1399999999999999</v>
      </c>
      <c r="E44" s="12">
        <v>8</v>
      </c>
      <c r="F44" s="8">
        <v>0.75</v>
      </c>
      <c r="G44" s="12">
        <v>8</v>
      </c>
      <c r="H44" s="8">
        <v>1.98</v>
      </c>
      <c r="I44" s="12">
        <v>0</v>
      </c>
    </row>
    <row r="47" spans="2:9" ht="33" customHeight="1" x14ac:dyDescent="0.2">
      <c r="B47" t="s">
        <v>262</v>
      </c>
      <c r="C47" s="10" t="s">
        <v>58</v>
      </c>
      <c r="D47" s="10" t="s">
        <v>59</v>
      </c>
      <c r="E47" s="10" t="s">
        <v>60</v>
      </c>
      <c r="F47" s="10" t="s">
        <v>61</v>
      </c>
      <c r="G47" s="10" t="s">
        <v>62</v>
      </c>
      <c r="H47" s="10" t="s">
        <v>63</v>
      </c>
      <c r="I47" s="10" t="s">
        <v>64</v>
      </c>
    </row>
    <row r="48" spans="2:9" ht="15" customHeight="1" x14ac:dyDescent="0.2">
      <c r="B48" t="s">
        <v>136</v>
      </c>
      <c r="C48" s="12">
        <v>111</v>
      </c>
      <c r="D48" s="8">
        <v>7.46</v>
      </c>
      <c r="E48" s="12">
        <v>109</v>
      </c>
      <c r="F48" s="8">
        <v>10.24</v>
      </c>
      <c r="G48" s="12">
        <v>2</v>
      </c>
      <c r="H48" s="8">
        <v>0.49</v>
      </c>
      <c r="I48" s="12">
        <v>0</v>
      </c>
    </row>
    <row r="49" spans="2:9" ht="15" customHeight="1" x14ac:dyDescent="0.2">
      <c r="B49" t="s">
        <v>133</v>
      </c>
      <c r="C49" s="12">
        <v>106</v>
      </c>
      <c r="D49" s="8">
        <v>7.12</v>
      </c>
      <c r="E49" s="12">
        <v>105</v>
      </c>
      <c r="F49" s="8">
        <v>9.8699999999999992</v>
      </c>
      <c r="G49" s="12">
        <v>1</v>
      </c>
      <c r="H49" s="8">
        <v>0.25</v>
      </c>
      <c r="I49" s="12">
        <v>0</v>
      </c>
    </row>
    <row r="50" spans="2:9" ht="15" customHeight="1" x14ac:dyDescent="0.2">
      <c r="B50" t="s">
        <v>132</v>
      </c>
      <c r="C50" s="12">
        <v>59</v>
      </c>
      <c r="D50" s="8">
        <v>3.97</v>
      </c>
      <c r="E50" s="12">
        <v>54</v>
      </c>
      <c r="F50" s="8">
        <v>5.08</v>
      </c>
      <c r="G50" s="12">
        <v>4</v>
      </c>
      <c r="H50" s="8">
        <v>0.99</v>
      </c>
      <c r="I50" s="12">
        <v>1</v>
      </c>
    </row>
    <row r="51" spans="2:9" ht="15" customHeight="1" x14ac:dyDescent="0.2">
      <c r="B51" t="s">
        <v>135</v>
      </c>
      <c r="C51" s="12">
        <v>52</v>
      </c>
      <c r="D51" s="8">
        <v>3.49</v>
      </c>
      <c r="E51" s="12">
        <v>51</v>
      </c>
      <c r="F51" s="8">
        <v>4.79</v>
      </c>
      <c r="G51" s="12">
        <v>1</v>
      </c>
      <c r="H51" s="8">
        <v>0.25</v>
      </c>
      <c r="I51" s="12">
        <v>0</v>
      </c>
    </row>
    <row r="52" spans="2:9" ht="15" customHeight="1" x14ac:dyDescent="0.2">
      <c r="B52" t="s">
        <v>128</v>
      </c>
      <c r="C52" s="12">
        <v>51</v>
      </c>
      <c r="D52" s="8">
        <v>3.43</v>
      </c>
      <c r="E52" s="12">
        <v>34</v>
      </c>
      <c r="F52" s="8">
        <v>3.2</v>
      </c>
      <c r="G52" s="12">
        <v>17</v>
      </c>
      <c r="H52" s="8">
        <v>4.2</v>
      </c>
      <c r="I52" s="12">
        <v>0</v>
      </c>
    </row>
    <row r="53" spans="2:9" ht="15" customHeight="1" x14ac:dyDescent="0.2">
      <c r="B53" t="s">
        <v>131</v>
      </c>
      <c r="C53" s="12">
        <v>48</v>
      </c>
      <c r="D53" s="8">
        <v>3.23</v>
      </c>
      <c r="E53" s="12">
        <v>44</v>
      </c>
      <c r="F53" s="8">
        <v>4.1399999999999997</v>
      </c>
      <c r="G53" s="12">
        <v>4</v>
      </c>
      <c r="H53" s="8">
        <v>0.99</v>
      </c>
      <c r="I53" s="12">
        <v>0</v>
      </c>
    </row>
    <row r="54" spans="2:9" ht="15" customHeight="1" x14ac:dyDescent="0.2">
      <c r="B54" t="s">
        <v>153</v>
      </c>
      <c r="C54" s="12">
        <v>45</v>
      </c>
      <c r="D54" s="8">
        <v>3.02</v>
      </c>
      <c r="E54" s="12">
        <v>44</v>
      </c>
      <c r="F54" s="8">
        <v>4.1399999999999997</v>
      </c>
      <c r="G54" s="12">
        <v>1</v>
      </c>
      <c r="H54" s="8">
        <v>0.25</v>
      </c>
      <c r="I54" s="12">
        <v>0</v>
      </c>
    </row>
    <row r="55" spans="2:9" ht="15" customHeight="1" x14ac:dyDescent="0.2">
      <c r="B55" t="s">
        <v>123</v>
      </c>
      <c r="C55" s="12">
        <v>37</v>
      </c>
      <c r="D55" s="8">
        <v>2.4900000000000002</v>
      </c>
      <c r="E55" s="12">
        <v>34</v>
      </c>
      <c r="F55" s="8">
        <v>3.2</v>
      </c>
      <c r="G55" s="12">
        <v>3</v>
      </c>
      <c r="H55" s="8">
        <v>0.74</v>
      </c>
      <c r="I55" s="12">
        <v>0</v>
      </c>
    </row>
    <row r="56" spans="2:9" ht="15" customHeight="1" x14ac:dyDescent="0.2">
      <c r="B56" t="s">
        <v>139</v>
      </c>
      <c r="C56" s="12">
        <v>35</v>
      </c>
      <c r="D56" s="8">
        <v>2.35</v>
      </c>
      <c r="E56" s="12">
        <v>35</v>
      </c>
      <c r="F56" s="8">
        <v>3.29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149</v>
      </c>
      <c r="C57" s="12">
        <v>30</v>
      </c>
      <c r="D57" s="8">
        <v>2.02</v>
      </c>
      <c r="E57" s="12">
        <v>25</v>
      </c>
      <c r="F57" s="8">
        <v>2.35</v>
      </c>
      <c r="G57" s="12">
        <v>5</v>
      </c>
      <c r="H57" s="8">
        <v>1.23</v>
      </c>
      <c r="I57" s="12">
        <v>0</v>
      </c>
    </row>
    <row r="58" spans="2:9" ht="15" customHeight="1" x14ac:dyDescent="0.2">
      <c r="B58" t="s">
        <v>134</v>
      </c>
      <c r="C58" s="12">
        <v>30</v>
      </c>
      <c r="D58" s="8">
        <v>2.02</v>
      </c>
      <c r="E58" s="12">
        <v>29</v>
      </c>
      <c r="F58" s="8">
        <v>2.73</v>
      </c>
      <c r="G58" s="12">
        <v>1</v>
      </c>
      <c r="H58" s="8">
        <v>0.25</v>
      </c>
      <c r="I58" s="12">
        <v>0</v>
      </c>
    </row>
    <row r="59" spans="2:9" ht="15" customHeight="1" x14ac:dyDescent="0.2">
      <c r="B59" t="s">
        <v>126</v>
      </c>
      <c r="C59" s="12">
        <v>27</v>
      </c>
      <c r="D59" s="8">
        <v>1.81</v>
      </c>
      <c r="E59" s="12">
        <v>19</v>
      </c>
      <c r="F59" s="8">
        <v>1.79</v>
      </c>
      <c r="G59" s="12">
        <v>7</v>
      </c>
      <c r="H59" s="8">
        <v>1.73</v>
      </c>
      <c r="I59" s="12">
        <v>1</v>
      </c>
    </row>
    <row r="60" spans="2:9" ht="15" customHeight="1" x14ac:dyDescent="0.2">
      <c r="B60" t="s">
        <v>141</v>
      </c>
      <c r="C60" s="12">
        <v>27</v>
      </c>
      <c r="D60" s="8">
        <v>1.81</v>
      </c>
      <c r="E60" s="12">
        <v>26</v>
      </c>
      <c r="F60" s="8">
        <v>2.44</v>
      </c>
      <c r="G60" s="12">
        <v>1</v>
      </c>
      <c r="H60" s="8">
        <v>0.25</v>
      </c>
      <c r="I60" s="12">
        <v>0</v>
      </c>
    </row>
    <row r="61" spans="2:9" ht="15" customHeight="1" x14ac:dyDescent="0.2">
      <c r="B61" t="s">
        <v>122</v>
      </c>
      <c r="C61" s="12">
        <v>26</v>
      </c>
      <c r="D61" s="8">
        <v>1.75</v>
      </c>
      <c r="E61" s="12">
        <v>3</v>
      </c>
      <c r="F61" s="8">
        <v>0.28000000000000003</v>
      </c>
      <c r="G61" s="12">
        <v>23</v>
      </c>
      <c r="H61" s="8">
        <v>5.68</v>
      </c>
      <c r="I61" s="12">
        <v>0</v>
      </c>
    </row>
    <row r="62" spans="2:9" ht="15" customHeight="1" x14ac:dyDescent="0.2">
      <c r="B62" t="s">
        <v>129</v>
      </c>
      <c r="C62" s="12">
        <v>25</v>
      </c>
      <c r="D62" s="8">
        <v>1.68</v>
      </c>
      <c r="E62" s="12">
        <v>6</v>
      </c>
      <c r="F62" s="8">
        <v>0.56000000000000005</v>
      </c>
      <c r="G62" s="12">
        <v>17</v>
      </c>
      <c r="H62" s="8">
        <v>4.2</v>
      </c>
      <c r="I62" s="12">
        <v>0</v>
      </c>
    </row>
    <row r="63" spans="2:9" ht="15" customHeight="1" x14ac:dyDescent="0.2">
      <c r="B63" t="s">
        <v>144</v>
      </c>
      <c r="C63" s="12">
        <v>23</v>
      </c>
      <c r="D63" s="8">
        <v>1.55</v>
      </c>
      <c r="E63" s="12">
        <v>19</v>
      </c>
      <c r="F63" s="8">
        <v>1.79</v>
      </c>
      <c r="G63" s="12">
        <v>4</v>
      </c>
      <c r="H63" s="8">
        <v>0.99</v>
      </c>
      <c r="I63" s="12">
        <v>0</v>
      </c>
    </row>
    <row r="64" spans="2:9" ht="15" customHeight="1" x14ac:dyDescent="0.2">
      <c r="B64" t="s">
        <v>124</v>
      </c>
      <c r="C64" s="12">
        <v>23</v>
      </c>
      <c r="D64" s="8">
        <v>1.55</v>
      </c>
      <c r="E64" s="12">
        <v>22</v>
      </c>
      <c r="F64" s="8">
        <v>2.0699999999999998</v>
      </c>
      <c r="G64" s="12">
        <v>1</v>
      </c>
      <c r="H64" s="8">
        <v>0.25</v>
      </c>
      <c r="I64" s="12">
        <v>0</v>
      </c>
    </row>
    <row r="65" spans="2:9" ht="15" customHeight="1" x14ac:dyDescent="0.2">
      <c r="B65" t="s">
        <v>140</v>
      </c>
      <c r="C65" s="12">
        <v>23</v>
      </c>
      <c r="D65" s="8">
        <v>1.55</v>
      </c>
      <c r="E65" s="12">
        <v>22</v>
      </c>
      <c r="F65" s="8">
        <v>2.0699999999999998</v>
      </c>
      <c r="G65" s="12">
        <v>1</v>
      </c>
      <c r="H65" s="8">
        <v>0.25</v>
      </c>
      <c r="I65" s="12">
        <v>0</v>
      </c>
    </row>
    <row r="66" spans="2:9" ht="15" customHeight="1" x14ac:dyDescent="0.2">
      <c r="B66" t="s">
        <v>125</v>
      </c>
      <c r="C66" s="12">
        <v>21</v>
      </c>
      <c r="D66" s="8">
        <v>1.41</v>
      </c>
      <c r="E66" s="12">
        <v>9</v>
      </c>
      <c r="F66" s="8">
        <v>0.85</v>
      </c>
      <c r="G66" s="12">
        <v>12</v>
      </c>
      <c r="H66" s="8">
        <v>2.96</v>
      </c>
      <c r="I66" s="12">
        <v>0</v>
      </c>
    </row>
    <row r="67" spans="2:9" ht="15" customHeight="1" x14ac:dyDescent="0.2">
      <c r="B67" t="s">
        <v>127</v>
      </c>
      <c r="C67" s="12">
        <v>19</v>
      </c>
      <c r="D67" s="8">
        <v>1.28</v>
      </c>
      <c r="E67" s="12">
        <v>3</v>
      </c>
      <c r="F67" s="8">
        <v>0.28000000000000003</v>
      </c>
      <c r="G67" s="12">
        <v>16</v>
      </c>
      <c r="H67" s="8">
        <v>3.95</v>
      </c>
      <c r="I67" s="12">
        <v>0</v>
      </c>
    </row>
    <row r="69" spans="2:9" ht="15" customHeight="1" x14ac:dyDescent="0.2">
      <c r="B69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D62AF-C5CD-45A6-8B27-AFE38AE063BF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269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0.21</v>
      </c>
      <c r="I5" s="12">
        <v>0</v>
      </c>
    </row>
    <row r="6" spans="2:9" ht="15" customHeight="1" x14ac:dyDescent="0.2">
      <c r="B6" t="s">
        <v>43</v>
      </c>
      <c r="C6" s="12">
        <v>156</v>
      </c>
      <c r="D6" s="8">
        <v>10.59</v>
      </c>
      <c r="E6" s="12">
        <v>52</v>
      </c>
      <c r="F6" s="8">
        <v>5.24</v>
      </c>
      <c r="G6" s="12">
        <v>104</v>
      </c>
      <c r="H6" s="8">
        <v>22.27</v>
      </c>
      <c r="I6" s="12">
        <v>0</v>
      </c>
    </row>
    <row r="7" spans="2:9" ht="15" customHeight="1" x14ac:dyDescent="0.2">
      <c r="B7" t="s">
        <v>44</v>
      </c>
      <c r="C7" s="12">
        <v>99</v>
      </c>
      <c r="D7" s="8">
        <v>6.72</v>
      </c>
      <c r="E7" s="12">
        <v>39</v>
      </c>
      <c r="F7" s="8">
        <v>3.93</v>
      </c>
      <c r="G7" s="12">
        <v>60</v>
      </c>
      <c r="H7" s="8">
        <v>12.85</v>
      </c>
      <c r="I7" s="12">
        <v>0</v>
      </c>
    </row>
    <row r="8" spans="2:9" ht="15" customHeight="1" x14ac:dyDescent="0.2">
      <c r="B8" t="s">
        <v>45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46</v>
      </c>
      <c r="C9" s="12">
        <v>6</v>
      </c>
      <c r="D9" s="8">
        <v>0.41</v>
      </c>
      <c r="E9" s="12">
        <v>1</v>
      </c>
      <c r="F9" s="8">
        <v>0.1</v>
      </c>
      <c r="G9" s="12">
        <v>5</v>
      </c>
      <c r="H9" s="8">
        <v>1.07</v>
      </c>
      <c r="I9" s="12">
        <v>0</v>
      </c>
    </row>
    <row r="10" spans="2:9" ht="15" customHeight="1" x14ac:dyDescent="0.2">
      <c r="B10" t="s">
        <v>47</v>
      </c>
      <c r="C10" s="12">
        <v>34</v>
      </c>
      <c r="D10" s="8">
        <v>2.31</v>
      </c>
      <c r="E10" s="12">
        <v>25</v>
      </c>
      <c r="F10" s="8">
        <v>2.52</v>
      </c>
      <c r="G10" s="12">
        <v>9</v>
      </c>
      <c r="H10" s="8">
        <v>1.93</v>
      </c>
      <c r="I10" s="12">
        <v>0</v>
      </c>
    </row>
    <row r="11" spans="2:9" ht="15" customHeight="1" x14ac:dyDescent="0.2">
      <c r="B11" t="s">
        <v>48</v>
      </c>
      <c r="C11" s="12">
        <v>337</v>
      </c>
      <c r="D11" s="8">
        <v>22.88</v>
      </c>
      <c r="E11" s="12">
        <v>244</v>
      </c>
      <c r="F11" s="8">
        <v>24.6</v>
      </c>
      <c r="G11" s="12">
        <v>93</v>
      </c>
      <c r="H11" s="8">
        <v>19.91</v>
      </c>
      <c r="I11" s="12">
        <v>0</v>
      </c>
    </row>
    <row r="12" spans="2:9" ht="15" customHeight="1" x14ac:dyDescent="0.2">
      <c r="B12" t="s">
        <v>49</v>
      </c>
      <c r="C12" s="12">
        <v>7</v>
      </c>
      <c r="D12" s="8">
        <v>0.48</v>
      </c>
      <c r="E12" s="12">
        <v>5</v>
      </c>
      <c r="F12" s="8">
        <v>0.5</v>
      </c>
      <c r="G12" s="12">
        <v>2</v>
      </c>
      <c r="H12" s="8">
        <v>0.43</v>
      </c>
      <c r="I12" s="12">
        <v>0</v>
      </c>
    </row>
    <row r="13" spans="2:9" ht="15" customHeight="1" x14ac:dyDescent="0.2">
      <c r="B13" t="s">
        <v>50</v>
      </c>
      <c r="C13" s="12">
        <v>148</v>
      </c>
      <c r="D13" s="8">
        <v>10.050000000000001</v>
      </c>
      <c r="E13" s="12">
        <v>73</v>
      </c>
      <c r="F13" s="8">
        <v>7.36</v>
      </c>
      <c r="G13" s="12">
        <v>74</v>
      </c>
      <c r="H13" s="8">
        <v>15.85</v>
      </c>
      <c r="I13" s="12">
        <v>0</v>
      </c>
    </row>
    <row r="14" spans="2:9" ht="15" customHeight="1" x14ac:dyDescent="0.2">
      <c r="B14" t="s">
        <v>51</v>
      </c>
      <c r="C14" s="12">
        <v>60</v>
      </c>
      <c r="D14" s="8">
        <v>4.07</v>
      </c>
      <c r="E14" s="12">
        <v>38</v>
      </c>
      <c r="F14" s="8">
        <v>3.83</v>
      </c>
      <c r="G14" s="12">
        <v>20</v>
      </c>
      <c r="H14" s="8">
        <v>4.28</v>
      </c>
      <c r="I14" s="12">
        <v>2</v>
      </c>
    </row>
    <row r="15" spans="2:9" ht="15" customHeight="1" x14ac:dyDescent="0.2">
      <c r="B15" t="s">
        <v>52</v>
      </c>
      <c r="C15" s="12">
        <v>220</v>
      </c>
      <c r="D15" s="8">
        <v>14.94</v>
      </c>
      <c r="E15" s="12">
        <v>198</v>
      </c>
      <c r="F15" s="8">
        <v>19.96</v>
      </c>
      <c r="G15" s="12">
        <v>21</v>
      </c>
      <c r="H15" s="8">
        <v>4.5</v>
      </c>
      <c r="I15" s="12">
        <v>0</v>
      </c>
    </row>
    <row r="16" spans="2:9" ht="15" customHeight="1" x14ac:dyDescent="0.2">
      <c r="B16" t="s">
        <v>53</v>
      </c>
      <c r="C16" s="12">
        <v>180</v>
      </c>
      <c r="D16" s="8">
        <v>12.22</v>
      </c>
      <c r="E16" s="12">
        <v>152</v>
      </c>
      <c r="F16" s="8">
        <v>15.32</v>
      </c>
      <c r="G16" s="12">
        <v>28</v>
      </c>
      <c r="H16" s="8">
        <v>6</v>
      </c>
      <c r="I16" s="12">
        <v>0</v>
      </c>
    </row>
    <row r="17" spans="2:9" ht="15" customHeight="1" x14ac:dyDescent="0.2">
      <c r="B17" t="s">
        <v>54</v>
      </c>
      <c r="C17" s="12">
        <v>85</v>
      </c>
      <c r="D17" s="8">
        <v>5.77</v>
      </c>
      <c r="E17" s="12">
        <v>78</v>
      </c>
      <c r="F17" s="8">
        <v>7.86</v>
      </c>
      <c r="G17" s="12">
        <v>4</v>
      </c>
      <c r="H17" s="8">
        <v>0.86</v>
      </c>
      <c r="I17" s="12">
        <v>0</v>
      </c>
    </row>
    <row r="18" spans="2:9" ht="15" customHeight="1" x14ac:dyDescent="0.2">
      <c r="B18" t="s">
        <v>55</v>
      </c>
      <c r="C18" s="12">
        <v>58</v>
      </c>
      <c r="D18" s="8">
        <v>3.94</v>
      </c>
      <c r="E18" s="12">
        <v>25</v>
      </c>
      <c r="F18" s="8">
        <v>2.52</v>
      </c>
      <c r="G18" s="12">
        <v>28</v>
      </c>
      <c r="H18" s="8">
        <v>6</v>
      </c>
      <c r="I18" s="12">
        <v>0</v>
      </c>
    </row>
    <row r="19" spans="2:9" ht="15" customHeight="1" x14ac:dyDescent="0.2">
      <c r="B19" t="s">
        <v>56</v>
      </c>
      <c r="C19" s="12">
        <v>82</v>
      </c>
      <c r="D19" s="8">
        <v>5.57</v>
      </c>
      <c r="E19" s="12">
        <v>62</v>
      </c>
      <c r="F19" s="8">
        <v>6.25</v>
      </c>
      <c r="G19" s="12">
        <v>18</v>
      </c>
      <c r="H19" s="8">
        <v>3.85</v>
      </c>
      <c r="I19" s="12">
        <v>2</v>
      </c>
    </row>
    <row r="20" spans="2:9" ht="15" customHeight="1" x14ac:dyDescent="0.2">
      <c r="B20" s="9" t="s">
        <v>260</v>
      </c>
      <c r="C20" s="12">
        <f>SUM(LTBL_47210[総数／事業所数])</f>
        <v>1473</v>
      </c>
      <c r="E20" s="12">
        <f>SUBTOTAL(109,LTBL_47210[個人／事業所数])</f>
        <v>992</v>
      </c>
      <c r="G20" s="12">
        <f>SUBTOTAL(109,LTBL_47210[法人／事業所数])</f>
        <v>467</v>
      </c>
      <c r="I20" s="12">
        <f>SUBTOTAL(109,LTBL_47210[法人以外の団体／事業所数])</f>
        <v>4</v>
      </c>
    </row>
    <row r="21" spans="2:9" ht="15" customHeight="1" x14ac:dyDescent="0.2">
      <c r="E21" s="11">
        <f>LTBL_47210[[#Totals],[個人／事業所数]]/LTBL_47210[[#Totals],[総数／事業所数]]</f>
        <v>0.67345553292600135</v>
      </c>
      <c r="G21" s="11">
        <f>LTBL_47210[[#Totals],[法人／事業所数]]/LTBL_47210[[#Totals],[総数／事業所数]]</f>
        <v>0.31704005431093008</v>
      </c>
      <c r="I21" s="11">
        <f>LTBL_47210[[#Totals],[法人以外の団体／事業所数]]/LTBL_47210[[#Totals],[総数／事業所数]]</f>
        <v>2.7155465037338763E-3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77</v>
      </c>
      <c r="C24" s="12">
        <v>191</v>
      </c>
      <c r="D24" s="8">
        <v>12.97</v>
      </c>
      <c r="E24" s="12">
        <v>179</v>
      </c>
      <c r="F24" s="8">
        <v>18.04</v>
      </c>
      <c r="G24" s="12">
        <v>12</v>
      </c>
      <c r="H24" s="8">
        <v>2.57</v>
      </c>
      <c r="I24" s="12">
        <v>0</v>
      </c>
    </row>
    <row r="25" spans="2:9" ht="15" customHeight="1" x14ac:dyDescent="0.2">
      <c r="B25" t="s">
        <v>78</v>
      </c>
      <c r="C25" s="12">
        <v>143</v>
      </c>
      <c r="D25" s="8">
        <v>9.7100000000000009</v>
      </c>
      <c r="E25" s="12">
        <v>130</v>
      </c>
      <c r="F25" s="8">
        <v>13.1</v>
      </c>
      <c r="G25" s="12">
        <v>13</v>
      </c>
      <c r="H25" s="8">
        <v>2.78</v>
      </c>
      <c r="I25" s="12">
        <v>0</v>
      </c>
    </row>
    <row r="26" spans="2:9" ht="15" customHeight="1" x14ac:dyDescent="0.2">
      <c r="B26" t="s">
        <v>73</v>
      </c>
      <c r="C26" s="12">
        <v>120</v>
      </c>
      <c r="D26" s="8">
        <v>8.15</v>
      </c>
      <c r="E26" s="12">
        <v>65</v>
      </c>
      <c r="F26" s="8">
        <v>6.55</v>
      </c>
      <c r="G26" s="12">
        <v>54</v>
      </c>
      <c r="H26" s="8">
        <v>11.56</v>
      </c>
      <c r="I26" s="12">
        <v>0</v>
      </c>
    </row>
    <row r="27" spans="2:9" ht="15" customHeight="1" x14ac:dyDescent="0.2">
      <c r="B27" t="s">
        <v>69</v>
      </c>
      <c r="C27" s="12">
        <v>106</v>
      </c>
      <c r="D27" s="8">
        <v>7.2</v>
      </c>
      <c r="E27" s="12">
        <v>93</v>
      </c>
      <c r="F27" s="8">
        <v>9.3800000000000008</v>
      </c>
      <c r="G27" s="12">
        <v>13</v>
      </c>
      <c r="H27" s="8">
        <v>2.78</v>
      </c>
      <c r="I27" s="12">
        <v>0</v>
      </c>
    </row>
    <row r="28" spans="2:9" ht="15" customHeight="1" x14ac:dyDescent="0.2">
      <c r="B28" t="s">
        <v>71</v>
      </c>
      <c r="C28" s="12">
        <v>97</v>
      </c>
      <c r="D28" s="8">
        <v>6.59</v>
      </c>
      <c r="E28" s="12">
        <v>82</v>
      </c>
      <c r="F28" s="8">
        <v>8.27</v>
      </c>
      <c r="G28" s="12">
        <v>15</v>
      </c>
      <c r="H28" s="8">
        <v>3.21</v>
      </c>
      <c r="I28" s="12">
        <v>0</v>
      </c>
    </row>
    <row r="29" spans="2:9" ht="15" customHeight="1" x14ac:dyDescent="0.2">
      <c r="B29" t="s">
        <v>81</v>
      </c>
      <c r="C29" s="12">
        <v>85</v>
      </c>
      <c r="D29" s="8">
        <v>5.77</v>
      </c>
      <c r="E29" s="12">
        <v>78</v>
      </c>
      <c r="F29" s="8">
        <v>7.86</v>
      </c>
      <c r="G29" s="12">
        <v>4</v>
      </c>
      <c r="H29" s="8">
        <v>0.86</v>
      </c>
      <c r="I29" s="12">
        <v>0</v>
      </c>
    </row>
    <row r="30" spans="2:9" ht="15" customHeight="1" x14ac:dyDescent="0.2">
      <c r="B30" t="s">
        <v>65</v>
      </c>
      <c r="C30" s="12">
        <v>78</v>
      </c>
      <c r="D30" s="8">
        <v>5.3</v>
      </c>
      <c r="E30" s="12">
        <v>14</v>
      </c>
      <c r="F30" s="8">
        <v>1.41</v>
      </c>
      <c r="G30" s="12">
        <v>64</v>
      </c>
      <c r="H30" s="8">
        <v>13.7</v>
      </c>
      <c r="I30" s="12">
        <v>0</v>
      </c>
    </row>
    <row r="31" spans="2:9" ht="15" customHeight="1" x14ac:dyDescent="0.2">
      <c r="B31" t="s">
        <v>84</v>
      </c>
      <c r="C31" s="12">
        <v>52</v>
      </c>
      <c r="D31" s="8">
        <v>3.53</v>
      </c>
      <c r="E31" s="12">
        <v>49</v>
      </c>
      <c r="F31" s="8">
        <v>4.9400000000000004</v>
      </c>
      <c r="G31" s="12">
        <v>3</v>
      </c>
      <c r="H31" s="8">
        <v>0.64</v>
      </c>
      <c r="I31" s="12">
        <v>0</v>
      </c>
    </row>
    <row r="32" spans="2:9" ht="15" customHeight="1" x14ac:dyDescent="0.2">
      <c r="B32" t="s">
        <v>66</v>
      </c>
      <c r="C32" s="12">
        <v>44</v>
      </c>
      <c r="D32" s="8">
        <v>2.99</v>
      </c>
      <c r="E32" s="12">
        <v>22</v>
      </c>
      <c r="F32" s="8">
        <v>2.2200000000000002</v>
      </c>
      <c r="G32" s="12">
        <v>22</v>
      </c>
      <c r="H32" s="8">
        <v>4.71</v>
      </c>
      <c r="I32" s="12">
        <v>0</v>
      </c>
    </row>
    <row r="33" spans="2:9" ht="15" customHeight="1" x14ac:dyDescent="0.2">
      <c r="B33" t="s">
        <v>67</v>
      </c>
      <c r="C33" s="12">
        <v>34</v>
      </c>
      <c r="D33" s="8">
        <v>2.31</v>
      </c>
      <c r="E33" s="12">
        <v>16</v>
      </c>
      <c r="F33" s="8">
        <v>1.61</v>
      </c>
      <c r="G33" s="12">
        <v>18</v>
      </c>
      <c r="H33" s="8">
        <v>3.85</v>
      </c>
      <c r="I33" s="12">
        <v>0</v>
      </c>
    </row>
    <row r="34" spans="2:9" ht="15" customHeight="1" x14ac:dyDescent="0.2">
      <c r="B34" t="s">
        <v>83</v>
      </c>
      <c r="C34" s="12">
        <v>32</v>
      </c>
      <c r="D34" s="8">
        <v>2.17</v>
      </c>
      <c r="E34" s="12">
        <v>1</v>
      </c>
      <c r="F34" s="8">
        <v>0.1</v>
      </c>
      <c r="G34" s="12">
        <v>26</v>
      </c>
      <c r="H34" s="8">
        <v>5.57</v>
      </c>
      <c r="I34" s="12">
        <v>0</v>
      </c>
    </row>
    <row r="35" spans="2:9" ht="15" customHeight="1" x14ac:dyDescent="0.2">
      <c r="B35" t="s">
        <v>75</v>
      </c>
      <c r="C35" s="12">
        <v>31</v>
      </c>
      <c r="D35" s="8">
        <v>2.1</v>
      </c>
      <c r="E35" s="12">
        <v>15</v>
      </c>
      <c r="F35" s="8">
        <v>1.51</v>
      </c>
      <c r="G35" s="12">
        <v>15</v>
      </c>
      <c r="H35" s="8">
        <v>3.21</v>
      </c>
      <c r="I35" s="12">
        <v>1</v>
      </c>
    </row>
    <row r="36" spans="2:9" ht="15" customHeight="1" x14ac:dyDescent="0.2">
      <c r="B36" t="s">
        <v>70</v>
      </c>
      <c r="C36" s="12">
        <v>30</v>
      </c>
      <c r="D36" s="8">
        <v>2.04</v>
      </c>
      <c r="E36" s="12">
        <v>26</v>
      </c>
      <c r="F36" s="8">
        <v>2.62</v>
      </c>
      <c r="G36" s="12">
        <v>4</v>
      </c>
      <c r="H36" s="8">
        <v>0.86</v>
      </c>
      <c r="I36" s="12">
        <v>0</v>
      </c>
    </row>
    <row r="37" spans="2:9" ht="15" customHeight="1" x14ac:dyDescent="0.2">
      <c r="B37" t="s">
        <v>68</v>
      </c>
      <c r="C37" s="12">
        <v>27</v>
      </c>
      <c r="D37" s="8">
        <v>1.83</v>
      </c>
      <c r="E37" s="12">
        <v>23</v>
      </c>
      <c r="F37" s="8">
        <v>2.3199999999999998</v>
      </c>
      <c r="G37" s="12">
        <v>4</v>
      </c>
      <c r="H37" s="8">
        <v>0.86</v>
      </c>
      <c r="I37" s="12">
        <v>0</v>
      </c>
    </row>
    <row r="38" spans="2:9" ht="15" customHeight="1" x14ac:dyDescent="0.2">
      <c r="B38" t="s">
        <v>74</v>
      </c>
      <c r="C38" s="12">
        <v>26</v>
      </c>
      <c r="D38" s="8">
        <v>1.77</v>
      </c>
      <c r="E38" s="12">
        <v>22</v>
      </c>
      <c r="F38" s="8">
        <v>2.2200000000000002</v>
      </c>
      <c r="G38" s="12">
        <v>4</v>
      </c>
      <c r="H38" s="8">
        <v>0.86</v>
      </c>
      <c r="I38" s="12">
        <v>0</v>
      </c>
    </row>
    <row r="39" spans="2:9" ht="15" customHeight="1" x14ac:dyDescent="0.2">
      <c r="B39" t="s">
        <v>82</v>
      </c>
      <c r="C39" s="12">
        <v>26</v>
      </c>
      <c r="D39" s="8">
        <v>1.77</v>
      </c>
      <c r="E39" s="12">
        <v>24</v>
      </c>
      <c r="F39" s="8">
        <v>2.42</v>
      </c>
      <c r="G39" s="12">
        <v>2</v>
      </c>
      <c r="H39" s="8">
        <v>0.43</v>
      </c>
      <c r="I39" s="12">
        <v>0</v>
      </c>
    </row>
    <row r="40" spans="2:9" ht="15" customHeight="1" x14ac:dyDescent="0.2">
      <c r="B40" t="s">
        <v>88</v>
      </c>
      <c r="C40" s="12">
        <v>24</v>
      </c>
      <c r="D40" s="8">
        <v>1.63</v>
      </c>
      <c r="E40" s="12">
        <v>11</v>
      </c>
      <c r="F40" s="8">
        <v>1.1100000000000001</v>
      </c>
      <c r="G40" s="12">
        <v>13</v>
      </c>
      <c r="H40" s="8">
        <v>2.78</v>
      </c>
      <c r="I40" s="12">
        <v>0</v>
      </c>
    </row>
    <row r="41" spans="2:9" ht="15" customHeight="1" x14ac:dyDescent="0.2">
      <c r="B41" t="s">
        <v>90</v>
      </c>
      <c r="C41" s="12">
        <v>24</v>
      </c>
      <c r="D41" s="8">
        <v>1.63</v>
      </c>
      <c r="E41" s="12">
        <v>3</v>
      </c>
      <c r="F41" s="8">
        <v>0.3</v>
      </c>
      <c r="G41" s="12">
        <v>21</v>
      </c>
      <c r="H41" s="8">
        <v>4.5</v>
      </c>
      <c r="I41" s="12">
        <v>0</v>
      </c>
    </row>
    <row r="42" spans="2:9" ht="15" customHeight="1" x14ac:dyDescent="0.2">
      <c r="B42" t="s">
        <v>79</v>
      </c>
      <c r="C42" s="12">
        <v>24</v>
      </c>
      <c r="D42" s="8">
        <v>1.63</v>
      </c>
      <c r="E42" s="12">
        <v>13</v>
      </c>
      <c r="F42" s="8">
        <v>1.31</v>
      </c>
      <c r="G42" s="12">
        <v>11</v>
      </c>
      <c r="H42" s="8">
        <v>2.36</v>
      </c>
      <c r="I42" s="12">
        <v>0</v>
      </c>
    </row>
    <row r="43" spans="2:9" ht="15" customHeight="1" x14ac:dyDescent="0.2">
      <c r="B43" t="s">
        <v>72</v>
      </c>
      <c r="C43" s="12">
        <v>19</v>
      </c>
      <c r="D43" s="8">
        <v>1.29</v>
      </c>
      <c r="E43" s="12">
        <v>3</v>
      </c>
      <c r="F43" s="8">
        <v>0.3</v>
      </c>
      <c r="G43" s="12">
        <v>16</v>
      </c>
      <c r="H43" s="8">
        <v>3.43</v>
      </c>
      <c r="I43" s="12">
        <v>0</v>
      </c>
    </row>
    <row r="44" spans="2:9" ht="15" customHeight="1" x14ac:dyDescent="0.2">
      <c r="B44" t="s">
        <v>91</v>
      </c>
      <c r="C44" s="12">
        <v>19</v>
      </c>
      <c r="D44" s="8">
        <v>1.29</v>
      </c>
      <c r="E44" s="12">
        <v>13</v>
      </c>
      <c r="F44" s="8">
        <v>1.31</v>
      </c>
      <c r="G44" s="12">
        <v>6</v>
      </c>
      <c r="H44" s="8">
        <v>1.28</v>
      </c>
      <c r="I44" s="12">
        <v>0</v>
      </c>
    </row>
    <row r="47" spans="2:9" ht="33" customHeight="1" x14ac:dyDescent="0.2">
      <c r="B47" t="s">
        <v>262</v>
      </c>
      <c r="C47" s="10" t="s">
        <v>58</v>
      </c>
      <c r="D47" s="10" t="s">
        <v>59</v>
      </c>
      <c r="E47" s="10" t="s">
        <v>60</v>
      </c>
      <c r="F47" s="10" t="s">
        <v>61</v>
      </c>
      <c r="G47" s="10" t="s">
        <v>62</v>
      </c>
      <c r="H47" s="10" t="s">
        <v>63</v>
      </c>
      <c r="I47" s="10" t="s">
        <v>64</v>
      </c>
    </row>
    <row r="48" spans="2:9" ht="15" customHeight="1" x14ac:dyDescent="0.2">
      <c r="B48" t="s">
        <v>128</v>
      </c>
      <c r="C48" s="12">
        <v>90</v>
      </c>
      <c r="D48" s="8">
        <v>6.11</v>
      </c>
      <c r="E48" s="12">
        <v>56</v>
      </c>
      <c r="F48" s="8">
        <v>5.65</v>
      </c>
      <c r="G48" s="12">
        <v>34</v>
      </c>
      <c r="H48" s="8">
        <v>7.28</v>
      </c>
      <c r="I48" s="12">
        <v>0</v>
      </c>
    </row>
    <row r="49" spans="2:9" ht="15" customHeight="1" x14ac:dyDescent="0.2">
      <c r="B49" t="s">
        <v>136</v>
      </c>
      <c r="C49" s="12">
        <v>79</v>
      </c>
      <c r="D49" s="8">
        <v>5.36</v>
      </c>
      <c r="E49" s="12">
        <v>75</v>
      </c>
      <c r="F49" s="8">
        <v>7.56</v>
      </c>
      <c r="G49" s="12">
        <v>4</v>
      </c>
      <c r="H49" s="8">
        <v>0.86</v>
      </c>
      <c r="I49" s="12">
        <v>0</v>
      </c>
    </row>
    <row r="50" spans="2:9" ht="15" customHeight="1" x14ac:dyDescent="0.2">
      <c r="B50" t="s">
        <v>133</v>
      </c>
      <c r="C50" s="12">
        <v>67</v>
      </c>
      <c r="D50" s="8">
        <v>4.55</v>
      </c>
      <c r="E50" s="12">
        <v>66</v>
      </c>
      <c r="F50" s="8">
        <v>6.65</v>
      </c>
      <c r="G50" s="12">
        <v>1</v>
      </c>
      <c r="H50" s="8">
        <v>0.21</v>
      </c>
      <c r="I50" s="12">
        <v>0</v>
      </c>
    </row>
    <row r="51" spans="2:9" ht="15" customHeight="1" x14ac:dyDescent="0.2">
      <c r="B51" t="s">
        <v>132</v>
      </c>
      <c r="C51" s="12">
        <v>60</v>
      </c>
      <c r="D51" s="8">
        <v>4.07</v>
      </c>
      <c r="E51" s="12">
        <v>56</v>
      </c>
      <c r="F51" s="8">
        <v>5.65</v>
      </c>
      <c r="G51" s="12">
        <v>4</v>
      </c>
      <c r="H51" s="8">
        <v>0.86</v>
      </c>
      <c r="I51" s="12">
        <v>0</v>
      </c>
    </row>
    <row r="52" spans="2:9" ht="15" customHeight="1" x14ac:dyDescent="0.2">
      <c r="B52" t="s">
        <v>139</v>
      </c>
      <c r="C52" s="12">
        <v>52</v>
      </c>
      <c r="D52" s="8">
        <v>3.53</v>
      </c>
      <c r="E52" s="12">
        <v>50</v>
      </c>
      <c r="F52" s="8">
        <v>5.04</v>
      </c>
      <c r="G52" s="12">
        <v>2</v>
      </c>
      <c r="H52" s="8">
        <v>0.43</v>
      </c>
      <c r="I52" s="12">
        <v>0</v>
      </c>
    </row>
    <row r="53" spans="2:9" ht="15" customHeight="1" x14ac:dyDescent="0.2">
      <c r="B53" t="s">
        <v>141</v>
      </c>
      <c r="C53" s="12">
        <v>52</v>
      </c>
      <c r="D53" s="8">
        <v>3.53</v>
      </c>
      <c r="E53" s="12">
        <v>49</v>
      </c>
      <c r="F53" s="8">
        <v>4.9400000000000004</v>
      </c>
      <c r="G53" s="12">
        <v>3</v>
      </c>
      <c r="H53" s="8">
        <v>0.64</v>
      </c>
      <c r="I53" s="12">
        <v>0</v>
      </c>
    </row>
    <row r="54" spans="2:9" ht="15" customHeight="1" x14ac:dyDescent="0.2">
      <c r="B54" t="s">
        <v>123</v>
      </c>
      <c r="C54" s="12">
        <v>43</v>
      </c>
      <c r="D54" s="8">
        <v>2.92</v>
      </c>
      <c r="E54" s="12">
        <v>35</v>
      </c>
      <c r="F54" s="8">
        <v>3.53</v>
      </c>
      <c r="G54" s="12">
        <v>8</v>
      </c>
      <c r="H54" s="8">
        <v>1.71</v>
      </c>
      <c r="I54" s="12">
        <v>0</v>
      </c>
    </row>
    <row r="55" spans="2:9" ht="15" customHeight="1" x14ac:dyDescent="0.2">
      <c r="B55" t="s">
        <v>135</v>
      </c>
      <c r="C55" s="12">
        <v>39</v>
      </c>
      <c r="D55" s="8">
        <v>2.65</v>
      </c>
      <c r="E55" s="12">
        <v>38</v>
      </c>
      <c r="F55" s="8">
        <v>3.83</v>
      </c>
      <c r="G55" s="12">
        <v>1</v>
      </c>
      <c r="H55" s="8">
        <v>0.21</v>
      </c>
      <c r="I55" s="12">
        <v>0</v>
      </c>
    </row>
    <row r="56" spans="2:9" ht="15" customHeight="1" x14ac:dyDescent="0.2">
      <c r="B56" t="s">
        <v>122</v>
      </c>
      <c r="C56" s="12">
        <v>33</v>
      </c>
      <c r="D56" s="8">
        <v>2.2400000000000002</v>
      </c>
      <c r="E56" s="12">
        <v>5</v>
      </c>
      <c r="F56" s="8">
        <v>0.5</v>
      </c>
      <c r="G56" s="12">
        <v>28</v>
      </c>
      <c r="H56" s="8">
        <v>6</v>
      </c>
      <c r="I56" s="12">
        <v>0</v>
      </c>
    </row>
    <row r="57" spans="2:9" ht="15" customHeight="1" x14ac:dyDescent="0.2">
      <c r="B57" t="s">
        <v>153</v>
      </c>
      <c r="C57" s="12">
        <v>30</v>
      </c>
      <c r="D57" s="8">
        <v>2.04</v>
      </c>
      <c r="E57" s="12">
        <v>28</v>
      </c>
      <c r="F57" s="8">
        <v>2.82</v>
      </c>
      <c r="G57" s="12">
        <v>2</v>
      </c>
      <c r="H57" s="8">
        <v>0.43</v>
      </c>
      <c r="I57" s="12">
        <v>0</v>
      </c>
    </row>
    <row r="58" spans="2:9" ht="15" customHeight="1" x14ac:dyDescent="0.2">
      <c r="B58" t="s">
        <v>138</v>
      </c>
      <c r="C58" s="12">
        <v>27</v>
      </c>
      <c r="D58" s="8">
        <v>1.83</v>
      </c>
      <c r="E58" s="12">
        <v>27</v>
      </c>
      <c r="F58" s="8">
        <v>2.72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144</v>
      </c>
      <c r="C59" s="12">
        <v>25</v>
      </c>
      <c r="D59" s="8">
        <v>1.7</v>
      </c>
      <c r="E59" s="12">
        <v>24</v>
      </c>
      <c r="F59" s="8">
        <v>2.42</v>
      </c>
      <c r="G59" s="12">
        <v>1</v>
      </c>
      <c r="H59" s="8">
        <v>0.21</v>
      </c>
      <c r="I59" s="12">
        <v>0</v>
      </c>
    </row>
    <row r="60" spans="2:9" ht="15" customHeight="1" x14ac:dyDescent="0.2">
      <c r="B60" t="s">
        <v>129</v>
      </c>
      <c r="C60" s="12">
        <v>22</v>
      </c>
      <c r="D60" s="8">
        <v>1.49</v>
      </c>
      <c r="E60" s="12">
        <v>10</v>
      </c>
      <c r="F60" s="8">
        <v>1.01</v>
      </c>
      <c r="G60" s="12">
        <v>11</v>
      </c>
      <c r="H60" s="8">
        <v>2.36</v>
      </c>
      <c r="I60" s="12">
        <v>1</v>
      </c>
    </row>
    <row r="61" spans="2:9" ht="15" customHeight="1" x14ac:dyDescent="0.2">
      <c r="B61" t="s">
        <v>151</v>
      </c>
      <c r="C61" s="12">
        <v>21</v>
      </c>
      <c r="D61" s="8">
        <v>1.43</v>
      </c>
      <c r="E61" s="12">
        <v>4</v>
      </c>
      <c r="F61" s="8">
        <v>0.4</v>
      </c>
      <c r="G61" s="12">
        <v>17</v>
      </c>
      <c r="H61" s="8">
        <v>3.64</v>
      </c>
      <c r="I61" s="12">
        <v>0</v>
      </c>
    </row>
    <row r="62" spans="2:9" ht="15" customHeight="1" x14ac:dyDescent="0.2">
      <c r="B62" t="s">
        <v>126</v>
      </c>
      <c r="C62" s="12">
        <v>21</v>
      </c>
      <c r="D62" s="8">
        <v>1.43</v>
      </c>
      <c r="E62" s="12">
        <v>16</v>
      </c>
      <c r="F62" s="8">
        <v>1.61</v>
      </c>
      <c r="G62" s="12">
        <v>5</v>
      </c>
      <c r="H62" s="8">
        <v>1.07</v>
      </c>
      <c r="I62" s="12">
        <v>0</v>
      </c>
    </row>
    <row r="63" spans="2:9" ht="15" customHeight="1" x14ac:dyDescent="0.2">
      <c r="B63" t="s">
        <v>152</v>
      </c>
      <c r="C63" s="12">
        <v>21</v>
      </c>
      <c r="D63" s="8">
        <v>1.43</v>
      </c>
      <c r="E63" s="12">
        <v>1</v>
      </c>
      <c r="F63" s="8">
        <v>0.1</v>
      </c>
      <c r="G63" s="12">
        <v>15</v>
      </c>
      <c r="H63" s="8">
        <v>3.21</v>
      </c>
      <c r="I63" s="12">
        <v>0</v>
      </c>
    </row>
    <row r="64" spans="2:9" ht="15" customHeight="1" x14ac:dyDescent="0.2">
      <c r="B64" t="s">
        <v>124</v>
      </c>
      <c r="C64" s="12">
        <v>20</v>
      </c>
      <c r="D64" s="8">
        <v>1.36</v>
      </c>
      <c r="E64" s="12">
        <v>19</v>
      </c>
      <c r="F64" s="8">
        <v>1.92</v>
      </c>
      <c r="G64" s="12">
        <v>1</v>
      </c>
      <c r="H64" s="8">
        <v>0.21</v>
      </c>
      <c r="I64" s="12">
        <v>0</v>
      </c>
    </row>
    <row r="65" spans="2:9" ht="15" customHeight="1" x14ac:dyDescent="0.2">
      <c r="B65" t="s">
        <v>127</v>
      </c>
      <c r="C65" s="12">
        <v>20</v>
      </c>
      <c r="D65" s="8">
        <v>1.36</v>
      </c>
      <c r="E65" s="12">
        <v>7</v>
      </c>
      <c r="F65" s="8">
        <v>0.71</v>
      </c>
      <c r="G65" s="12">
        <v>13</v>
      </c>
      <c r="H65" s="8">
        <v>2.78</v>
      </c>
      <c r="I65" s="12">
        <v>0</v>
      </c>
    </row>
    <row r="66" spans="2:9" ht="15" customHeight="1" x14ac:dyDescent="0.2">
      <c r="B66" t="s">
        <v>149</v>
      </c>
      <c r="C66" s="12">
        <v>20</v>
      </c>
      <c r="D66" s="8">
        <v>1.36</v>
      </c>
      <c r="E66" s="12">
        <v>17</v>
      </c>
      <c r="F66" s="8">
        <v>1.71</v>
      </c>
      <c r="G66" s="12">
        <v>3</v>
      </c>
      <c r="H66" s="8">
        <v>0.64</v>
      </c>
      <c r="I66" s="12">
        <v>0</v>
      </c>
    </row>
    <row r="67" spans="2:9" ht="15" customHeight="1" x14ac:dyDescent="0.2">
      <c r="B67" t="s">
        <v>131</v>
      </c>
      <c r="C67" s="12">
        <v>20</v>
      </c>
      <c r="D67" s="8">
        <v>1.36</v>
      </c>
      <c r="E67" s="12">
        <v>17</v>
      </c>
      <c r="F67" s="8">
        <v>1.71</v>
      </c>
      <c r="G67" s="12">
        <v>3</v>
      </c>
      <c r="H67" s="8">
        <v>0.64</v>
      </c>
      <c r="I67" s="12">
        <v>0</v>
      </c>
    </row>
    <row r="69" spans="2:9" ht="15" customHeight="1" x14ac:dyDescent="0.2">
      <c r="B69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DE93-D097-48FF-B634-F29D0BD1262F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270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2</v>
      </c>
      <c r="D5" s="8">
        <v>7.0000000000000007E-2</v>
      </c>
      <c r="E5" s="12">
        <v>0</v>
      </c>
      <c r="F5" s="8">
        <v>0</v>
      </c>
      <c r="G5" s="12">
        <v>2</v>
      </c>
      <c r="H5" s="8">
        <v>0.2</v>
      </c>
      <c r="I5" s="12">
        <v>0</v>
      </c>
    </row>
    <row r="6" spans="2:9" ht="15" customHeight="1" x14ac:dyDescent="0.2">
      <c r="B6" t="s">
        <v>43</v>
      </c>
      <c r="C6" s="12">
        <v>238</v>
      </c>
      <c r="D6" s="8">
        <v>7.87</v>
      </c>
      <c r="E6" s="12">
        <v>61</v>
      </c>
      <c r="F6" s="8">
        <v>3.01</v>
      </c>
      <c r="G6" s="12">
        <v>177</v>
      </c>
      <c r="H6" s="8">
        <v>17.97</v>
      </c>
      <c r="I6" s="12">
        <v>0</v>
      </c>
    </row>
    <row r="7" spans="2:9" ht="15" customHeight="1" x14ac:dyDescent="0.2">
      <c r="B7" t="s">
        <v>44</v>
      </c>
      <c r="C7" s="12">
        <v>126</v>
      </c>
      <c r="D7" s="8">
        <v>4.17</v>
      </c>
      <c r="E7" s="12">
        <v>82</v>
      </c>
      <c r="F7" s="8">
        <v>4.05</v>
      </c>
      <c r="G7" s="12">
        <v>44</v>
      </c>
      <c r="H7" s="8">
        <v>4.47</v>
      </c>
      <c r="I7" s="12">
        <v>0</v>
      </c>
    </row>
    <row r="8" spans="2:9" ht="15" customHeight="1" x14ac:dyDescent="0.2">
      <c r="B8" t="s">
        <v>45</v>
      </c>
      <c r="C8" s="12">
        <v>2</v>
      </c>
      <c r="D8" s="8">
        <v>7.0000000000000007E-2</v>
      </c>
      <c r="E8" s="12">
        <v>0</v>
      </c>
      <c r="F8" s="8">
        <v>0</v>
      </c>
      <c r="G8" s="12">
        <v>2</v>
      </c>
      <c r="H8" s="8">
        <v>0.2</v>
      </c>
      <c r="I8" s="12">
        <v>0</v>
      </c>
    </row>
    <row r="9" spans="2:9" ht="15" customHeight="1" x14ac:dyDescent="0.2">
      <c r="B9" t="s">
        <v>46</v>
      </c>
      <c r="C9" s="12">
        <v>20</v>
      </c>
      <c r="D9" s="8">
        <v>0.66</v>
      </c>
      <c r="E9" s="12">
        <v>3</v>
      </c>
      <c r="F9" s="8">
        <v>0.15</v>
      </c>
      <c r="G9" s="12">
        <v>17</v>
      </c>
      <c r="H9" s="8">
        <v>1.73</v>
      </c>
      <c r="I9" s="12">
        <v>0</v>
      </c>
    </row>
    <row r="10" spans="2:9" ht="15" customHeight="1" x14ac:dyDescent="0.2">
      <c r="B10" t="s">
        <v>47</v>
      </c>
      <c r="C10" s="12">
        <v>20</v>
      </c>
      <c r="D10" s="8">
        <v>0.66</v>
      </c>
      <c r="E10" s="12">
        <v>12</v>
      </c>
      <c r="F10" s="8">
        <v>0.59</v>
      </c>
      <c r="G10" s="12">
        <v>8</v>
      </c>
      <c r="H10" s="8">
        <v>0.81</v>
      </c>
      <c r="I10" s="12">
        <v>0</v>
      </c>
    </row>
    <row r="11" spans="2:9" ht="15" customHeight="1" x14ac:dyDescent="0.2">
      <c r="B11" t="s">
        <v>48</v>
      </c>
      <c r="C11" s="12">
        <v>677</v>
      </c>
      <c r="D11" s="8">
        <v>22.39</v>
      </c>
      <c r="E11" s="12">
        <v>468</v>
      </c>
      <c r="F11" s="8">
        <v>23.09</v>
      </c>
      <c r="G11" s="12">
        <v>209</v>
      </c>
      <c r="H11" s="8">
        <v>21.22</v>
      </c>
      <c r="I11" s="12">
        <v>0</v>
      </c>
    </row>
    <row r="12" spans="2:9" ht="15" customHeight="1" x14ac:dyDescent="0.2">
      <c r="B12" t="s">
        <v>49</v>
      </c>
      <c r="C12" s="12">
        <v>24</v>
      </c>
      <c r="D12" s="8">
        <v>0.79</v>
      </c>
      <c r="E12" s="12">
        <v>5</v>
      </c>
      <c r="F12" s="8">
        <v>0.25</v>
      </c>
      <c r="G12" s="12">
        <v>19</v>
      </c>
      <c r="H12" s="8">
        <v>1.93</v>
      </c>
      <c r="I12" s="12">
        <v>0</v>
      </c>
    </row>
    <row r="13" spans="2:9" ht="15" customHeight="1" x14ac:dyDescent="0.2">
      <c r="B13" t="s">
        <v>50</v>
      </c>
      <c r="C13" s="12">
        <v>355</v>
      </c>
      <c r="D13" s="8">
        <v>11.74</v>
      </c>
      <c r="E13" s="12">
        <v>128</v>
      </c>
      <c r="F13" s="8">
        <v>6.31</v>
      </c>
      <c r="G13" s="12">
        <v>226</v>
      </c>
      <c r="H13" s="8">
        <v>22.94</v>
      </c>
      <c r="I13" s="12">
        <v>0</v>
      </c>
    </row>
    <row r="14" spans="2:9" ht="15" customHeight="1" x14ac:dyDescent="0.2">
      <c r="B14" t="s">
        <v>51</v>
      </c>
      <c r="C14" s="12">
        <v>127</v>
      </c>
      <c r="D14" s="8">
        <v>4.2</v>
      </c>
      <c r="E14" s="12">
        <v>76</v>
      </c>
      <c r="F14" s="8">
        <v>3.75</v>
      </c>
      <c r="G14" s="12">
        <v>50</v>
      </c>
      <c r="H14" s="8">
        <v>5.08</v>
      </c>
      <c r="I14" s="12">
        <v>1</v>
      </c>
    </row>
    <row r="15" spans="2:9" ht="15" customHeight="1" x14ac:dyDescent="0.2">
      <c r="B15" t="s">
        <v>52</v>
      </c>
      <c r="C15" s="12">
        <v>570</v>
      </c>
      <c r="D15" s="8">
        <v>18.86</v>
      </c>
      <c r="E15" s="12">
        <v>520</v>
      </c>
      <c r="F15" s="8">
        <v>25.65</v>
      </c>
      <c r="G15" s="12">
        <v>49</v>
      </c>
      <c r="H15" s="8">
        <v>4.97</v>
      </c>
      <c r="I15" s="12">
        <v>0</v>
      </c>
    </row>
    <row r="16" spans="2:9" ht="15" customHeight="1" x14ac:dyDescent="0.2">
      <c r="B16" t="s">
        <v>53</v>
      </c>
      <c r="C16" s="12">
        <v>392</v>
      </c>
      <c r="D16" s="8">
        <v>12.97</v>
      </c>
      <c r="E16" s="12">
        <v>341</v>
      </c>
      <c r="F16" s="8">
        <v>16.82</v>
      </c>
      <c r="G16" s="12">
        <v>50</v>
      </c>
      <c r="H16" s="8">
        <v>5.08</v>
      </c>
      <c r="I16" s="12">
        <v>1</v>
      </c>
    </row>
    <row r="17" spans="2:9" ht="15" customHeight="1" x14ac:dyDescent="0.2">
      <c r="B17" t="s">
        <v>54</v>
      </c>
      <c r="C17" s="12">
        <v>191</v>
      </c>
      <c r="D17" s="8">
        <v>6.32</v>
      </c>
      <c r="E17" s="12">
        <v>158</v>
      </c>
      <c r="F17" s="8">
        <v>7.79</v>
      </c>
      <c r="G17" s="12">
        <v>31</v>
      </c>
      <c r="H17" s="8">
        <v>3.15</v>
      </c>
      <c r="I17" s="12">
        <v>0</v>
      </c>
    </row>
    <row r="18" spans="2:9" ht="15" customHeight="1" x14ac:dyDescent="0.2">
      <c r="B18" t="s">
        <v>55</v>
      </c>
      <c r="C18" s="12">
        <v>135</v>
      </c>
      <c r="D18" s="8">
        <v>4.47</v>
      </c>
      <c r="E18" s="12">
        <v>78</v>
      </c>
      <c r="F18" s="8">
        <v>3.85</v>
      </c>
      <c r="G18" s="12">
        <v>53</v>
      </c>
      <c r="H18" s="8">
        <v>5.38</v>
      </c>
      <c r="I18" s="12">
        <v>1</v>
      </c>
    </row>
    <row r="19" spans="2:9" ht="15" customHeight="1" x14ac:dyDescent="0.2">
      <c r="B19" t="s">
        <v>56</v>
      </c>
      <c r="C19" s="12">
        <v>144</v>
      </c>
      <c r="D19" s="8">
        <v>4.76</v>
      </c>
      <c r="E19" s="12">
        <v>95</v>
      </c>
      <c r="F19" s="8">
        <v>4.6900000000000004</v>
      </c>
      <c r="G19" s="12">
        <v>48</v>
      </c>
      <c r="H19" s="8">
        <v>4.87</v>
      </c>
      <c r="I19" s="12">
        <v>0</v>
      </c>
    </row>
    <row r="20" spans="2:9" ht="15" customHeight="1" x14ac:dyDescent="0.2">
      <c r="B20" s="9" t="s">
        <v>260</v>
      </c>
      <c r="C20" s="12">
        <f>SUM(LTBL_47211[総数／事業所数])</f>
        <v>3023</v>
      </c>
      <c r="E20" s="12">
        <f>SUBTOTAL(109,LTBL_47211[個人／事業所数])</f>
        <v>2027</v>
      </c>
      <c r="G20" s="12">
        <f>SUBTOTAL(109,LTBL_47211[法人／事業所数])</f>
        <v>985</v>
      </c>
      <c r="I20" s="12">
        <f>SUBTOTAL(109,LTBL_47211[法人以外の団体／事業所数])</f>
        <v>3</v>
      </c>
    </row>
    <row r="21" spans="2:9" ht="15" customHeight="1" x14ac:dyDescent="0.2">
      <c r="E21" s="11">
        <f>LTBL_47211[[#Totals],[個人／事業所数]]/LTBL_47211[[#Totals],[総数／事業所数]]</f>
        <v>0.67052596758187233</v>
      </c>
      <c r="G21" s="11">
        <f>LTBL_47211[[#Totals],[法人／事業所数]]/LTBL_47211[[#Totals],[総数／事業所数]]</f>
        <v>0.32583526298379095</v>
      </c>
      <c r="I21" s="11">
        <f>LTBL_47211[[#Totals],[法人以外の団体／事業所数]]/LTBL_47211[[#Totals],[総数／事業所数]]</f>
        <v>9.9239166391002311E-4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77</v>
      </c>
      <c r="C24" s="12">
        <v>517</v>
      </c>
      <c r="D24" s="8">
        <v>17.100000000000001</v>
      </c>
      <c r="E24" s="12">
        <v>498</v>
      </c>
      <c r="F24" s="8">
        <v>24.57</v>
      </c>
      <c r="G24" s="12">
        <v>19</v>
      </c>
      <c r="H24" s="8">
        <v>1.93</v>
      </c>
      <c r="I24" s="12">
        <v>0</v>
      </c>
    </row>
    <row r="25" spans="2:9" ht="15" customHeight="1" x14ac:dyDescent="0.2">
      <c r="B25" t="s">
        <v>78</v>
      </c>
      <c r="C25" s="12">
        <v>329</v>
      </c>
      <c r="D25" s="8">
        <v>10.88</v>
      </c>
      <c r="E25" s="12">
        <v>303</v>
      </c>
      <c r="F25" s="8">
        <v>14.95</v>
      </c>
      <c r="G25" s="12">
        <v>26</v>
      </c>
      <c r="H25" s="8">
        <v>2.64</v>
      </c>
      <c r="I25" s="12">
        <v>0</v>
      </c>
    </row>
    <row r="26" spans="2:9" ht="15" customHeight="1" x14ac:dyDescent="0.2">
      <c r="B26" t="s">
        <v>73</v>
      </c>
      <c r="C26" s="12">
        <v>260</v>
      </c>
      <c r="D26" s="8">
        <v>8.6</v>
      </c>
      <c r="E26" s="12">
        <v>118</v>
      </c>
      <c r="F26" s="8">
        <v>5.82</v>
      </c>
      <c r="G26" s="12">
        <v>141</v>
      </c>
      <c r="H26" s="8">
        <v>14.31</v>
      </c>
      <c r="I26" s="12">
        <v>0</v>
      </c>
    </row>
    <row r="27" spans="2:9" ht="15" customHeight="1" x14ac:dyDescent="0.2">
      <c r="B27" t="s">
        <v>71</v>
      </c>
      <c r="C27" s="12">
        <v>208</v>
      </c>
      <c r="D27" s="8">
        <v>6.88</v>
      </c>
      <c r="E27" s="12">
        <v>139</v>
      </c>
      <c r="F27" s="8">
        <v>6.86</v>
      </c>
      <c r="G27" s="12">
        <v>69</v>
      </c>
      <c r="H27" s="8">
        <v>7.01</v>
      </c>
      <c r="I27" s="12">
        <v>0</v>
      </c>
    </row>
    <row r="28" spans="2:9" ht="15" customHeight="1" x14ac:dyDescent="0.2">
      <c r="B28" t="s">
        <v>81</v>
      </c>
      <c r="C28" s="12">
        <v>191</v>
      </c>
      <c r="D28" s="8">
        <v>6.32</v>
      </c>
      <c r="E28" s="12">
        <v>158</v>
      </c>
      <c r="F28" s="8">
        <v>7.79</v>
      </c>
      <c r="G28" s="12">
        <v>31</v>
      </c>
      <c r="H28" s="8">
        <v>3.15</v>
      </c>
      <c r="I28" s="12">
        <v>0</v>
      </c>
    </row>
    <row r="29" spans="2:9" ht="15" customHeight="1" x14ac:dyDescent="0.2">
      <c r="B29" t="s">
        <v>69</v>
      </c>
      <c r="C29" s="12">
        <v>143</v>
      </c>
      <c r="D29" s="8">
        <v>4.7300000000000004</v>
      </c>
      <c r="E29" s="12">
        <v>116</v>
      </c>
      <c r="F29" s="8">
        <v>5.72</v>
      </c>
      <c r="G29" s="12">
        <v>27</v>
      </c>
      <c r="H29" s="8">
        <v>2.74</v>
      </c>
      <c r="I29" s="12">
        <v>0</v>
      </c>
    </row>
    <row r="30" spans="2:9" ht="15" customHeight="1" x14ac:dyDescent="0.2">
      <c r="B30" t="s">
        <v>70</v>
      </c>
      <c r="C30" s="12">
        <v>132</v>
      </c>
      <c r="D30" s="8">
        <v>4.37</v>
      </c>
      <c r="E30" s="12">
        <v>98</v>
      </c>
      <c r="F30" s="8">
        <v>4.83</v>
      </c>
      <c r="G30" s="12">
        <v>34</v>
      </c>
      <c r="H30" s="8">
        <v>3.45</v>
      </c>
      <c r="I30" s="12">
        <v>0</v>
      </c>
    </row>
    <row r="31" spans="2:9" ht="15" customHeight="1" x14ac:dyDescent="0.2">
      <c r="B31" t="s">
        <v>68</v>
      </c>
      <c r="C31" s="12">
        <v>90</v>
      </c>
      <c r="D31" s="8">
        <v>2.98</v>
      </c>
      <c r="E31" s="12">
        <v>79</v>
      </c>
      <c r="F31" s="8">
        <v>3.9</v>
      </c>
      <c r="G31" s="12">
        <v>11</v>
      </c>
      <c r="H31" s="8">
        <v>1.1200000000000001</v>
      </c>
      <c r="I31" s="12">
        <v>0</v>
      </c>
    </row>
    <row r="32" spans="2:9" ht="15" customHeight="1" x14ac:dyDescent="0.2">
      <c r="B32" t="s">
        <v>65</v>
      </c>
      <c r="C32" s="12">
        <v>87</v>
      </c>
      <c r="D32" s="8">
        <v>2.88</v>
      </c>
      <c r="E32" s="12">
        <v>10</v>
      </c>
      <c r="F32" s="8">
        <v>0.49</v>
      </c>
      <c r="G32" s="12">
        <v>77</v>
      </c>
      <c r="H32" s="8">
        <v>7.82</v>
      </c>
      <c r="I32" s="12">
        <v>0</v>
      </c>
    </row>
    <row r="33" spans="2:9" ht="15" customHeight="1" x14ac:dyDescent="0.2">
      <c r="B33" t="s">
        <v>72</v>
      </c>
      <c r="C33" s="12">
        <v>81</v>
      </c>
      <c r="D33" s="8">
        <v>2.68</v>
      </c>
      <c r="E33" s="12">
        <v>5</v>
      </c>
      <c r="F33" s="8">
        <v>0.25</v>
      </c>
      <c r="G33" s="12">
        <v>76</v>
      </c>
      <c r="H33" s="8">
        <v>7.72</v>
      </c>
      <c r="I33" s="12">
        <v>0</v>
      </c>
    </row>
    <row r="34" spans="2:9" ht="15" customHeight="1" x14ac:dyDescent="0.2">
      <c r="B34" t="s">
        <v>84</v>
      </c>
      <c r="C34" s="12">
        <v>81</v>
      </c>
      <c r="D34" s="8">
        <v>2.68</v>
      </c>
      <c r="E34" s="12">
        <v>71</v>
      </c>
      <c r="F34" s="8">
        <v>3.5</v>
      </c>
      <c r="G34" s="12">
        <v>10</v>
      </c>
      <c r="H34" s="8">
        <v>1.02</v>
      </c>
      <c r="I34" s="12">
        <v>0</v>
      </c>
    </row>
    <row r="35" spans="2:9" ht="15" customHeight="1" x14ac:dyDescent="0.2">
      <c r="B35" t="s">
        <v>82</v>
      </c>
      <c r="C35" s="12">
        <v>78</v>
      </c>
      <c r="D35" s="8">
        <v>2.58</v>
      </c>
      <c r="E35" s="12">
        <v>64</v>
      </c>
      <c r="F35" s="8">
        <v>3.16</v>
      </c>
      <c r="G35" s="12">
        <v>14</v>
      </c>
      <c r="H35" s="8">
        <v>1.42</v>
      </c>
      <c r="I35" s="12">
        <v>0</v>
      </c>
    </row>
    <row r="36" spans="2:9" ht="15" customHeight="1" x14ac:dyDescent="0.2">
      <c r="B36" t="s">
        <v>67</v>
      </c>
      <c r="C36" s="12">
        <v>76</v>
      </c>
      <c r="D36" s="8">
        <v>2.5099999999999998</v>
      </c>
      <c r="E36" s="12">
        <v>19</v>
      </c>
      <c r="F36" s="8">
        <v>0.94</v>
      </c>
      <c r="G36" s="12">
        <v>57</v>
      </c>
      <c r="H36" s="8">
        <v>5.79</v>
      </c>
      <c r="I36" s="12">
        <v>0</v>
      </c>
    </row>
    <row r="37" spans="2:9" ht="15" customHeight="1" x14ac:dyDescent="0.2">
      <c r="B37" t="s">
        <v>66</v>
      </c>
      <c r="C37" s="12">
        <v>75</v>
      </c>
      <c r="D37" s="8">
        <v>2.48</v>
      </c>
      <c r="E37" s="12">
        <v>32</v>
      </c>
      <c r="F37" s="8">
        <v>1.58</v>
      </c>
      <c r="G37" s="12">
        <v>43</v>
      </c>
      <c r="H37" s="8">
        <v>4.37</v>
      </c>
      <c r="I37" s="12">
        <v>0</v>
      </c>
    </row>
    <row r="38" spans="2:9" ht="15" customHeight="1" x14ac:dyDescent="0.2">
      <c r="B38" t="s">
        <v>74</v>
      </c>
      <c r="C38" s="12">
        <v>66</v>
      </c>
      <c r="D38" s="8">
        <v>2.1800000000000002</v>
      </c>
      <c r="E38" s="12">
        <v>48</v>
      </c>
      <c r="F38" s="8">
        <v>2.37</v>
      </c>
      <c r="G38" s="12">
        <v>17</v>
      </c>
      <c r="H38" s="8">
        <v>1.73</v>
      </c>
      <c r="I38" s="12">
        <v>1</v>
      </c>
    </row>
    <row r="39" spans="2:9" ht="15" customHeight="1" x14ac:dyDescent="0.2">
      <c r="B39" t="s">
        <v>83</v>
      </c>
      <c r="C39" s="12">
        <v>57</v>
      </c>
      <c r="D39" s="8">
        <v>1.89</v>
      </c>
      <c r="E39" s="12">
        <v>14</v>
      </c>
      <c r="F39" s="8">
        <v>0.69</v>
      </c>
      <c r="G39" s="12">
        <v>39</v>
      </c>
      <c r="H39" s="8">
        <v>3.96</v>
      </c>
      <c r="I39" s="12">
        <v>1</v>
      </c>
    </row>
    <row r="40" spans="2:9" ht="15" customHeight="1" x14ac:dyDescent="0.2">
      <c r="B40" t="s">
        <v>75</v>
      </c>
      <c r="C40" s="12">
        <v>56</v>
      </c>
      <c r="D40" s="8">
        <v>1.85</v>
      </c>
      <c r="E40" s="12">
        <v>26</v>
      </c>
      <c r="F40" s="8">
        <v>1.28</v>
      </c>
      <c r="G40" s="12">
        <v>30</v>
      </c>
      <c r="H40" s="8">
        <v>3.05</v>
      </c>
      <c r="I40" s="12">
        <v>0</v>
      </c>
    </row>
    <row r="41" spans="2:9" ht="15" customHeight="1" x14ac:dyDescent="0.2">
      <c r="B41" t="s">
        <v>79</v>
      </c>
      <c r="C41" s="12">
        <v>38</v>
      </c>
      <c r="D41" s="8">
        <v>1.26</v>
      </c>
      <c r="E41" s="12">
        <v>26</v>
      </c>
      <c r="F41" s="8">
        <v>1.28</v>
      </c>
      <c r="G41" s="12">
        <v>12</v>
      </c>
      <c r="H41" s="8">
        <v>1.22</v>
      </c>
      <c r="I41" s="12">
        <v>0</v>
      </c>
    </row>
    <row r="42" spans="2:9" ht="15" customHeight="1" x14ac:dyDescent="0.2">
      <c r="B42" t="s">
        <v>87</v>
      </c>
      <c r="C42" s="12">
        <v>32</v>
      </c>
      <c r="D42" s="8">
        <v>1.06</v>
      </c>
      <c r="E42" s="12">
        <v>9</v>
      </c>
      <c r="F42" s="8">
        <v>0.44</v>
      </c>
      <c r="G42" s="12">
        <v>23</v>
      </c>
      <c r="H42" s="8">
        <v>2.34</v>
      </c>
      <c r="I42" s="12">
        <v>0</v>
      </c>
    </row>
    <row r="43" spans="2:9" ht="15" customHeight="1" x14ac:dyDescent="0.2">
      <c r="B43" t="s">
        <v>76</v>
      </c>
      <c r="C43" s="12">
        <v>28</v>
      </c>
      <c r="D43" s="8">
        <v>0.93</v>
      </c>
      <c r="E43" s="12">
        <v>14</v>
      </c>
      <c r="F43" s="8">
        <v>0.69</v>
      </c>
      <c r="G43" s="12">
        <v>14</v>
      </c>
      <c r="H43" s="8">
        <v>1.42</v>
      </c>
      <c r="I43" s="12">
        <v>0</v>
      </c>
    </row>
    <row r="46" spans="2:9" ht="33" customHeight="1" x14ac:dyDescent="0.2">
      <c r="B46" t="s">
        <v>262</v>
      </c>
      <c r="C46" s="10" t="s">
        <v>58</v>
      </c>
      <c r="D46" s="10" t="s">
        <v>59</v>
      </c>
      <c r="E46" s="10" t="s">
        <v>60</v>
      </c>
      <c r="F46" s="10" t="s">
        <v>61</v>
      </c>
      <c r="G46" s="10" t="s">
        <v>62</v>
      </c>
      <c r="H46" s="10" t="s">
        <v>63</v>
      </c>
      <c r="I46" s="10" t="s">
        <v>64</v>
      </c>
    </row>
    <row r="47" spans="2:9" ht="15" customHeight="1" x14ac:dyDescent="0.2">
      <c r="B47" t="s">
        <v>133</v>
      </c>
      <c r="C47" s="12">
        <v>240</v>
      </c>
      <c r="D47" s="8">
        <v>7.94</v>
      </c>
      <c r="E47" s="12">
        <v>237</v>
      </c>
      <c r="F47" s="8">
        <v>11.69</v>
      </c>
      <c r="G47" s="12">
        <v>3</v>
      </c>
      <c r="H47" s="8">
        <v>0.3</v>
      </c>
      <c r="I47" s="12">
        <v>0</v>
      </c>
    </row>
    <row r="48" spans="2:9" ht="15" customHeight="1" x14ac:dyDescent="0.2">
      <c r="B48" t="s">
        <v>136</v>
      </c>
      <c r="C48" s="12">
        <v>182</v>
      </c>
      <c r="D48" s="8">
        <v>6.02</v>
      </c>
      <c r="E48" s="12">
        <v>175</v>
      </c>
      <c r="F48" s="8">
        <v>8.6300000000000008</v>
      </c>
      <c r="G48" s="12">
        <v>7</v>
      </c>
      <c r="H48" s="8">
        <v>0.71</v>
      </c>
      <c r="I48" s="12">
        <v>0</v>
      </c>
    </row>
    <row r="49" spans="2:9" ht="15" customHeight="1" x14ac:dyDescent="0.2">
      <c r="B49" t="s">
        <v>128</v>
      </c>
      <c r="C49" s="12">
        <v>171</v>
      </c>
      <c r="D49" s="8">
        <v>5.66</v>
      </c>
      <c r="E49" s="12">
        <v>88</v>
      </c>
      <c r="F49" s="8">
        <v>4.34</v>
      </c>
      <c r="G49" s="12">
        <v>83</v>
      </c>
      <c r="H49" s="8">
        <v>8.43</v>
      </c>
      <c r="I49" s="12">
        <v>0</v>
      </c>
    </row>
    <row r="50" spans="2:9" ht="15" customHeight="1" x14ac:dyDescent="0.2">
      <c r="B50" t="s">
        <v>132</v>
      </c>
      <c r="C50" s="12">
        <v>124</v>
      </c>
      <c r="D50" s="8">
        <v>4.0999999999999996</v>
      </c>
      <c r="E50" s="12">
        <v>119</v>
      </c>
      <c r="F50" s="8">
        <v>5.87</v>
      </c>
      <c r="G50" s="12">
        <v>5</v>
      </c>
      <c r="H50" s="8">
        <v>0.51</v>
      </c>
      <c r="I50" s="12">
        <v>0</v>
      </c>
    </row>
    <row r="51" spans="2:9" ht="15" customHeight="1" x14ac:dyDescent="0.2">
      <c r="B51" t="s">
        <v>139</v>
      </c>
      <c r="C51" s="12">
        <v>121</v>
      </c>
      <c r="D51" s="8">
        <v>4</v>
      </c>
      <c r="E51" s="12">
        <v>110</v>
      </c>
      <c r="F51" s="8">
        <v>5.43</v>
      </c>
      <c r="G51" s="12">
        <v>11</v>
      </c>
      <c r="H51" s="8">
        <v>1.1200000000000001</v>
      </c>
      <c r="I51" s="12">
        <v>0</v>
      </c>
    </row>
    <row r="52" spans="2:9" ht="15" customHeight="1" x14ac:dyDescent="0.2">
      <c r="B52" t="s">
        <v>124</v>
      </c>
      <c r="C52" s="12">
        <v>94</v>
      </c>
      <c r="D52" s="8">
        <v>3.11</v>
      </c>
      <c r="E52" s="12">
        <v>73</v>
      </c>
      <c r="F52" s="8">
        <v>3.6</v>
      </c>
      <c r="G52" s="12">
        <v>21</v>
      </c>
      <c r="H52" s="8">
        <v>2.13</v>
      </c>
      <c r="I52" s="12">
        <v>0</v>
      </c>
    </row>
    <row r="53" spans="2:9" ht="15" customHeight="1" x14ac:dyDescent="0.2">
      <c r="B53" t="s">
        <v>141</v>
      </c>
      <c r="C53" s="12">
        <v>81</v>
      </c>
      <c r="D53" s="8">
        <v>2.68</v>
      </c>
      <c r="E53" s="12">
        <v>71</v>
      </c>
      <c r="F53" s="8">
        <v>3.5</v>
      </c>
      <c r="G53" s="12">
        <v>10</v>
      </c>
      <c r="H53" s="8">
        <v>1.02</v>
      </c>
      <c r="I53" s="12">
        <v>0</v>
      </c>
    </row>
    <row r="54" spans="2:9" ht="15" customHeight="1" x14ac:dyDescent="0.2">
      <c r="B54" t="s">
        <v>123</v>
      </c>
      <c r="C54" s="12">
        <v>80</v>
      </c>
      <c r="D54" s="8">
        <v>2.65</v>
      </c>
      <c r="E54" s="12">
        <v>62</v>
      </c>
      <c r="F54" s="8">
        <v>3.06</v>
      </c>
      <c r="G54" s="12">
        <v>18</v>
      </c>
      <c r="H54" s="8">
        <v>1.83</v>
      </c>
      <c r="I54" s="12">
        <v>0</v>
      </c>
    </row>
    <row r="55" spans="2:9" ht="15" customHeight="1" x14ac:dyDescent="0.2">
      <c r="B55" t="s">
        <v>135</v>
      </c>
      <c r="C55" s="12">
        <v>76</v>
      </c>
      <c r="D55" s="8">
        <v>2.5099999999999998</v>
      </c>
      <c r="E55" s="12">
        <v>75</v>
      </c>
      <c r="F55" s="8">
        <v>3.7</v>
      </c>
      <c r="G55" s="12">
        <v>1</v>
      </c>
      <c r="H55" s="8">
        <v>0.1</v>
      </c>
      <c r="I55" s="12">
        <v>0</v>
      </c>
    </row>
    <row r="56" spans="2:9" ht="15" customHeight="1" x14ac:dyDescent="0.2">
      <c r="B56" t="s">
        <v>131</v>
      </c>
      <c r="C56" s="12">
        <v>64</v>
      </c>
      <c r="D56" s="8">
        <v>2.12</v>
      </c>
      <c r="E56" s="12">
        <v>59</v>
      </c>
      <c r="F56" s="8">
        <v>2.91</v>
      </c>
      <c r="G56" s="12">
        <v>5</v>
      </c>
      <c r="H56" s="8">
        <v>0.51</v>
      </c>
      <c r="I56" s="12">
        <v>0</v>
      </c>
    </row>
    <row r="57" spans="2:9" ht="15" customHeight="1" x14ac:dyDescent="0.2">
      <c r="B57" t="s">
        <v>145</v>
      </c>
      <c r="C57" s="12">
        <v>60</v>
      </c>
      <c r="D57" s="8">
        <v>1.98</v>
      </c>
      <c r="E57" s="12">
        <v>5</v>
      </c>
      <c r="F57" s="8">
        <v>0.25</v>
      </c>
      <c r="G57" s="12">
        <v>55</v>
      </c>
      <c r="H57" s="8">
        <v>5.58</v>
      </c>
      <c r="I57" s="12">
        <v>0</v>
      </c>
    </row>
    <row r="58" spans="2:9" ht="15" customHeight="1" x14ac:dyDescent="0.2">
      <c r="B58" t="s">
        <v>140</v>
      </c>
      <c r="C58" s="12">
        <v>59</v>
      </c>
      <c r="D58" s="8">
        <v>1.95</v>
      </c>
      <c r="E58" s="12">
        <v>50</v>
      </c>
      <c r="F58" s="8">
        <v>2.4700000000000002</v>
      </c>
      <c r="G58" s="12">
        <v>9</v>
      </c>
      <c r="H58" s="8">
        <v>0.91</v>
      </c>
      <c r="I58" s="12">
        <v>0</v>
      </c>
    </row>
    <row r="59" spans="2:9" ht="15" customHeight="1" x14ac:dyDescent="0.2">
      <c r="B59" t="s">
        <v>126</v>
      </c>
      <c r="C59" s="12">
        <v>58</v>
      </c>
      <c r="D59" s="8">
        <v>1.92</v>
      </c>
      <c r="E59" s="12">
        <v>43</v>
      </c>
      <c r="F59" s="8">
        <v>2.12</v>
      </c>
      <c r="G59" s="12">
        <v>15</v>
      </c>
      <c r="H59" s="8">
        <v>1.52</v>
      </c>
      <c r="I59" s="12">
        <v>0</v>
      </c>
    </row>
    <row r="60" spans="2:9" ht="15" customHeight="1" x14ac:dyDescent="0.2">
      <c r="B60" t="s">
        <v>138</v>
      </c>
      <c r="C60" s="12">
        <v>56</v>
      </c>
      <c r="D60" s="8">
        <v>1.85</v>
      </c>
      <c r="E60" s="12">
        <v>45</v>
      </c>
      <c r="F60" s="8">
        <v>2.2200000000000002</v>
      </c>
      <c r="G60" s="12">
        <v>11</v>
      </c>
      <c r="H60" s="8">
        <v>1.1200000000000001</v>
      </c>
      <c r="I60" s="12">
        <v>0</v>
      </c>
    </row>
    <row r="61" spans="2:9" ht="15" customHeight="1" x14ac:dyDescent="0.2">
      <c r="B61" t="s">
        <v>137</v>
      </c>
      <c r="C61" s="12">
        <v>48</v>
      </c>
      <c r="D61" s="8">
        <v>1.59</v>
      </c>
      <c r="E61" s="12">
        <v>42</v>
      </c>
      <c r="F61" s="8">
        <v>2.0699999999999998</v>
      </c>
      <c r="G61" s="12">
        <v>6</v>
      </c>
      <c r="H61" s="8">
        <v>0.61</v>
      </c>
      <c r="I61" s="12">
        <v>0</v>
      </c>
    </row>
    <row r="62" spans="2:9" ht="15" customHeight="1" x14ac:dyDescent="0.2">
      <c r="B62" t="s">
        <v>125</v>
      </c>
      <c r="C62" s="12">
        <v>47</v>
      </c>
      <c r="D62" s="8">
        <v>1.55</v>
      </c>
      <c r="E62" s="12">
        <v>25</v>
      </c>
      <c r="F62" s="8">
        <v>1.23</v>
      </c>
      <c r="G62" s="12">
        <v>22</v>
      </c>
      <c r="H62" s="8">
        <v>2.23</v>
      </c>
      <c r="I62" s="12">
        <v>0</v>
      </c>
    </row>
    <row r="63" spans="2:9" ht="15" customHeight="1" x14ac:dyDescent="0.2">
      <c r="B63" t="s">
        <v>142</v>
      </c>
      <c r="C63" s="12">
        <v>46</v>
      </c>
      <c r="D63" s="8">
        <v>1.52</v>
      </c>
      <c r="E63" s="12">
        <v>42</v>
      </c>
      <c r="F63" s="8">
        <v>2.0699999999999998</v>
      </c>
      <c r="G63" s="12">
        <v>4</v>
      </c>
      <c r="H63" s="8">
        <v>0.41</v>
      </c>
      <c r="I63" s="12">
        <v>0</v>
      </c>
    </row>
    <row r="64" spans="2:9" ht="15" customHeight="1" x14ac:dyDescent="0.2">
      <c r="B64" t="s">
        <v>134</v>
      </c>
      <c r="C64" s="12">
        <v>46</v>
      </c>
      <c r="D64" s="8">
        <v>1.52</v>
      </c>
      <c r="E64" s="12">
        <v>44</v>
      </c>
      <c r="F64" s="8">
        <v>2.17</v>
      </c>
      <c r="G64" s="12">
        <v>2</v>
      </c>
      <c r="H64" s="8">
        <v>0.2</v>
      </c>
      <c r="I64" s="12">
        <v>0</v>
      </c>
    </row>
    <row r="65" spans="2:9" ht="15" customHeight="1" x14ac:dyDescent="0.2">
      <c r="B65" t="s">
        <v>129</v>
      </c>
      <c r="C65" s="12">
        <v>44</v>
      </c>
      <c r="D65" s="8">
        <v>1.46</v>
      </c>
      <c r="E65" s="12">
        <v>20</v>
      </c>
      <c r="F65" s="8">
        <v>0.99</v>
      </c>
      <c r="G65" s="12">
        <v>24</v>
      </c>
      <c r="H65" s="8">
        <v>2.44</v>
      </c>
      <c r="I65" s="12">
        <v>0</v>
      </c>
    </row>
    <row r="66" spans="2:9" ht="15" customHeight="1" x14ac:dyDescent="0.2">
      <c r="B66" t="s">
        <v>146</v>
      </c>
      <c r="C66" s="12">
        <v>36</v>
      </c>
      <c r="D66" s="8">
        <v>1.19</v>
      </c>
      <c r="E66" s="12">
        <v>12</v>
      </c>
      <c r="F66" s="8">
        <v>0.59</v>
      </c>
      <c r="G66" s="12">
        <v>24</v>
      </c>
      <c r="H66" s="8">
        <v>2.44</v>
      </c>
      <c r="I66" s="12">
        <v>0</v>
      </c>
    </row>
    <row r="68" spans="2:9" ht="15" customHeight="1" x14ac:dyDescent="0.2">
      <c r="B68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2B6A2-A08A-48EF-8BF7-CE60405351D1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271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155</v>
      </c>
      <c r="D6" s="8">
        <v>12.63</v>
      </c>
      <c r="E6" s="12">
        <v>43</v>
      </c>
      <c r="F6" s="8">
        <v>6.92</v>
      </c>
      <c r="G6" s="12">
        <v>112</v>
      </c>
      <c r="H6" s="8">
        <v>18.64</v>
      </c>
      <c r="I6" s="12">
        <v>0</v>
      </c>
    </row>
    <row r="7" spans="2:9" ht="15" customHeight="1" x14ac:dyDescent="0.2">
      <c r="B7" t="s">
        <v>44</v>
      </c>
      <c r="C7" s="12">
        <v>70</v>
      </c>
      <c r="D7" s="8">
        <v>5.7</v>
      </c>
      <c r="E7" s="12">
        <v>45</v>
      </c>
      <c r="F7" s="8">
        <v>7.25</v>
      </c>
      <c r="G7" s="12">
        <v>25</v>
      </c>
      <c r="H7" s="8">
        <v>4.16</v>
      </c>
      <c r="I7" s="12">
        <v>0</v>
      </c>
    </row>
    <row r="8" spans="2:9" ht="15" customHeight="1" x14ac:dyDescent="0.2">
      <c r="B8" t="s">
        <v>45</v>
      </c>
      <c r="C8" s="12">
        <v>4</v>
      </c>
      <c r="D8" s="8">
        <v>0.33</v>
      </c>
      <c r="E8" s="12">
        <v>0</v>
      </c>
      <c r="F8" s="8">
        <v>0</v>
      </c>
      <c r="G8" s="12">
        <v>4</v>
      </c>
      <c r="H8" s="8">
        <v>0.67</v>
      </c>
      <c r="I8" s="12">
        <v>0</v>
      </c>
    </row>
    <row r="9" spans="2:9" ht="15" customHeight="1" x14ac:dyDescent="0.2">
      <c r="B9" t="s">
        <v>46</v>
      </c>
      <c r="C9" s="12">
        <v>9</v>
      </c>
      <c r="D9" s="8">
        <v>0.73</v>
      </c>
      <c r="E9" s="12">
        <v>1</v>
      </c>
      <c r="F9" s="8">
        <v>0.16</v>
      </c>
      <c r="G9" s="12">
        <v>8</v>
      </c>
      <c r="H9" s="8">
        <v>1.33</v>
      </c>
      <c r="I9" s="12">
        <v>0</v>
      </c>
    </row>
    <row r="10" spans="2:9" ht="15" customHeight="1" x14ac:dyDescent="0.2">
      <c r="B10" t="s">
        <v>47</v>
      </c>
      <c r="C10" s="12">
        <v>22</v>
      </c>
      <c r="D10" s="8">
        <v>1.79</v>
      </c>
      <c r="E10" s="12">
        <v>15</v>
      </c>
      <c r="F10" s="8">
        <v>2.42</v>
      </c>
      <c r="G10" s="12">
        <v>7</v>
      </c>
      <c r="H10" s="8">
        <v>1.1599999999999999</v>
      </c>
      <c r="I10" s="12">
        <v>0</v>
      </c>
    </row>
    <row r="11" spans="2:9" ht="15" customHeight="1" x14ac:dyDescent="0.2">
      <c r="B11" t="s">
        <v>48</v>
      </c>
      <c r="C11" s="12">
        <v>284</v>
      </c>
      <c r="D11" s="8">
        <v>23.15</v>
      </c>
      <c r="E11" s="12">
        <v>119</v>
      </c>
      <c r="F11" s="8">
        <v>19.16</v>
      </c>
      <c r="G11" s="12">
        <v>165</v>
      </c>
      <c r="H11" s="8">
        <v>27.45</v>
      </c>
      <c r="I11" s="12">
        <v>0</v>
      </c>
    </row>
    <row r="12" spans="2:9" ht="15" customHeight="1" x14ac:dyDescent="0.2">
      <c r="B12" t="s">
        <v>49</v>
      </c>
      <c r="C12" s="12">
        <v>12</v>
      </c>
      <c r="D12" s="8">
        <v>0.98</v>
      </c>
      <c r="E12" s="12">
        <v>3</v>
      </c>
      <c r="F12" s="8">
        <v>0.48</v>
      </c>
      <c r="G12" s="12">
        <v>9</v>
      </c>
      <c r="H12" s="8">
        <v>1.5</v>
      </c>
      <c r="I12" s="12">
        <v>0</v>
      </c>
    </row>
    <row r="13" spans="2:9" ht="15" customHeight="1" x14ac:dyDescent="0.2">
      <c r="B13" t="s">
        <v>50</v>
      </c>
      <c r="C13" s="12">
        <v>140</v>
      </c>
      <c r="D13" s="8">
        <v>11.41</v>
      </c>
      <c r="E13" s="12">
        <v>24</v>
      </c>
      <c r="F13" s="8">
        <v>3.86</v>
      </c>
      <c r="G13" s="12">
        <v>116</v>
      </c>
      <c r="H13" s="8">
        <v>19.3</v>
      </c>
      <c r="I13" s="12">
        <v>0</v>
      </c>
    </row>
    <row r="14" spans="2:9" ht="15" customHeight="1" x14ac:dyDescent="0.2">
      <c r="B14" t="s">
        <v>51</v>
      </c>
      <c r="C14" s="12">
        <v>64</v>
      </c>
      <c r="D14" s="8">
        <v>5.22</v>
      </c>
      <c r="E14" s="12">
        <v>37</v>
      </c>
      <c r="F14" s="8">
        <v>5.96</v>
      </c>
      <c r="G14" s="12">
        <v>27</v>
      </c>
      <c r="H14" s="8">
        <v>4.49</v>
      </c>
      <c r="I14" s="12">
        <v>0</v>
      </c>
    </row>
    <row r="15" spans="2:9" ht="15" customHeight="1" x14ac:dyDescent="0.2">
      <c r="B15" t="s">
        <v>52</v>
      </c>
      <c r="C15" s="12">
        <v>77</v>
      </c>
      <c r="D15" s="8">
        <v>6.28</v>
      </c>
      <c r="E15" s="12">
        <v>48</v>
      </c>
      <c r="F15" s="8">
        <v>7.73</v>
      </c>
      <c r="G15" s="12">
        <v>28</v>
      </c>
      <c r="H15" s="8">
        <v>4.66</v>
      </c>
      <c r="I15" s="12">
        <v>0</v>
      </c>
    </row>
    <row r="16" spans="2:9" ht="15" customHeight="1" x14ac:dyDescent="0.2">
      <c r="B16" t="s">
        <v>53</v>
      </c>
      <c r="C16" s="12">
        <v>159</v>
      </c>
      <c r="D16" s="8">
        <v>12.96</v>
      </c>
      <c r="E16" s="12">
        <v>125</v>
      </c>
      <c r="F16" s="8">
        <v>20.13</v>
      </c>
      <c r="G16" s="12">
        <v>34</v>
      </c>
      <c r="H16" s="8">
        <v>5.66</v>
      </c>
      <c r="I16" s="12">
        <v>0</v>
      </c>
    </row>
    <row r="17" spans="2:9" ht="15" customHeight="1" x14ac:dyDescent="0.2">
      <c r="B17" t="s">
        <v>54</v>
      </c>
      <c r="C17" s="12">
        <v>92</v>
      </c>
      <c r="D17" s="8">
        <v>7.5</v>
      </c>
      <c r="E17" s="12">
        <v>82</v>
      </c>
      <c r="F17" s="8">
        <v>13.2</v>
      </c>
      <c r="G17" s="12">
        <v>10</v>
      </c>
      <c r="H17" s="8">
        <v>1.66</v>
      </c>
      <c r="I17" s="12">
        <v>0</v>
      </c>
    </row>
    <row r="18" spans="2:9" ht="15" customHeight="1" x14ac:dyDescent="0.2">
      <c r="B18" t="s">
        <v>55</v>
      </c>
      <c r="C18" s="12">
        <v>65</v>
      </c>
      <c r="D18" s="8">
        <v>5.3</v>
      </c>
      <c r="E18" s="12">
        <v>37</v>
      </c>
      <c r="F18" s="8">
        <v>5.96</v>
      </c>
      <c r="G18" s="12">
        <v>25</v>
      </c>
      <c r="H18" s="8">
        <v>4.16</v>
      </c>
      <c r="I18" s="12">
        <v>2</v>
      </c>
    </row>
    <row r="19" spans="2:9" ht="15" customHeight="1" x14ac:dyDescent="0.2">
      <c r="B19" t="s">
        <v>56</v>
      </c>
      <c r="C19" s="12">
        <v>74</v>
      </c>
      <c r="D19" s="8">
        <v>6.03</v>
      </c>
      <c r="E19" s="12">
        <v>42</v>
      </c>
      <c r="F19" s="8">
        <v>6.76</v>
      </c>
      <c r="G19" s="12">
        <v>31</v>
      </c>
      <c r="H19" s="8">
        <v>5.16</v>
      </c>
      <c r="I19" s="12">
        <v>1</v>
      </c>
    </row>
    <row r="20" spans="2:9" ht="15" customHeight="1" x14ac:dyDescent="0.2">
      <c r="B20" s="9" t="s">
        <v>260</v>
      </c>
      <c r="C20" s="12">
        <f>SUM(LTBL_47212[総数／事業所数])</f>
        <v>1227</v>
      </c>
      <c r="E20" s="12">
        <f>SUBTOTAL(109,LTBL_47212[個人／事業所数])</f>
        <v>621</v>
      </c>
      <c r="G20" s="12">
        <f>SUBTOTAL(109,LTBL_47212[法人／事業所数])</f>
        <v>601</v>
      </c>
      <c r="I20" s="12">
        <f>SUBTOTAL(109,LTBL_47212[法人以外の団体／事業所数])</f>
        <v>3</v>
      </c>
    </row>
    <row r="21" spans="2:9" ht="15" customHeight="1" x14ac:dyDescent="0.2">
      <c r="E21" s="11">
        <f>LTBL_47212[[#Totals],[個人／事業所数]]/LTBL_47212[[#Totals],[総数／事業所数]]</f>
        <v>0.50611246943765276</v>
      </c>
      <c r="G21" s="11">
        <f>LTBL_47212[[#Totals],[法人／事業所数]]/LTBL_47212[[#Totals],[総数／事業所数]]</f>
        <v>0.48981255093724529</v>
      </c>
      <c r="I21" s="11">
        <f>LTBL_47212[[#Totals],[法人以外の団体／事業所数]]/LTBL_47212[[#Totals],[総数／事業所数]]</f>
        <v>2.4449877750611247E-3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78</v>
      </c>
      <c r="C24" s="12">
        <v>137</v>
      </c>
      <c r="D24" s="8">
        <v>11.17</v>
      </c>
      <c r="E24" s="12">
        <v>119</v>
      </c>
      <c r="F24" s="8">
        <v>19.16</v>
      </c>
      <c r="G24" s="12">
        <v>18</v>
      </c>
      <c r="H24" s="8">
        <v>3</v>
      </c>
      <c r="I24" s="12">
        <v>0</v>
      </c>
    </row>
    <row r="25" spans="2:9" ht="15" customHeight="1" x14ac:dyDescent="0.2">
      <c r="B25" t="s">
        <v>73</v>
      </c>
      <c r="C25" s="12">
        <v>105</v>
      </c>
      <c r="D25" s="8">
        <v>8.56</v>
      </c>
      <c r="E25" s="12">
        <v>20</v>
      </c>
      <c r="F25" s="8">
        <v>3.22</v>
      </c>
      <c r="G25" s="12">
        <v>85</v>
      </c>
      <c r="H25" s="8">
        <v>14.14</v>
      </c>
      <c r="I25" s="12">
        <v>0</v>
      </c>
    </row>
    <row r="26" spans="2:9" ht="15" customHeight="1" x14ac:dyDescent="0.2">
      <c r="B26" t="s">
        <v>71</v>
      </c>
      <c r="C26" s="12">
        <v>92</v>
      </c>
      <c r="D26" s="8">
        <v>7.5</v>
      </c>
      <c r="E26" s="12">
        <v>39</v>
      </c>
      <c r="F26" s="8">
        <v>6.28</v>
      </c>
      <c r="G26" s="12">
        <v>53</v>
      </c>
      <c r="H26" s="8">
        <v>8.82</v>
      </c>
      <c r="I26" s="12">
        <v>0</v>
      </c>
    </row>
    <row r="27" spans="2:9" ht="15" customHeight="1" x14ac:dyDescent="0.2">
      <c r="B27" t="s">
        <v>81</v>
      </c>
      <c r="C27" s="12">
        <v>92</v>
      </c>
      <c r="D27" s="8">
        <v>7.5</v>
      </c>
      <c r="E27" s="12">
        <v>82</v>
      </c>
      <c r="F27" s="8">
        <v>13.2</v>
      </c>
      <c r="G27" s="12">
        <v>10</v>
      </c>
      <c r="H27" s="8">
        <v>1.66</v>
      </c>
      <c r="I27" s="12">
        <v>0</v>
      </c>
    </row>
    <row r="28" spans="2:9" ht="15" customHeight="1" x14ac:dyDescent="0.2">
      <c r="B28" t="s">
        <v>65</v>
      </c>
      <c r="C28" s="12">
        <v>62</v>
      </c>
      <c r="D28" s="8">
        <v>5.05</v>
      </c>
      <c r="E28" s="12">
        <v>5</v>
      </c>
      <c r="F28" s="8">
        <v>0.81</v>
      </c>
      <c r="G28" s="12">
        <v>57</v>
      </c>
      <c r="H28" s="8">
        <v>9.48</v>
      </c>
      <c r="I28" s="12">
        <v>0</v>
      </c>
    </row>
    <row r="29" spans="2:9" ht="15" customHeight="1" x14ac:dyDescent="0.2">
      <c r="B29" t="s">
        <v>77</v>
      </c>
      <c r="C29" s="12">
        <v>62</v>
      </c>
      <c r="D29" s="8">
        <v>5.05</v>
      </c>
      <c r="E29" s="12">
        <v>42</v>
      </c>
      <c r="F29" s="8">
        <v>6.76</v>
      </c>
      <c r="G29" s="12">
        <v>20</v>
      </c>
      <c r="H29" s="8">
        <v>3.33</v>
      </c>
      <c r="I29" s="12">
        <v>0</v>
      </c>
    </row>
    <row r="30" spans="2:9" ht="15" customHeight="1" x14ac:dyDescent="0.2">
      <c r="B30" t="s">
        <v>66</v>
      </c>
      <c r="C30" s="12">
        <v>54</v>
      </c>
      <c r="D30" s="8">
        <v>4.4000000000000004</v>
      </c>
      <c r="E30" s="12">
        <v>27</v>
      </c>
      <c r="F30" s="8">
        <v>4.3499999999999996</v>
      </c>
      <c r="G30" s="12">
        <v>27</v>
      </c>
      <c r="H30" s="8">
        <v>4.49</v>
      </c>
      <c r="I30" s="12">
        <v>0</v>
      </c>
    </row>
    <row r="31" spans="2:9" ht="15" customHeight="1" x14ac:dyDescent="0.2">
      <c r="B31" t="s">
        <v>69</v>
      </c>
      <c r="C31" s="12">
        <v>44</v>
      </c>
      <c r="D31" s="8">
        <v>3.59</v>
      </c>
      <c r="E31" s="12">
        <v>31</v>
      </c>
      <c r="F31" s="8">
        <v>4.99</v>
      </c>
      <c r="G31" s="12">
        <v>13</v>
      </c>
      <c r="H31" s="8">
        <v>2.16</v>
      </c>
      <c r="I31" s="12">
        <v>0</v>
      </c>
    </row>
    <row r="32" spans="2:9" ht="15" customHeight="1" x14ac:dyDescent="0.2">
      <c r="B32" t="s">
        <v>70</v>
      </c>
      <c r="C32" s="12">
        <v>43</v>
      </c>
      <c r="D32" s="8">
        <v>3.5</v>
      </c>
      <c r="E32" s="12">
        <v>28</v>
      </c>
      <c r="F32" s="8">
        <v>4.51</v>
      </c>
      <c r="G32" s="12">
        <v>15</v>
      </c>
      <c r="H32" s="8">
        <v>2.5</v>
      </c>
      <c r="I32" s="12">
        <v>0</v>
      </c>
    </row>
    <row r="33" spans="2:9" ht="15" customHeight="1" x14ac:dyDescent="0.2">
      <c r="B33" t="s">
        <v>74</v>
      </c>
      <c r="C33" s="12">
        <v>42</v>
      </c>
      <c r="D33" s="8">
        <v>3.42</v>
      </c>
      <c r="E33" s="12">
        <v>27</v>
      </c>
      <c r="F33" s="8">
        <v>4.3499999999999996</v>
      </c>
      <c r="G33" s="12">
        <v>15</v>
      </c>
      <c r="H33" s="8">
        <v>2.5</v>
      </c>
      <c r="I33" s="12">
        <v>0</v>
      </c>
    </row>
    <row r="34" spans="2:9" ht="15" customHeight="1" x14ac:dyDescent="0.2">
      <c r="B34" t="s">
        <v>67</v>
      </c>
      <c r="C34" s="12">
        <v>39</v>
      </c>
      <c r="D34" s="8">
        <v>3.18</v>
      </c>
      <c r="E34" s="12">
        <v>11</v>
      </c>
      <c r="F34" s="8">
        <v>1.77</v>
      </c>
      <c r="G34" s="12">
        <v>28</v>
      </c>
      <c r="H34" s="8">
        <v>4.66</v>
      </c>
      <c r="I34" s="12">
        <v>0</v>
      </c>
    </row>
    <row r="35" spans="2:9" ht="15" customHeight="1" x14ac:dyDescent="0.2">
      <c r="B35" t="s">
        <v>68</v>
      </c>
      <c r="C35" s="12">
        <v>38</v>
      </c>
      <c r="D35" s="8">
        <v>3.1</v>
      </c>
      <c r="E35" s="12">
        <v>9</v>
      </c>
      <c r="F35" s="8">
        <v>1.45</v>
      </c>
      <c r="G35" s="12">
        <v>29</v>
      </c>
      <c r="H35" s="8">
        <v>4.83</v>
      </c>
      <c r="I35" s="12">
        <v>0</v>
      </c>
    </row>
    <row r="36" spans="2:9" ht="15" customHeight="1" x14ac:dyDescent="0.2">
      <c r="B36" t="s">
        <v>84</v>
      </c>
      <c r="C36" s="12">
        <v>37</v>
      </c>
      <c r="D36" s="8">
        <v>3.02</v>
      </c>
      <c r="E36" s="12">
        <v>33</v>
      </c>
      <c r="F36" s="8">
        <v>5.31</v>
      </c>
      <c r="G36" s="12">
        <v>4</v>
      </c>
      <c r="H36" s="8">
        <v>0.67</v>
      </c>
      <c r="I36" s="12">
        <v>0</v>
      </c>
    </row>
    <row r="37" spans="2:9" ht="15" customHeight="1" x14ac:dyDescent="0.2">
      <c r="B37" t="s">
        <v>83</v>
      </c>
      <c r="C37" s="12">
        <v>34</v>
      </c>
      <c r="D37" s="8">
        <v>2.77</v>
      </c>
      <c r="E37" s="12">
        <v>8</v>
      </c>
      <c r="F37" s="8">
        <v>1.29</v>
      </c>
      <c r="G37" s="12">
        <v>23</v>
      </c>
      <c r="H37" s="8">
        <v>3.83</v>
      </c>
      <c r="I37" s="12">
        <v>2</v>
      </c>
    </row>
    <row r="38" spans="2:9" ht="15" customHeight="1" x14ac:dyDescent="0.2">
      <c r="B38" t="s">
        <v>82</v>
      </c>
      <c r="C38" s="12">
        <v>31</v>
      </c>
      <c r="D38" s="8">
        <v>2.5299999999999998</v>
      </c>
      <c r="E38" s="12">
        <v>29</v>
      </c>
      <c r="F38" s="8">
        <v>4.67</v>
      </c>
      <c r="G38" s="12">
        <v>2</v>
      </c>
      <c r="H38" s="8">
        <v>0.33</v>
      </c>
      <c r="I38" s="12">
        <v>0</v>
      </c>
    </row>
    <row r="39" spans="2:9" ht="15" customHeight="1" x14ac:dyDescent="0.2">
      <c r="B39" t="s">
        <v>72</v>
      </c>
      <c r="C39" s="12">
        <v>28</v>
      </c>
      <c r="D39" s="8">
        <v>2.2799999999999998</v>
      </c>
      <c r="E39" s="12">
        <v>4</v>
      </c>
      <c r="F39" s="8">
        <v>0.64</v>
      </c>
      <c r="G39" s="12">
        <v>24</v>
      </c>
      <c r="H39" s="8">
        <v>3.99</v>
      </c>
      <c r="I39" s="12">
        <v>0</v>
      </c>
    </row>
    <row r="40" spans="2:9" ht="15" customHeight="1" x14ac:dyDescent="0.2">
      <c r="B40" t="s">
        <v>75</v>
      </c>
      <c r="C40" s="12">
        <v>20</v>
      </c>
      <c r="D40" s="8">
        <v>1.63</v>
      </c>
      <c r="E40" s="12">
        <v>10</v>
      </c>
      <c r="F40" s="8">
        <v>1.61</v>
      </c>
      <c r="G40" s="12">
        <v>10</v>
      </c>
      <c r="H40" s="8">
        <v>1.66</v>
      </c>
      <c r="I40" s="12">
        <v>0</v>
      </c>
    </row>
    <row r="41" spans="2:9" ht="15" customHeight="1" x14ac:dyDescent="0.2">
      <c r="B41" t="s">
        <v>85</v>
      </c>
      <c r="C41" s="12">
        <v>18</v>
      </c>
      <c r="D41" s="8">
        <v>1.47</v>
      </c>
      <c r="E41" s="12">
        <v>5</v>
      </c>
      <c r="F41" s="8">
        <v>0.81</v>
      </c>
      <c r="G41" s="12">
        <v>13</v>
      </c>
      <c r="H41" s="8">
        <v>2.16</v>
      </c>
      <c r="I41" s="12">
        <v>0</v>
      </c>
    </row>
    <row r="42" spans="2:9" ht="15" customHeight="1" x14ac:dyDescent="0.2">
      <c r="B42" t="s">
        <v>90</v>
      </c>
      <c r="C42" s="12">
        <v>17</v>
      </c>
      <c r="D42" s="8">
        <v>1.39</v>
      </c>
      <c r="E42" s="12">
        <v>3</v>
      </c>
      <c r="F42" s="8">
        <v>0.48</v>
      </c>
      <c r="G42" s="12">
        <v>14</v>
      </c>
      <c r="H42" s="8">
        <v>2.33</v>
      </c>
      <c r="I42" s="12">
        <v>0</v>
      </c>
    </row>
    <row r="43" spans="2:9" ht="15" customHeight="1" x14ac:dyDescent="0.2">
      <c r="B43" t="s">
        <v>79</v>
      </c>
      <c r="C43" s="12">
        <v>16</v>
      </c>
      <c r="D43" s="8">
        <v>1.3</v>
      </c>
      <c r="E43" s="12">
        <v>5</v>
      </c>
      <c r="F43" s="8">
        <v>0.81</v>
      </c>
      <c r="G43" s="12">
        <v>11</v>
      </c>
      <c r="H43" s="8">
        <v>1.83</v>
      </c>
      <c r="I43" s="12">
        <v>0</v>
      </c>
    </row>
    <row r="46" spans="2:9" ht="33" customHeight="1" x14ac:dyDescent="0.2">
      <c r="B46" t="s">
        <v>262</v>
      </c>
      <c r="C46" s="10" t="s">
        <v>58</v>
      </c>
      <c r="D46" s="10" t="s">
        <v>59</v>
      </c>
      <c r="E46" s="10" t="s">
        <v>60</v>
      </c>
      <c r="F46" s="10" t="s">
        <v>61</v>
      </c>
      <c r="G46" s="10" t="s">
        <v>62</v>
      </c>
      <c r="H46" s="10" t="s">
        <v>63</v>
      </c>
      <c r="I46" s="10" t="s">
        <v>64</v>
      </c>
    </row>
    <row r="47" spans="2:9" ht="15" customHeight="1" x14ac:dyDescent="0.2">
      <c r="B47" t="s">
        <v>128</v>
      </c>
      <c r="C47" s="12">
        <v>76</v>
      </c>
      <c r="D47" s="8">
        <v>6.19</v>
      </c>
      <c r="E47" s="12">
        <v>16</v>
      </c>
      <c r="F47" s="8">
        <v>2.58</v>
      </c>
      <c r="G47" s="12">
        <v>60</v>
      </c>
      <c r="H47" s="8">
        <v>9.98</v>
      </c>
      <c r="I47" s="12">
        <v>0</v>
      </c>
    </row>
    <row r="48" spans="2:9" ht="15" customHeight="1" x14ac:dyDescent="0.2">
      <c r="B48" t="s">
        <v>139</v>
      </c>
      <c r="C48" s="12">
        <v>66</v>
      </c>
      <c r="D48" s="8">
        <v>5.38</v>
      </c>
      <c r="E48" s="12">
        <v>62</v>
      </c>
      <c r="F48" s="8">
        <v>9.98</v>
      </c>
      <c r="G48" s="12">
        <v>4</v>
      </c>
      <c r="H48" s="8">
        <v>0.67</v>
      </c>
      <c r="I48" s="12">
        <v>0</v>
      </c>
    </row>
    <row r="49" spans="2:9" ht="15" customHeight="1" x14ac:dyDescent="0.2">
      <c r="B49" t="s">
        <v>136</v>
      </c>
      <c r="C49" s="12">
        <v>63</v>
      </c>
      <c r="D49" s="8">
        <v>5.13</v>
      </c>
      <c r="E49" s="12">
        <v>59</v>
      </c>
      <c r="F49" s="8">
        <v>9.5</v>
      </c>
      <c r="G49" s="12">
        <v>4</v>
      </c>
      <c r="H49" s="8">
        <v>0.67</v>
      </c>
      <c r="I49" s="12">
        <v>0</v>
      </c>
    </row>
    <row r="50" spans="2:9" ht="15" customHeight="1" x14ac:dyDescent="0.2">
      <c r="B50" t="s">
        <v>135</v>
      </c>
      <c r="C50" s="12">
        <v>45</v>
      </c>
      <c r="D50" s="8">
        <v>3.67</v>
      </c>
      <c r="E50" s="12">
        <v>42</v>
      </c>
      <c r="F50" s="8">
        <v>6.76</v>
      </c>
      <c r="G50" s="12">
        <v>3</v>
      </c>
      <c r="H50" s="8">
        <v>0.5</v>
      </c>
      <c r="I50" s="12">
        <v>0</v>
      </c>
    </row>
    <row r="51" spans="2:9" ht="15" customHeight="1" x14ac:dyDescent="0.2">
      <c r="B51" t="s">
        <v>141</v>
      </c>
      <c r="C51" s="12">
        <v>37</v>
      </c>
      <c r="D51" s="8">
        <v>3.02</v>
      </c>
      <c r="E51" s="12">
        <v>33</v>
      </c>
      <c r="F51" s="8">
        <v>5.31</v>
      </c>
      <c r="G51" s="12">
        <v>4</v>
      </c>
      <c r="H51" s="8">
        <v>0.67</v>
      </c>
      <c r="I51" s="12">
        <v>0</v>
      </c>
    </row>
    <row r="52" spans="2:9" ht="15" customHeight="1" x14ac:dyDescent="0.2">
      <c r="B52" t="s">
        <v>124</v>
      </c>
      <c r="C52" s="12">
        <v>34</v>
      </c>
      <c r="D52" s="8">
        <v>2.77</v>
      </c>
      <c r="E52" s="12">
        <v>22</v>
      </c>
      <c r="F52" s="8">
        <v>3.54</v>
      </c>
      <c r="G52" s="12">
        <v>12</v>
      </c>
      <c r="H52" s="8">
        <v>2</v>
      </c>
      <c r="I52" s="12">
        <v>0</v>
      </c>
    </row>
    <row r="53" spans="2:9" ht="15" customHeight="1" x14ac:dyDescent="0.2">
      <c r="B53" t="s">
        <v>151</v>
      </c>
      <c r="C53" s="12">
        <v>25</v>
      </c>
      <c r="D53" s="8">
        <v>2.04</v>
      </c>
      <c r="E53" s="12">
        <v>3</v>
      </c>
      <c r="F53" s="8">
        <v>0.48</v>
      </c>
      <c r="G53" s="12">
        <v>22</v>
      </c>
      <c r="H53" s="8">
        <v>3.66</v>
      </c>
      <c r="I53" s="12">
        <v>0</v>
      </c>
    </row>
    <row r="54" spans="2:9" ht="15" customHeight="1" x14ac:dyDescent="0.2">
      <c r="B54" t="s">
        <v>123</v>
      </c>
      <c r="C54" s="12">
        <v>24</v>
      </c>
      <c r="D54" s="8">
        <v>1.96</v>
      </c>
      <c r="E54" s="12">
        <v>16</v>
      </c>
      <c r="F54" s="8">
        <v>2.58</v>
      </c>
      <c r="G54" s="12">
        <v>8</v>
      </c>
      <c r="H54" s="8">
        <v>1.33</v>
      </c>
      <c r="I54" s="12">
        <v>0</v>
      </c>
    </row>
    <row r="55" spans="2:9" ht="15" customHeight="1" x14ac:dyDescent="0.2">
      <c r="B55" t="s">
        <v>138</v>
      </c>
      <c r="C55" s="12">
        <v>24</v>
      </c>
      <c r="D55" s="8">
        <v>1.96</v>
      </c>
      <c r="E55" s="12">
        <v>20</v>
      </c>
      <c r="F55" s="8">
        <v>3.22</v>
      </c>
      <c r="G55" s="12">
        <v>4</v>
      </c>
      <c r="H55" s="8">
        <v>0.67</v>
      </c>
      <c r="I55" s="12">
        <v>0</v>
      </c>
    </row>
    <row r="56" spans="2:9" ht="15" customHeight="1" x14ac:dyDescent="0.2">
      <c r="B56" t="s">
        <v>122</v>
      </c>
      <c r="C56" s="12">
        <v>23</v>
      </c>
      <c r="D56" s="8">
        <v>1.87</v>
      </c>
      <c r="E56" s="12">
        <v>1</v>
      </c>
      <c r="F56" s="8">
        <v>0.16</v>
      </c>
      <c r="G56" s="12">
        <v>22</v>
      </c>
      <c r="H56" s="8">
        <v>3.66</v>
      </c>
      <c r="I56" s="12">
        <v>0</v>
      </c>
    </row>
    <row r="57" spans="2:9" ht="15" customHeight="1" x14ac:dyDescent="0.2">
      <c r="B57" t="s">
        <v>140</v>
      </c>
      <c r="C57" s="12">
        <v>22</v>
      </c>
      <c r="D57" s="8">
        <v>1.79</v>
      </c>
      <c r="E57" s="12">
        <v>21</v>
      </c>
      <c r="F57" s="8">
        <v>3.38</v>
      </c>
      <c r="G57" s="12">
        <v>1</v>
      </c>
      <c r="H57" s="8">
        <v>0.17</v>
      </c>
      <c r="I57" s="12">
        <v>0</v>
      </c>
    </row>
    <row r="58" spans="2:9" ht="15" customHeight="1" x14ac:dyDescent="0.2">
      <c r="B58" t="s">
        <v>152</v>
      </c>
      <c r="C58" s="12">
        <v>22</v>
      </c>
      <c r="D58" s="8">
        <v>1.79</v>
      </c>
      <c r="E58" s="12">
        <v>8</v>
      </c>
      <c r="F58" s="8">
        <v>1.29</v>
      </c>
      <c r="G58" s="12">
        <v>11</v>
      </c>
      <c r="H58" s="8">
        <v>1.83</v>
      </c>
      <c r="I58" s="12">
        <v>2</v>
      </c>
    </row>
    <row r="59" spans="2:9" ht="15" customHeight="1" x14ac:dyDescent="0.2">
      <c r="B59" t="s">
        <v>146</v>
      </c>
      <c r="C59" s="12">
        <v>21</v>
      </c>
      <c r="D59" s="8">
        <v>1.71</v>
      </c>
      <c r="E59" s="12">
        <v>6</v>
      </c>
      <c r="F59" s="8">
        <v>0.97</v>
      </c>
      <c r="G59" s="12">
        <v>15</v>
      </c>
      <c r="H59" s="8">
        <v>2.5</v>
      </c>
      <c r="I59" s="12">
        <v>0</v>
      </c>
    </row>
    <row r="60" spans="2:9" ht="15" customHeight="1" x14ac:dyDescent="0.2">
      <c r="B60" t="s">
        <v>145</v>
      </c>
      <c r="C60" s="12">
        <v>21</v>
      </c>
      <c r="D60" s="8">
        <v>1.71</v>
      </c>
      <c r="E60" s="12">
        <v>3</v>
      </c>
      <c r="F60" s="8">
        <v>0.48</v>
      </c>
      <c r="G60" s="12">
        <v>18</v>
      </c>
      <c r="H60" s="8">
        <v>3</v>
      </c>
      <c r="I60" s="12">
        <v>0</v>
      </c>
    </row>
    <row r="61" spans="2:9" ht="15" customHeight="1" x14ac:dyDescent="0.2">
      <c r="B61" t="s">
        <v>137</v>
      </c>
      <c r="C61" s="12">
        <v>20</v>
      </c>
      <c r="D61" s="8">
        <v>1.63</v>
      </c>
      <c r="E61" s="12">
        <v>15</v>
      </c>
      <c r="F61" s="8">
        <v>2.42</v>
      </c>
      <c r="G61" s="12">
        <v>5</v>
      </c>
      <c r="H61" s="8">
        <v>0.83</v>
      </c>
      <c r="I61" s="12">
        <v>0</v>
      </c>
    </row>
    <row r="62" spans="2:9" ht="15" customHeight="1" x14ac:dyDescent="0.2">
      <c r="B62" t="s">
        <v>131</v>
      </c>
      <c r="C62" s="12">
        <v>19</v>
      </c>
      <c r="D62" s="8">
        <v>1.55</v>
      </c>
      <c r="E62" s="12">
        <v>12</v>
      </c>
      <c r="F62" s="8">
        <v>1.93</v>
      </c>
      <c r="G62" s="12">
        <v>7</v>
      </c>
      <c r="H62" s="8">
        <v>1.1599999999999999</v>
      </c>
      <c r="I62" s="12">
        <v>0</v>
      </c>
    </row>
    <row r="63" spans="2:9" ht="15" customHeight="1" x14ac:dyDescent="0.2">
      <c r="B63" t="s">
        <v>129</v>
      </c>
      <c r="C63" s="12">
        <v>18</v>
      </c>
      <c r="D63" s="8">
        <v>1.47</v>
      </c>
      <c r="E63" s="12">
        <v>9</v>
      </c>
      <c r="F63" s="8">
        <v>1.45</v>
      </c>
      <c r="G63" s="12">
        <v>9</v>
      </c>
      <c r="H63" s="8">
        <v>1.5</v>
      </c>
      <c r="I63" s="12">
        <v>0</v>
      </c>
    </row>
    <row r="64" spans="2:9" ht="15" customHeight="1" x14ac:dyDescent="0.2">
      <c r="B64" t="s">
        <v>142</v>
      </c>
      <c r="C64" s="12">
        <v>17</v>
      </c>
      <c r="D64" s="8">
        <v>1.39</v>
      </c>
      <c r="E64" s="12">
        <v>5</v>
      </c>
      <c r="F64" s="8">
        <v>0.81</v>
      </c>
      <c r="G64" s="12">
        <v>12</v>
      </c>
      <c r="H64" s="8">
        <v>2</v>
      </c>
      <c r="I64" s="12">
        <v>0</v>
      </c>
    </row>
    <row r="65" spans="2:9" ht="15" customHeight="1" x14ac:dyDescent="0.2">
      <c r="B65" t="s">
        <v>125</v>
      </c>
      <c r="C65" s="12">
        <v>17</v>
      </c>
      <c r="D65" s="8">
        <v>1.39</v>
      </c>
      <c r="E65" s="12">
        <v>7</v>
      </c>
      <c r="F65" s="8">
        <v>1.1299999999999999</v>
      </c>
      <c r="G65" s="12">
        <v>10</v>
      </c>
      <c r="H65" s="8">
        <v>1.66</v>
      </c>
      <c r="I65" s="12">
        <v>0</v>
      </c>
    </row>
    <row r="66" spans="2:9" ht="15" customHeight="1" x14ac:dyDescent="0.2">
      <c r="B66" t="s">
        <v>154</v>
      </c>
      <c r="C66" s="12">
        <v>17</v>
      </c>
      <c r="D66" s="8">
        <v>1.39</v>
      </c>
      <c r="E66" s="12">
        <v>5</v>
      </c>
      <c r="F66" s="8">
        <v>0.81</v>
      </c>
      <c r="G66" s="12">
        <v>12</v>
      </c>
      <c r="H66" s="8">
        <v>2</v>
      </c>
      <c r="I66" s="12">
        <v>0</v>
      </c>
    </row>
    <row r="68" spans="2:9" ht="15" customHeight="1" x14ac:dyDescent="0.2">
      <c r="B68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67EE3-66C7-4301-829A-9452F7DB3C0E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272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247</v>
      </c>
      <c r="D6" s="8">
        <v>9.57</v>
      </c>
      <c r="E6" s="12">
        <v>112</v>
      </c>
      <c r="F6" s="8">
        <v>5.76</v>
      </c>
      <c r="G6" s="12">
        <v>134</v>
      </c>
      <c r="H6" s="8">
        <v>21.9</v>
      </c>
      <c r="I6" s="12">
        <v>1</v>
      </c>
    </row>
    <row r="7" spans="2:9" ht="15" customHeight="1" x14ac:dyDescent="0.2">
      <c r="B7" t="s">
        <v>44</v>
      </c>
      <c r="C7" s="12">
        <v>154</v>
      </c>
      <c r="D7" s="8">
        <v>5.97</v>
      </c>
      <c r="E7" s="12">
        <v>84</v>
      </c>
      <c r="F7" s="8">
        <v>4.32</v>
      </c>
      <c r="G7" s="12">
        <v>70</v>
      </c>
      <c r="H7" s="8">
        <v>11.44</v>
      </c>
      <c r="I7" s="12">
        <v>0</v>
      </c>
    </row>
    <row r="8" spans="2:9" ht="15" customHeight="1" x14ac:dyDescent="0.2">
      <c r="B8" t="s">
        <v>45</v>
      </c>
      <c r="C8" s="12">
        <v>3</v>
      </c>
      <c r="D8" s="8">
        <v>0.12</v>
      </c>
      <c r="E8" s="12">
        <v>0</v>
      </c>
      <c r="F8" s="8">
        <v>0</v>
      </c>
      <c r="G8" s="12">
        <v>1</v>
      </c>
      <c r="H8" s="8">
        <v>0.16</v>
      </c>
      <c r="I8" s="12">
        <v>0</v>
      </c>
    </row>
    <row r="9" spans="2:9" ht="15" customHeight="1" x14ac:dyDescent="0.2">
      <c r="B9" t="s">
        <v>46</v>
      </c>
      <c r="C9" s="12">
        <v>17</v>
      </c>
      <c r="D9" s="8">
        <v>0.66</v>
      </c>
      <c r="E9" s="12">
        <v>0</v>
      </c>
      <c r="F9" s="8">
        <v>0</v>
      </c>
      <c r="G9" s="12">
        <v>17</v>
      </c>
      <c r="H9" s="8">
        <v>2.78</v>
      </c>
      <c r="I9" s="12">
        <v>0</v>
      </c>
    </row>
    <row r="10" spans="2:9" ht="15" customHeight="1" x14ac:dyDescent="0.2">
      <c r="B10" t="s">
        <v>47</v>
      </c>
      <c r="C10" s="12">
        <v>25</v>
      </c>
      <c r="D10" s="8">
        <v>0.97</v>
      </c>
      <c r="E10" s="12">
        <v>16</v>
      </c>
      <c r="F10" s="8">
        <v>0.82</v>
      </c>
      <c r="G10" s="12">
        <v>9</v>
      </c>
      <c r="H10" s="8">
        <v>1.47</v>
      </c>
      <c r="I10" s="12">
        <v>0</v>
      </c>
    </row>
    <row r="11" spans="2:9" ht="15" customHeight="1" x14ac:dyDescent="0.2">
      <c r="B11" t="s">
        <v>48</v>
      </c>
      <c r="C11" s="12">
        <v>524</v>
      </c>
      <c r="D11" s="8">
        <v>20.309999999999999</v>
      </c>
      <c r="E11" s="12">
        <v>398</v>
      </c>
      <c r="F11" s="8">
        <v>20.48</v>
      </c>
      <c r="G11" s="12">
        <v>125</v>
      </c>
      <c r="H11" s="8">
        <v>20.420000000000002</v>
      </c>
      <c r="I11" s="12">
        <v>1</v>
      </c>
    </row>
    <row r="12" spans="2:9" ht="15" customHeight="1" x14ac:dyDescent="0.2">
      <c r="B12" t="s">
        <v>49</v>
      </c>
      <c r="C12" s="12">
        <v>16</v>
      </c>
      <c r="D12" s="8">
        <v>0.62</v>
      </c>
      <c r="E12" s="12">
        <v>10</v>
      </c>
      <c r="F12" s="8">
        <v>0.51</v>
      </c>
      <c r="G12" s="12">
        <v>6</v>
      </c>
      <c r="H12" s="8">
        <v>0.98</v>
      </c>
      <c r="I12" s="12">
        <v>0</v>
      </c>
    </row>
    <row r="13" spans="2:9" ht="15" customHeight="1" x14ac:dyDescent="0.2">
      <c r="B13" t="s">
        <v>50</v>
      </c>
      <c r="C13" s="12">
        <v>407</v>
      </c>
      <c r="D13" s="8">
        <v>15.78</v>
      </c>
      <c r="E13" s="12">
        <v>336</v>
      </c>
      <c r="F13" s="8">
        <v>17.29</v>
      </c>
      <c r="G13" s="12">
        <v>71</v>
      </c>
      <c r="H13" s="8">
        <v>11.6</v>
      </c>
      <c r="I13" s="12">
        <v>0</v>
      </c>
    </row>
    <row r="14" spans="2:9" ht="15" customHeight="1" x14ac:dyDescent="0.2">
      <c r="B14" t="s">
        <v>51</v>
      </c>
      <c r="C14" s="12">
        <v>96</v>
      </c>
      <c r="D14" s="8">
        <v>3.72</v>
      </c>
      <c r="E14" s="12">
        <v>63</v>
      </c>
      <c r="F14" s="8">
        <v>3.24</v>
      </c>
      <c r="G14" s="12">
        <v>31</v>
      </c>
      <c r="H14" s="8">
        <v>5.07</v>
      </c>
      <c r="I14" s="12">
        <v>1</v>
      </c>
    </row>
    <row r="15" spans="2:9" ht="15" customHeight="1" x14ac:dyDescent="0.2">
      <c r="B15" t="s">
        <v>52</v>
      </c>
      <c r="C15" s="12">
        <v>426</v>
      </c>
      <c r="D15" s="8">
        <v>16.510000000000002</v>
      </c>
      <c r="E15" s="12">
        <v>403</v>
      </c>
      <c r="F15" s="8">
        <v>20.74</v>
      </c>
      <c r="G15" s="12">
        <v>21</v>
      </c>
      <c r="H15" s="8">
        <v>3.43</v>
      </c>
      <c r="I15" s="12">
        <v>0</v>
      </c>
    </row>
    <row r="16" spans="2:9" ht="15" customHeight="1" x14ac:dyDescent="0.2">
      <c r="B16" t="s">
        <v>53</v>
      </c>
      <c r="C16" s="12">
        <v>327</v>
      </c>
      <c r="D16" s="8">
        <v>12.67</v>
      </c>
      <c r="E16" s="12">
        <v>286</v>
      </c>
      <c r="F16" s="8">
        <v>14.72</v>
      </c>
      <c r="G16" s="12">
        <v>41</v>
      </c>
      <c r="H16" s="8">
        <v>6.7</v>
      </c>
      <c r="I16" s="12">
        <v>0</v>
      </c>
    </row>
    <row r="17" spans="2:9" ht="15" customHeight="1" x14ac:dyDescent="0.2">
      <c r="B17" t="s">
        <v>54</v>
      </c>
      <c r="C17" s="12">
        <v>120</v>
      </c>
      <c r="D17" s="8">
        <v>4.6500000000000004</v>
      </c>
      <c r="E17" s="12">
        <v>103</v>
      </c>
      <c r="F17" s="8">
        <v>5.3</v>
      </c>
      <c r="G17" s="12">
        <v>11</v>
      </c>
      <c r="H17" s="8">
        <v>1.8</v>
      </c>
      <c r="I17" s="12">
        <v>2</v>
      </c>
    </row>
    <row r="18" spans="2:9" ht="15" customHeight="1" x14ac:dyDescent="0.2">
      <c r="B18" t="s">
        <v>55</v>
      </c>
      <c r="C18" s="12">
        <v>85</v>
      </c>
      <c r="D18" s="8">
        <v>3.29</v>
      </c>
      <c r="E18" s="12">
        <v>41</v>
      </c>
      <c r="F18" s="8">
        <v>2.11</v>
      </c>
      <c r="G18" s="12">
        <v>40</v>
      </c>
      <c r="H18" s="8">
        <v>6.54</v>
      </c>
      <c r="I18" s="12">
        <v>4</v>
      </c>
    </row>
    <row r="19" spans="2:9" ht="15" customHeight="1" x14ac:dyDescent="0.2">
      <c r="B19" t="s">
        <v>56</v>
      </c>
      <c r="C19" s="12">
        <v>133</v>
      </c>
      <c r="D19" s="8">
        <v>5.16</v>
      </c>
      <c r="E19" s="12">
        <v>91</v>
      </c>
      <c r="F19" s="8">
        <v>4.68</v>
      </c>
      <c r="G19" s="12">
        <v>35</v>
      </c>
      <c r="H19" s="8">
        <v>5.72</v>
      </c>
      <c r="I19" s="12">
        <v>6</v>
      </c>
    </row>
    <row r="20" spans="2:9" ht="15" customHeight="1" x14ac:dyDescent="0.2">
      <c r="B20" s="9" t="s">
        <v>260</v>
      </c>
      <c r="C20" s="12">
        <f>SUM(LTBL_47213[総数／事業所数])</f>
        <v>2580</v>
      </c>
      <c r="E20" s="12">
        <f>SUBTOTAL(109,LTBL_47213[個人／事業所数])</f>
        <v>1943</v>
      </c>
      <c r="G20" s="12">
        <f>SUBTOTAL(109,LTBL_47213[法人／事業所数])</f>
        <v>612</v>
      </c>
      <c r="I20" s="12">
        <f>SUBTOTAL(109,LTBL_47213[法人以外の団体／事業所数])</f>
        <v>15</v>
      </c>
    </row>
    <row r="21" spans="2:9" ht="15" customHeight="1" x14ac:dyDescent="0.2">
      <c r="E21" s="11">
        <f>LTBL_47213[[#Totals],[個人／事業所数]]/LTBL_47213[[#Totals],[総数／事業所数]]</f>
        <v>0.75310077519379848</v>
      </c>
      <c r="G21" s="11">
        <f>LTBL_47213[[#Totals],[法人／事業所数]]/LTBL_47213[[#Totals],[総数／事業所数]]</f>
        <v>0.23720930232558141</v>
      </c>
      <c r="I21" s="11">
        <f>LTBL_47213[[#Totals],[法人以外の団体／事業所数]]/LTBL_47213[[#Totals],[総数／事業所数]]</f>
        <v>5.8139534883720929E-3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77</v>
      </c>
      <c r="C24" s="12">
        <v>382</v>
      </c>
      <c r="D24" s="8">
        <v>14.81</v>
      </c>
      <c r="E24" s="12">
        <v>375</v>
      </c>
      <c r="F24" s="8">
        <v>19.3</v>
      </c>
      <c r="G24" s="12">
        <v>7</v>
      </c>
      <c r="H24" s="8">
        <v>1.1399999999999999</v>
      </c>
      <c r="I24" s="12">
        <v>0</v>
      </c>
    </row>
    <row r="25" spans="2:9" ht="15" customHeight="1" x14ac:dyDescent="0.2">
      <c r="B25" t="s">
        <v>73</v>
      </c>
      <c r="C25" s="12">
        <v>362</v>
      </c>
      <c r="D25" s="8">
        <v>14.03</v>
      </c>
      <c r="E25" s="12">
        <v>322</v>
      </c>
      <c r="F25" s="8">
        <v>16.57</v>
      </c>
      <c r="G25" s="12">
        <v>40</v>
      </c>
      <c r="H25" s="8">
        <v>6.54</v>
      </c>
      <c r="I25" s="12">
        <v>0</v>
      </c>
    </row>
    <row r="26" spans="2:9" ht="15" customHeight="1" x14ac:dyDescent="0.2">
      <c r="B26" t="s">
        <v>78</v>
      </c>
      <c r="C26" s="12">
        <v>286</v>
      </c>
      <c r="D26" s="8">
        <v>11.09</v>
      </c>
      <c r="E26" s="12">
        <v>261</v>
      </c>
      <c r="F26" s="8">
        <v>13.43</v>
      </c>
      <c r="G26" s="12">
        <v>25</v>
      </c>
      <c r="H26" s="8">
        <v>4.08</v>
      </c>
      <c r="I26" s="12">
        <v>0</v>
      </c>
    </row>
    <row r="27" spans="2:9" ht="15" customHeight="1" x14ac:dyDescent="0.2">
      <c r="B27" t="s">
        <v>71</v>
      </c>
      <c r="C27" s="12">
        <v>172</v>
      </c>
      <c r="D27" s="8">
        <v>6.67</v>
      </c>
      <c r="E27" s="12">
        <v>143</v>
      </c>
      <c r="F27" s="8">
        <v>7.36</v>
      </c>
      <c r="G27" s="12">
        <v>29</v>
      </c>
      <c r="H27" s="8">
        <v>4.74</v>
      </c>
      <c r="I27" s="12">
        <v>0</v>
      </c>
    </row>
    <row r="28" spans="2:9" ht="15" customHeight="1" x14ac:dyDescent="0.2">
      <c r="B28" t="s">
        <v>69</v>
      </c>
      <c r="C28" s="12">
        <v>143</v>
      </c>
      <c r="D28" s="8">
        <v>5.54</v>
      </c>
      <c r="E28" s="12">
        <v>122</v>
      </c>
      <c r="F28" s="8">
        <v>6.28</v>
      </c>
      <c r="G28" s="12">
        <v>20</v>
      </c>
      <c r="H28" s="8">
        <v>3.27</v>
      </c>
      <c r="I28" s="12">
        <v>1</v>
      </c>
    </row>
    <row r="29" spans="2:9" ht="15" customHeight="1" x14ac:dyDescent="0.2">
      <c r="B29" t="s">
        <v>81</v>
      </c>
      <c r="C29" s="12">
        <v>120</v>
      </c>
      <c r="D29" s="8">
        <v>4.6500000000000004</v>
      </c>
      <c r="E29" s="12">
        <v>103</v>
      </c>
      <c r="F29" s="8">
        <v>5.3</v>
      </c>
      <c r="G29" s="12">
        <v>11</v>
      </c>
      <c r="H29" s="8">
        <v>1.8</v>
      </c>
      <c r="I29" s="12">
        <v>2</v>
      </c>
    </row>
    <row r="30" spans="2:9" ht="15" customHeight="1" x14ac:dyDescent="0.2">
      <c r="B30" t="s">
        <v>66</v>
      </c>
      <c r="C30" s="12">
        <v>98</v>
      </c>
      <c r="D30" s="8">
        <v>3.8</v>
      </c>
      <c r="E30" s="12">
        <v>62</v>
      </c>
      <c r="F30" s="8">
        <v>3.19</v>
      </c>
      <c r="G30" s="12">
        <v>36</v>
      </c>
      <c r="H30" s="8">
        <v>5.88</v>
      </c>
      <c r="I30" s="12">
        <v>0</v>
      </c>
    </row>
    <row r="31" spans="2:9" ht="15" customHeight="1" x14ac:dyDescent="0.2">
      <c r="B31" t="s">
        <v>70</v>
      </c>
      <c r="C31" s="12">
        <v>87</v>
      </c>
      <c r="D31" s="8">
        <v>3.37</v>
      </c>
      <c r="E31" s="12">
        <v>72</v>
      </c>
      <c r="F31" s="8">
        <v>3.71</v>
      </c>
      <c r="G31" s="12">
        <v>15</v>
      </c>
      <c r="H31" s="8">
        <v>2.4500000000000002</v>
      </c>
      <c r="I31" s="12">
        <v>0</v>
      </c>
    </row>
    <row r="32" spans="2:9" ht="15" customHeight="1" x14ac:dyDescent="0.2">
      <c r="B32" t="s">
        <v>84</v>
      </c>
      <c r="C32" s="12">
        <v>80</v>
      </c>
      <c r="D32" s="8">
        <v>3.1</v>
      </c>
      <c r="E32" s="12">
        <v>75</v>
      </c>
      <c r="F32" s="8">
        <v>3.86</v>
      </c>
      <c r="G32" s="12">
        <v>5</v>
      </c>
      <c r="H32" s="8">
        <v>0.82</v>
      </c>
      <c r="I32" s="12">
        <v>0</v>
      </c>
    </row>
    <row r="33" spans="2:9" ht="15" customHeight="1" x14ac:dyDescent="0.2">
      <c r="B33" t="s">
        <v>65</v>
      </c>
      <c r="C33" s="12">
        <v>76</v>
      </c>
      <c r="D33" s="8">
        <v>2.95</v>
      </c>
      <c r="E33" s="12">
        <v>24</v>
      </c>
      <c r="F33" s="8">
        <v>1.24</v>
      </c>
      <c r="G33" s="12">
        <v>52</v>
      </c>
      <c r="H33" s="8">
        <v>8.5</v>
      </c>
      <c r="I33" s="12">
        <v>0</v>
      </c>
    </row>
    <row r="34" spans="2:9" ht="15" customHeight="1" x14ac:dyDescent="0.2">
      <c r="B34" t="s">
        <v>67</v>
      </c>
      <c r="C34" s="12">
        <v>73</v>
      </c>
      <c r="D34" s="8">
        <v>2.83</v>
      </c>
      <c r="E34" s="12">
        <v>26</v>
      </c>
      <c r="F34" s="8">
        <v>1.34</v>
      </c>
      <c r="G34" s="12">
        <v>46</v>
      </c>
      <c r="H34" s="8">
        <v>7.52</v>
      </c>
      <c r="I34" s="12">
        <v>1</v>
      </c>
    </row>
    <row r="35" spans="2:9" ht="15" customHeight="1" x14ac:dyDescent="0.2">
      <c r="B35" t="s">
        <v>68</v>
      </c>
      <c r="C35" s="12">
        <v>57</v>
      </c>
      <c r="D35" s="8">
        <v>2.21</v>
      </c>
      <c r="E35" s="12">
        <v>35</v>
      </c>
      <c r="F35" s="8">
        <v>1.8</v>
      </c>
      <c r="G35" s="12">
        <v>22</v>
      </c>
      <c r="H35" s="8">
        <v>3.59</v>
      </c>
      <c r="I35" s="12">
        <v>0</v>
      </c>
    </row>
    <row r="36" spans="2:9" ht="15" customHeight="1" x14ac:dyDescent="0.2">
      <c r="B36" t="s">
        <v>75</v>
      </c>
      <c r="C36" s="12">
        <v>50</v>
      </c>
      <c r="D36" s="8">
        <v>1.94</v>
      </c>
      <c r="E36" s="12">
        <v>32</v>
      </c>
      <c r="F36" s="8">
        <v>1.65</v>
      </c>
      <c r="G36" s="12">
        <v>17</v>
      </c>
      <c r="H36" s="8">
        <v>2.78</v>
      </c>
      <c r="I36" s="12">
        <v>0</v>
      </c>
    </row>
    <row r="37" spans="2:9" ht="15" customHeight="1" x14ac:dyDescent="0.2">
      <c r="B37" t="s">
        <v>82</v>
      </c>
      <c r="C37" s="12">
        <v>43</v>
      </c>
      <c r="D37" s="8">
        <v>1.67</v>
      </c>
      <c r="E37" s="12">
        <v>39</v>
      </c>
      <c r="F37" s="8">
        <v>2.0099999999999998</v>
      </c>
      <c r="G37" s="12">
        <v>4</v>
      </c>
      <c r="H37" s="8">
        <v>0.65</v>
      </c>
      <c r="I37" s="12">
        <v>0</v>
      </c>
    </row>
    <row r="38" spans="2:9" ht="15" customHeight="1" x14ac:dyDescent="0.2">
      <c r="B38" t="s">
        <v>83</v>
      </c>
      <c r="C38" s="12">
        <v>42</v>
      </c>
      <c r="D38" s="8">
        <v>1.63</v>
      </c>
      <c r="E38" s="12">
        <v>2</v>
      </c>
      <c r="F38" s="8">
        <v>0.1</v>
      </c>
      <c r="G38" s="12">
        <v>36</v>
      </c>
      <c r="H38" s="8">
        <v>5.88</v>
      </c>
      <c r="I38" s="12">
        <v>4</v>
      </c>
    </row>
    <row r="39" spans="2:9" ht="15" customHeight="1" x14ac:dyDescent="0.2">
      <c r="B39" t="s">
        <v>74</v>
      </c>
      <c r="C39" s="12">
        <v>37</v>
      </c>
      <c r="D39" s="8">
        <v>1.43</v>
      </c>
      <c r="E39" s="12">
        <v>31</v>
      </c>
      <c r="F39" s="8">
        <v>1.6</v>
      </c>
      <c r="G39" s="12">
        <v>6</v>
      </c>
      <c r="H39" s="8">
        <v>0.98</v>
      </c>
      <c r="I39" s="12">
        <v>0</v>
      </c>
    </row>
    <row r="40" spans="2:9" ht="15" customHeight="1" x14ac:dyDescent="0.2">
      <c r="B40" t="s">
        <v>88</v>
      </c>
      <c r="C40" s="12">
        <v>32</v>
      </c>
      <c r="D40" s="8">
        <v>1.24</v>
      </c>
      <c r="E40" s="12">
        <v>17</v>
      </c>
      <c r="F40" s="8">
        <v>0.87</v>
      </c>
      <c r="G40" s="12">
        <v>15</v>
      </c>
      <c r="H40" s="8">
        <v>2.4500000000000002</v>
      </c>
      <c r="I40" s="12">
        <v>0</v>
      </c>
    </row>
    <row r="41" spans="2:9" ht="15" customHeight="1" x14ac:dyDescent="0.2">
      <c r="B41" t="s">
        <v>72</v>
      </c>
      <c r="C41" s="12">
        <v>32</v>
      </c>
      <c r="D41" s="8">
        <v>1.24</v>
      </c>
      <c r="E41" s="12">
        <v>10</v>
      </c>
      <c r="F41" s="8">
        <v>0.51</v>
      </c>
      <c r="G41" s="12">
        <v>22</v>
      </c>
      <c r="H41" s="8">
        <v>3.59</v>
      </c>
      <c r="I41" s="12">
        <v>0</v>
      </c>
    </row>
    <row r="42" spans="2:9" ht="15" customHeight="1" x14ac:dyDescent="0.2">
      <c r="B42" t="s">
        <v>79</v>
      </c>
      <c r="C42" s="12">
        <v>30</v>
      </c>
      <c r="D42" s="8">
        <v>1.1599999999999999</v>
      </c>
      <c r="E42" s="12">
        <v>17</v>
      </c>
      <c r="F42" s="8">
        <v>0.87</v>
      </c>
      <c r="G42" s="12">
        <v>13</v>
      </c>
      <c r="H42" s="8">
        <v>2.12</v>
      </c>
      <c r="I42" s="12">
        <v>0</v>
      </c>
    </row>
    <row r="43" spans="2:9" ht="15" customHeight="1" x14ac:dyDescent="0.2">
      <c r="B43" t="s">
        <v>92</v>
      </c>
      <c r="C43" s="12">
        <v>28</v>
      </c>
      <c r="D43" s="8">
        <v>1.0900000000000001</v>
      </c>
      <c r="E43" s="12">
        <v>22</v>
      </c>
      <c r="F43" s="8">
        <v>1.1299999999999999</v>
      </c>
      <c r="G43" s="12">
        <v>6</v>
      </c>
      <c r="H43" s="8">
        <v>0.98</v>
      </c>
      <c r="I43" s="12">
        <v>0</v>
      </c>
    </row>
    <row r="46" spans="2:9" ht="33" customHeight="1" x14ac:dyDescent="0.2">
      <c r="B46" t="s">
        <v>262</v>
      </c>
      <c r="C46" s="10" t="s">
        <v>58</v>
      </c>
      <c r="D46" s="10" t="s">
        <v>59</v>
      </c>
      <c r="E46" s="10" t="s">
        <v>60</v>
      </c>
      <c r="F46" s="10" t="s">
        <v>61</v>
      </c>
      <c r="G46" s="10" t="s">
        <v>62</v>
      </c>
      <c r="H46" s="10" t="s">
        <v>63</v>
      </c>
      <c r="I46" s="10" t="s">
        <v>64</v>
      </c>
    </row>
    <row r="47" spans="2:9" ht="15" customHeight="1" x14ac:dyDescent="0.2">
      <c r="B47" t="s">
        <v>128</v>
      </c>
      <c r="C47" s="12">
        <v>316</v>
      </c>
      <c r="D47" s="8">
        <v>12.25</v>
      </c>
      <c r="E47" s="12">
        <v>292</v>
      </c>
      <c r="F47" s="8">
        <v>15.03</v>
      </c>
      <c r="G47" s="12">
        <v>24</v>
      </c>
      <c r="H47" s="8">
        <v>3.92</v>
      </c>
      <c r="I47" s="12">
        <v>0</v>
      </c>
    </row>
    <row r="48" spans="2:9" ht="15" customHeight="1" x14ac:dyDescent="0.2">
      <c r="B48" t="s">
        <v>133</v>
      </c>
      <c r="C48" s="12">
        <v>187</v>
      </c>
      <c r="D48" s="8">
        <v>7.25</v>
      </c>
      <c r="E48" s="12">
        <v>187</v>
      </c>
      <c r="F48" s="8">
        <v>9.6199999999999992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136</v>
      </c>
      <c r="C49" s="12">
        <v>149</v>
      </c>
      <c r="D49" s="8">
        <v>5.78</v>
      </c>
      <c r="E49" s="12">
        <v>142</v>
      </c>
      <c r="F49" s="8">
        <v>7.31</v>
      </c>
      <c r="G49" s="12">
        <v>7</v>
      </c>
      <c r="H49" s="8">
        <v>1.1399999999999999</v>
      </c>
      <c r="I49" s="12">
        <v>0</v>
      </c>
    </row>
    <row r="50" spans="2:9" ht="15" customHeight="1" x14ac:dyDescent="0.2">
      <c r="B50" t="s">
        <v>132</v>
      </c>
      <c r="C50" s="12">
        <v>104</v>
      </c>
      <c r="D50" s="8">
        <v>4.03</v>
      </c>
      <c r="E50" s="12">
        <v>100</v>
      </c>
      <c r="F50" s="8">
        <v>5.15</v>
      </c>
      <c r="G50" s="12">
        <v>4</v>
      </c>
      <c r="H50" s="8">
        <v>0.65</v>
      </c>
      <c r="I50" s="12">
        <v>0</v>
      </c>
    </row>
    <row r="51" spans="2:9" ht="15" customHeight="1" x14ac:dyDescent="0.2">
      <c r="B51" t="s">
        <v>135</v>
      </c>
      <c r="C51" s="12">
        <v>82</v>
      </c>
      <c r="D51" s="8">
        <v>3.18</v>
      </c>
      <c r="E51" s="12">
        <v>81</v>
      </c>
      <c r="F51" s="8">
        <v>4.17</v>
      </c>
      <c r="G51" s="12">
        <v>1</v>
      </c>
      <c r="H51" s="8">
        <v>0.16</v>
      </c>
      <c r="I51" s="12">
        <v>0</v>
      </c>
    </row>
    <row r="52" spans="2:9" ht="15" customHeight="1" x14ac:dyDescent="0.2">
      <c r="B52" t="s">
        <v>141</v>
      </c>
      <c r="C52" s="12">
        <v>80</v>
      </c>
      <c r="D52" s="8">
        <v>3.1</v>
      </c>
      <c r="E52" s="12">
        <v>75</v>
      </c>
      <c r="F52" s="8">
        <v>3.86</v>
      </c>
      <c r="G52" s="12">
        <v>5</v>
      </c>
      <c r="H52" s="8">
        <v>0.82</v>
      </c>
      <c r="I52" s="12">
        <v>0</v>
      </c>
    </row>
    <row r="53" spans="2:9" ht="15" customHeight="1" x14ac:dyDescent="0.2">
      <c r="B53" t="s">
        <v>139</v>
      </c>
      <c r="C53" s="12">
        <v>70</v>
      </c>
      <c r="D53" s="8">
        <v>2.71</v>
      </c>
      <c r="E53" s="12">
        <v>70</v>
      </c>
      <c r="F53" s="8">
        <v>3.6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123</v>
      </c>
      <c r="C54" s="12">
        <v>58</v>
      </c>
      <c r="D54" s="8">
        <v>2.25</v>
      </c>
      <c r="E54" s="12">
        <v>44</v>
      </c>
      <c r="F54" s="8">
        <v>2.2599999999999998</v>
      </c>
      <c r="G54" s="12">
        <v>13</v>
      </c>
      <c r="H54" s="8">
        <v>2.12</v>
      </c>
      <c r="I54" s="12">
        <v>1</v>
      </c>
    </row>
    <row r="55" spans="2:9" ht="15" customHeight="1" x14ac:dyDescent="0.2">
      <c r="B55" t="s">
        <v>124</v>
      </c>
      <c r="C55" s="12">
        <v>54</v>
      </c>
      <c r="D55" s="8">
        <v>2.09</v>
      </c>
      <c r="E55" s="12">
        <v>46</v>
      </c>
      <c r="F55" s="8">
        <v>2.37</v>
      </c>
      <c r="G55" s="12">
        <v>8</v>
      </c>
      <c r="H55" s="8">
        <v>1.31</v>
      </c>
      <c r="I55" s="12">
        <v>0</v>
      </c>
    </row>
    <row r="56" spans="2:9" ht="15" customHeight="1" x14ac:dyDescent="0.2">
      <c r="B56" t="s">
        <v>153</v>
      </c>
      <c r="C56" s="12">
        <v>43</v>
      </c>
      <c r="D56" s="8">
        <v>1.67</v>
      </c>
      <c r="E56" s="12">
        <v>42</v>
      </c>
      <c r="F56" s="8">
        <v>2.16</v>
      </c>
      <c r="G56" s="12">
        <v>1</v>
      </c>
      <c r="H56" s="8">
        <v>0.16</v>
      </c>
      <c r="I56" s="12">
        <v>0</v>
      </c>
    </row>
    <row r="57" spans="2:9" ht="15" customHeight="1" x14ac:dyDescent="0.2">
      <c r="B57" t="s">
        <v>137</v>
      </c>
      <c r="C57" s="12">
        <v>39</v>
      </c>
      <c r="D57" s="8">
        <v>1.51</v>
      </c>
      <c r="E57" s="12">
        <v>32</v>
      </c>
      <c r="F57" s="8">
        <v>1.65</v>
      </c>
      <c r="G57" s="12">
        <v>7</v>
      </c>
      <c r="H57" s="8">
        <v>1.1399999999999999</v>
      </c>
      <c r="I57" s="12">
        <v>0</v>
      </c>
    </row>
    <row r="58" spans="2:9" ht="15" customHeight="1" x14ac:dyDescent="0.2">
      <c r="B58" t="s">
        <v>138</v>
      </c>
      <c r="C58" s="12">
        <v>39</v>
      </c>
      <c r="D58" s="8">
        <v>1.51</v>
      </c>
      <c r="E58" s="12">
        <v>33</v>
      </c>
      <c r="F58" s="8">
        <v>1.7</v>
      </c>
      <c r="G58" s="12">
        <v>6</v>
      </c>
      <c r="H58" s="8">
        <v>0.98</v>
      </c>
      <c r="I58" s="12">
        <v>0</v>
      </c>
    </row>
    <row r="59" spans="2:9" ht="15" customHeight="1" x14ac:dyDescent="0.2">
      <c r="B59" t="s">
        <v>126</v>
      </c>
      <c r="C59" s="12">
        <v>37</v>
      </c>
      <c r="D59" s="8">
        <v>1.43</v>
      </c>
      <c r="E59" s="12">
        <v>34</v>
      </c>
      <c r="F59" s="8">
        <v>1.75</v>
      </c>
      <c r="G59" s="12">
        <v>3</v>
      </c>
      <c r="H59" s="8">
        <v>0.49</v>
      </c>
      <c r="I59" s="12">
        <v>0</v>
      </c>
    </row>
    <row r="60" spans="2:9" ht="15" customHeight="1" x14ac:dyDescent="0.2">
      <c r="B60" t="s">
        <v>151</v>
      </c>
      <c r="C60" s="12">
        <v>36</v>
      </c>
      <c r="D60" s="8">
        <v>1.4</v>
      </c>
      <c r="E60" s="12">
        <v>13</v>
      </c>
      <c r="F60" s="8">
        <v>0.67</v>
      </c>
      <c r="G60" s="12">
        <v>23</v>
      </c>
      <c r="H60" s="8">
        <v>3.76</v>
      </c>
      <c r="I60" s="12">
        <v>0</v>
      </c>
    </row>
    <row r="61" spans="2:9" ht="15" customHeight="1" x14ac:dyDescent="0.2">
      <c r="B61" t="s">
        <v>129</v>
      </c>
      <c r="C61" s="12">
        <v>35</v>
      </c>
      <c r="D61" s="8">
        <v>1.36</v>
      </c>
      <c r="E61" s="12">
        <v>22</v>
      </c>
      <c r="F61" s="8">
        <v>1.1299999999999999</v>
      </c>
      <c r="G61" s="12">
        <v>12</v>
      </c>
      <c r="H61" s="8">
        <v>1.96</v>
      </c>
      <c r="I61" s="12">
        <v>0</v>
      </c>
    </row>
    <row r="62" spans="2:9" ht="15" customHeight="1" x14ac:dyDescent="0.2">
      <c r="B62" t="s">
        <v>147</v>
      </c>
      <c r="C62" s="12">
        <v>34</v>
      </c>
      <c r="D62" s="8">
        <v>1.32</v>
      </c>
      <c r="E62" s="12">
        <v>12</v>
      </c>
      <c r="F62" s="8">
        <v>0.62</v>
      </c>
      <c r="G62" s="12">
        <v>21</v>
      </c>
      <c r="H62" s="8">
        <v>3.43</v>
      </c>
      <c r="I62" s="12">
        <v>1</v>
      </c>
    </row>
    <row r="63" spans="2:9" ht="15" customHeight="1" x14ac:dyDescent="0.2">
      <c r="B63" t="s">
        <v>146</v>
      </c>
      <c r="C63" s="12">
        <v>33</v>
      </c>
      <c r="D63" s="8">
        <v>1.28</v>
      </c>
      <c r="E63" s="12">
        <v>14</v>
      </c>
      <c r="F63" s="8">
        <v>0.72</v>
      </c>
      <c r="G63" s="12">
        <v>19</v>
      </c>
      <c r="H63" s="8">
        <v>3.1</v>
      </c>
      <c r="I63" s="12">
        <v>0</v>
      </c>
    </row>
    <row r="64" spans="2:9" ht="15" customHeight="1" x14ac:dyDescent="0.2">
      <c r="B64" t="s">
        <v>144</v>
      </c>
      <c r="C64" s="12">
        <v>32</v>
      </c>
      <c r="D64" s="8">
        <v>1.24</v>
      </c>
      <c r="E64" s="12">
        <v>29</v>
      </c>
      <c r="F64" s="8">
        <v>1.49</v>
      </c>
      <c r="G64" s="12">
        <v>3</v>
      </c>
      <c r="H64" s="8">
        <v>0.49</v>
      </c>
      <c r="I64" s="12">
        <v>0</v>
      </c>
    </row>
    <row r="65" spans="2:9" ht="15" customHeight="1" x14ac:dyDescent="0.2">
      <c r="B65" t="s">
        <v>127</v>
      </c>
      <c r="C65" s="12">
        <v>32</v>
      </c>
      <c r="D65" s="8">
        <v>1.24</v>
      </c>
      <c r="E65" s="12">
        <v>22</v>
      </c>
      <c r="F65" s="8">
        <v>1.1299999999999999</v>
      </c>
      <c r="G65" s="12">
        <v>10</v>
      </c>
      <c r="H65" s="8">
        <v>1.63</v>
      </c>
      <c r="I65" s="12">
        <v>0</v>
      </c>
    </row>
    <row r="66" spans="2:9" ht="15" customHeight="1" x14ac:dyDescent="0.2">
      <c r="B66" t="s">
        <v>131</v>
      </c>
      <c r="C66" s="12">
        <v>32</v>
      </c>
      <c r="D66" s="8">
        <v>1.24</v>
      </c>
      <c r="E66" s="12">
        <v>31</v>
      </c>
      <c r="F66" s="8">
        <v>1.6</v>
      </c>
      <c r="G66" s="12">
        <v>1</v>
      </c>
      <c r="H66" s="8">
        <v>0.16</v>
      </c>
      <c r="I66" s="12">
        <v>0</v>
      </c>
    </row>
    <row r="67" spans="2:9" ht="15" customHeight="1" x14ac:dyDescent="0.2">
      <c r="B67" t="s">
        <v>140</v>
      </c>
      <c r="C67" s="12">
        <v>32</v>
      </c>
      <c r="D67" s="8">
        <v>1.24</v>
      </c>
      <c r="E67" s="12">
        <v>30</v>
      </c>
      <c r="F67" s="8">
        <v>1.54</v>
      </c>
      <c r="G67" s="12">
        <v>2</v>
      </c>
      <c r="H67" s="8">
        <v>0.33</v>
      </c>
      <c r="I67" s="12">
        <v>0</v>
      </c>
    </row>
    <row r="69" spans="2:9" ht="15" customHeight="1" x14ac:dyDescent="0.2">
      <c r="B69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DF294-D0EE-4D52-A4DC-811482E6501D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273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184</v>
      </c>
      <c r="D6" s="8">
        <v>9.6199999999999992</v>
      </c>
      <c r="E6" s="12">
        <v>59</v>
      </c>
      <c r="F6" s="8">
        <v>4.25</v>
      </c>
      <c r="G6" s="12">
        <v>125</v>
      </c>
      <c r="H6" s="8">
        <v>24.61</v>
      </c>
      <c r="I6" s="12">
        <v>0</v>
      </c>
    </row>
    <row r="7" spans="2:9" ht="15" customHeight="1" x14ac:dyDescent="0.2">
      <c r="B7" t="s">
        <v>44</v>
      </c>
      <c r="C7" s="12">
        <v>128</v>
      </c>
      <c r="D7" s="8">
        <v>6.69</v>
      </c>
      <c r="E7" s="12">
        <v>87</v>
      </c>
      <c r="F7" s="8">
        <v>6.27</v>
      </c>
      <c r="G7" s="12">
        <v>41</v>
      </c>
      <c r="H7" s="8">
        <v>8.07</v>
      </c>
      <c r="I7" s="12">
        <v>0</v>
      </c>
    </row>
    <row r="8" spans="2:9" ht="15" customHeight="1" x14ac:dyDescent="0.2">
      <c r="B8" t="s">
        <v>45</v>
      </c>
      <c r="C8" s="12">
        <v>3</v>
      </c>
      <c r="D8" s="8">
        <v>0.16</v>
      </c>
      <c r="E8" s="12">
        <v>0</v>
      </c>
      <c r="F8" s="8">
        <v>0</v>
      </c>
      <c r="G8" s="12">
        <v>3</v>
      </c>
      <c r="H8" s="8">
        <v>0.59</v>
      </c>
      <c r="I8" s="12">
        <v>0</v>
      </c>
    </row>
    <row r="9" spans="2:9" ht="15" customHeight="1" x14ac:dyDescent="0.2">
      <c r="B9" t="s">
        <v>46</v>
      </c>
      <c r="C9" s="12">
        <v>16</v>
      </c>
      <c r="D9" s="8">
        <v>0.84</v>
      </c>
      <c r="E9" s="12">
        <v>1</v>
      </c>
      <c r="F9" s="8">
        <v>7.0000000000000007E-2</v>
      </c>
      <c r="G9" s="12">
        <v>15</v>
      </c>
      <c r="H9" s="8">
        <v>2.95</v>
      </c>
      <c r="I9" s="12">
        <v>0</v>
      </c>
    </row>
    <row r="10" spans="2:9" ht="15" customHeight="1" x14ac:dyDescent="0.2">
      <c r="B10" t="s">
        <v>47</v>
      </c>
      <c r="C10" s="12">
        <v>41</v>
      </c>
      <c r="D10" s="8">
        <v>2.14</v>
      </c>
      <c r="E10" s="12">
        <v>34</v>
      </c>
      <c r="F10" s="8">
        <v>2.4500000000000002</v>
      </c>
      <c r="G10" s="12">
        <v>7</v>
      </c>
      <c r="H10" s="8">
        <v>1.38</v>
      </c>
      <c r="I10" s="12">
        <v>0</v>
      </c>
    </row>
    <row r="11" spans="2:9" ht="15" customHeight="1" x14ac:dyDescent="0.2">
      <c r="B11" t="s">
        <v>48</v>
      </c>
      <c r="C11" s="12">
        <v>428</v>
      </c>
      <c r="D11" s="8">
        <v>22.37</v>
      </c>
      <c r="E11" s="12">
        <v>321</v>
      </c>
      <c r="F11" s="8">
        <v>23.14</v>
      </c>
      <c r="G11" s="12">
        <v>107</v>
      </c>
      <c r="H11" s="8">
        <v>21.06</v>
      </c>
      <c r="I11" s="12">
        <v>0</v>
      </c>
    </row>
    <row r="12" spans="2:9" ht="15" customHeight="1" x14ac:dyDescent="0.2">
      <c r="B12" t="s">
        <v>49</v>
      </c>
      <c r="C12" s="12">
        <v>9</v>
      </c>
      <c r="D12" s="8">
        <v>0.47</v>
      </c>
      <c r="E12" s="12">
        <v>4</v>
      </c>
      <c r="F12" s="8">
        <v>0.28999999999999998</v>
      </c>
      <c r="G12" s="12">
        <v>5</v>
      </c>
      <c r="H12" s="8">
        <v>0.98</v>
      </c>
      <c r="I12" s="12">
        <v>0</v>
      </c>
    </row>
    <row r="13" spans="2:9" ht="15" customHeight="1" x14ac:dyDescent="0.2">
      <c r="B13" t="s">
        <v>50</v>
      </c>
      <c r="C13" s="12">
        <v>132</v>
      </c>
      <c r="D13" s="8">
        <v>6.9</v>
      </c>
      <c r="E13" s="12">
        <v>72</v>
      </c>
      <c r="F13" s="8">
        <v>5.19</v>
      </c>
      <c r="G13" s="12">
        <v>59</v>
      </c>
      <c r="H13" s="8">
        <v>11.61</v>
      </c>
      <c r="I13" s="12">
        <v>0</v>
      </c>
    </row>
    <row r="14" spans="2:9" ht="15" customHeight="1" x14ac:dyDescent="0.2">
      <c r="B14" t="s">
        <v>51</v>
      </c>
      <c r="C14" s="12">
        <v>83</v>
      </c>
      <c r="D14" s="8">
        <v>4.34</v>
      </c>
      <c r="E14" s="12">
        <v>55</v>
      </c>
      <c r="F14" s="8">
        <v>3.97</v>
      </c>
      <c r="G14" s="12">
        <v>28</v>
      </c>
      <c r="H14" s="8">
        <v>5.51</v>
      </c>
      <c r="I14" s="12">
        <v>0</v>
      </c>
    </row>
    <row r="15" spans="2:9" ht="15" customHeight="1" x14ac:dyDescent="0.2">
      <c r="B15" t="s">
        <v>52</v>
      </c>
      <c r="C15" s="12">
        <v>387</v>
      </c>
      <c r="D15" s="8">
        <v>20.23</v>
      </c>
      <c r="E15" s="12">
        <v>351</v>
      </c>
      <c r="F15" s="8">
        <v>25.31</v>
      </c>
      <c r="G15" s="12">
        <v>36</v>
      </c>
      <c r="H15" s="8">
        <v>7.09</v>
      </c>
      <c r="I15" s="12">
        <v>0</v>
      </c>
    </row>
    <row r="16" spans="2:9" ht="15" customHeight="1" x14ac:dyDescent="0.2">
      <c r="B16" t="s">
        <v>53</v>
      </c>
      <c r="C16" s="12">
        <v>263</v>
      </c>
      <c r="D16" s="8">
        <v>13.75</v>
      </c>
      <c r="E16" s="12">
        <v>231</v>
      </c>
      <c r="F16" s="8">
        <v>16.649999999999999</v>
      </c>
      <c r="G16" s="12">
        <v>29</v>
      </c>
      <c r="H16" s="8">
        <v>5.71</v>
      </c>
      <c r="I16" s="12">
        <v>0</v>
      </c>
    </row>
    <row r="17" spans="2:9" ht="15" customHeight="1" x14ac:dyDescent="0.2">
      <c r="B17" t="s">
        <v>54</v>
      </c>
      <c r="C17" s="12">
        <v>95</v>
      </c>
      <c r="D17" s="8">
        <v>4.97</v>
      </c>
      <c r="E17" s="12">
        <v>76</v>
      </c>
      <c r="F17" s="8">
        <v>5.48</v>
      </c>
      <c r="G17" s="12">
        <v>9</v>
      </c>
      <c r="H17" s="8">
        <v>1.77</v>
      </c>
      <c r="I17" s="12">
        <v>1</v>
      </c>
    </row>
    <row r="18" spans="2:9" ht="15" customHeight="1" x14ac:dyDescent="0.2">
      <c r="B18" t="s">
        <v>55</v>
      </c>
      <c r="C18" s="12">
        <v>62</v>
      </c>
      <c r="D18" s="8">
        <v>3.24</v>
      </c>
      <c r="E18" s="12">
        <v>36</v>
      </c>
      <c r="F18" s="8">
        <v>2.6</v>
      </c>
      <c r="G18" s="12">
        <v>25</v>
      </c>
      <c r="H18" s="8">
        <v>4.92</v>
      </c>
      <c r="I18" s="12">
        <v>0</v>
      </c>
    </row>
    <row r="19" spans="2:9" ht="15" customHeight="1" x14ac:dyDescent="0.2">
      <c r="B19" t="s">
        <v>56</v>
      </c>
      <c r="C19" s="12">
        <v>82</v>
      </c>
      <c r="D19" s="8">
        <v>4.29</v>
      </c>
      <c r="E19" s="12">
        <v>60</v>
      </c>
      <c r="F19" s="8">
        <v>4.33</v>
      </c>
      <c r="G19" s="12">
        <v>19</v>
      </c>
      <c r="H19" s="8">
        <v>3.74</v>
      </c>
      <c r="I19" s="12">
        <v>0</v>
      </c>
    </row>
    <row r="20" spans="2:9" ht="15" customHeight="1" x14ac:dyDescent="0.2">
      <c r="B20" s="9" t="s">
        <v>260</v>
      </c>
      <c r="C20" s="12">
        <f>SUM(LTBL_47214[総数／事業所数])</f>
        <v>1913</v>
      </c>
      <c r="E20" s="12">
        <f>SUBTOTAL(109,LTBL_47214[個人／事業所数])</f>
        <v>1387</v>
      </c>
      <c r="G20" s="12">
        <f>SUBTOTAL(109,LTBL_47214[法人／事業所数])</f>
        <v>508</v>
      </c>
      <c r="I20" s="12">
        <f>SUBTOTAL(109,LTBL_47214[法人以外の団体／事業所数])</f>
        <v>1</v>
      </c>
    </row>
    <row r="21" spans="2:9" ht="15" customHeight="1" x14ac:dyDescent="0.2">
      <c r="E21" s="11">
        <f>LTBL_47214[[#Totals],[個人／事業所数]]/LTBL_47214[[#Totals],[総数／事業所数]]</f>
        <v>0.72503920543648714</v>
      </c>
      <c r="G21" s="11">
        <f>LTBL_47214[[#Totals],[法人／事業所数]]/LTBL_47214[[#Totals],[総数／事業所数]]</f>
        <v>0.26555148980658649</v>
      </c>
      <c r="I21" s="11">
        <f>LTBL_47214[[#Totals],[法人以外の団体／事業所数]]/LTBL_47214[[#Totals],[総数／事業所数]]</f>
        <v>5.2273915316257186E-4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77</v>
      </c>
      <c r="C24" s="12">
        <v>292</v>
      </c>
      <c r="D24" s="8">
        <v>15.26</v>
      </c>
      <c r="E24" s="12">
        <v>275</v>
      </c>
      <c r="F24" s="8">
        <v>19.829999999999998</v>
      </c>
      <c r="G24" s="12">
        <v>17</v>
      </c>
      <c r="H24" s="8">
        <v>3.35</v>
      </c>
      <c r="I24" s="12">
        <v>0</v>
      </c>
    </row>
    <row r="25" spans="2:9" ht="15" customHeight="1" x14ac:dyDescent="0.2">
      <c r="B25" t="s">
        <v>78</v>
      </c>
      <c r="C25" s="12">
        <v>182</v>
      </c>
      <c r="D25" s="8">
        <v>9.51</v>
      </c>
      <c r="E25" s="12">
        <v>176</v>
      </c>
      <c r="F25" s="8">
        <v>12.69</v>
      </c>
      <c r="G25" s="12">
        <v>6</v>
      </c>
      <c r="H25" s="8">
        <v>1.18</v>
      </c>
      <c r="I25" s="12">
        <v>0</v>
      </c>
    </row>
    <row r="26" spans="2:9" ht="15" customHeight="1" x14ac:dyDescent="0.2">
      <c r="B26" t="s">
        <v>69</v>
      </c>
      <c r="C26" s="12">
        <v>146</v>
      </c>
      <c r="D26" s="8">
        <v>7.63</v>
      </c>
      <c r="E26" s="12">
        <v>132</v>
      </c>
      <c r="F26" s="8">
        <v>9.52</v>
      </c>
      <c r="G26" s="12">
        <v>14</v>
      </c>
      <c r="H26" s="8">
        <v>2.76</v>
      </c>
      <c r="I26" s="12">
        <v>0</v>
      </c>
    </row>
    <row r="27" spans="2:9" ht="15" customHeight="1" x14ac:dyDescent="0.2">
      <c r="B27" t="s">
        <v>65</v>
      </c>
      <c r="C27" s="12">
        <v>106</v>
      </c>
      <c r="D27" s="8">
        <v>5.54</v>
      </c>
      <c r="E27" s="12">
        <v>14</v>
      </c>
      <c r="F27" s="8">
        <v>1.01</v>
      </c>
      <c r="G27" s="12">
        <v>92</v>
      </c>
      <c r="H27" s="8">
        <v>18.11</v>
      </c>
      <c r="I27" s="12">
        <v>0</v>
      </c>
    </row>
    <row r="28" spans="2:9" ht="15" customHeight="1" x14ac:dyDescent="0.2">
      <c r="B28" t="s">
        <v>71</v>
      </c>
      <c r="C28" s="12">
        <v>100</v>
      </c>
      <c r="D28" s="8">
        <v>5.23</v>
      </c>
      <c r="E28" s="12">
        <v>73</v>
      </c>
      <c r="F28" s="8">
        <v>5.26</v>
      </c>
      <c r="G28" s="12">
        <v>27</v>
      </c>
      <c r="H28" s="8">
        <v>5.31</v>
      </c>
      <c r="I28" s="12">
        <v>0</v>
      </c>
    </row>
    <row r="29" spans="2:9" ht="15" customHeight="1" x14ac:dyDescent="0.2">
      <c r="B29" t="s">
        <v>81</v>
      </c>
      <c r="C29" s="12">
        <v>95</v>
      </c>
      <c r="D29" s="8">
        <v>4.97</v>
      </c>
      <c r="E29" s="12">
        <v>76</v>
      </c>
      <c r="F29" s="8">
        <v>5.48</v>
      </c>
      <c r="G29" s="12">
        <v>9</v>
      </c>
      <c r="H29" s="8">
        <v>1.77</v>
      </c>
      <c r="I29" s="12">
        <v>1</v>
      </c>
    </row>
    <row r="30" spans="2:9" ht="15" customHeight="1" x14ac:dyDescent="0.2">
      <c r="B30" t="s">
        <v>73</v>
      </c>
      <c r="C30" s="12">
        <v>93</v>
      </c>
      <c r="D30" s="8">
        <v>4.8600000000000003</v>
      </c>
      <c r="E30" s="12">
        <v>60</v>
      </c>
      <c r="F30" s="8">
        <v>4.33</v>
      </c>
      <c r="G30" s="12">
        <v>32</v>
      </c>
      <c r="H30" s="8">
        <v>6.3</v>
      </c>
      <c r="I30" s="12">
        <v>0</v>
      </c>
    </row>
    <row r="31" spans="2:9" ht="15" customHeight="1" x14ac:dyDescent="0.2">
      <c r="B31" t="s">
        <v>76</v>
      </c>
      <c r="C31" s="12">
        <v>84</v>
      </c>
      <c r="D31" s="8">
        <v>4.3899999999999997</v>
      </c>
      <c r="E31" s="12">
        <v>70</v>
      </c>
      <c r="F31" s="8">
        <v>5.05</v>
      </c>
      <c r="G31" s="12">
        <v>14</v>
      </c>
      <c r="H31" s="8">
        <v>2.76</v>
      </c>
      <c r="I31" s="12">
        <v>0</v>
      </c>
    </row>
    <row r="32" spans="2:9" ht="15" customHeight="1" x14ac:dyDescent="0.2">
      <c r="B32" t="s">
        <v>80</v>
      </c>
      <c r="C32" s="12">
        <v>65</v>
      </c>
      <c r="D32" s="8">
        <v>3.4</v>
      </c>
      <c r="E32" s="12">
        <v>43</v>
      </c>
      <c r="F32" s="8">
        <v>3.1</v>
      </c>
      <c r="G32" s="12">
        <v>19</v>
      </c>
      <c r="H32" s="8">
        <v>3.74</v>
      </c>
      <c r="I32" s="12">
        <v>0</v>
      </c>
    </row>
    <row r="33" spans="2:9" ht="15" customHeight="1" x14ac:dyDescent="0.2">
      <c r="B33" t="s">
        <v>68</v>
      </c>
      <c r="C33" s="12">
        <v>57</v>
      </c>
      <c r="D33" s="8">
        <v>2.98</v>
      </c>
      <c r="E33" s="12">
        <v>52</v>
      </c>
      <c r="F33" s="8">
        <v>3.75</v>
      </c>
      <c r="G33" s="12">
        <v>5</v>
      </c>
      <c r="H33" s="8">
        <v>0.98</v>
      </c>
      <c r="I33" s="12">
        <v>0</v>
      </c>
    </row>
    <row r="34" spans="2:9" ht="15" customHeight="1" x14ac:dyDescent="0.2">
      <c r="B34" t="s">
        <v>88</v>
      </c>
      <c r="C34" s="12">
        <v>56</v>
      </c>
      <c r="D34" s="8">
        <v>2.93</v>
      </c>
      <c r="E34" s="12">
        <v>43</v>
      </c>
      <c r="F34" s="8">
        <v>3.1</v>
      </c>
      <c r="G34" s="12">
        <v>13</v>
      </c>
      <c r="H34" s="8">
        <v>2.56</v>
      </c>
      <c r="I34" s="12">
        <v>0</v>
      </c>
    </row>
    <row r="35" spans="2:9" ht="15" customHeight="1" x14ac:dyDescent="0.2">
      <c r="B35" t="s">
        <v>84</v>
      </c>
      <c r="C35" s="12">
        <v>48</v>
      </c>
      <c r="D35" s="8">
        <v>2.5099999999999998</v>
      </c>
      <c r="E35" s="12">
        <v>45</v>
      </c>
      <c r="F35" s="8">
        <v>3.24</v>
      </c>
      <c r="G35" s="12">
        <v>3</v>
      </c>
      <c r="H35" s="8">
        <v>0.59</v>
      </c>
      <c r="I35" s="12">
        <v>0</v>
      </c>
    </row>
    <row r="36" spans="2:9" ht="15" customHeight="1" x14ac:dyDescent="0.2">
      <c r="B36" t="s">
        <v>70</v>
      </c>
      <c r="C36" s="12">
        <v>47</v>
      </c>
      <c r="D36" s="8">
        <v>2.46</v>
      </c>
      <c r="E36" s="12">
        <v>34</v>
      </c>
      <c r="F36" s="8">
        <v>2.4500000000000002</v>
      </c>
      <c r="G36" s="12">
        <v>13</v>
      </c>
      <c r="H36" s="8">
        <v>2.56</v>
      </c>
      <c r="I36" s="12">
        <v>0</v>
      </c>
    </row>
    <row r="37" spans="2:9" ht="15" customHeight="1" x14ac:dyDescent="0.2">
      <c r="B37" t="s">
        <v>75</v>
      </c>
      <c r="C37" s="12">
        <v>47</v>
      </c>
      <c r="D37" s="8">
        <v>2.46</v>
      </c>
      <c r="E37" s="12">
        <v>30</v>
      </c>
      <c r="F37" s="8">
        <v>2.16</v>
      </c>
      <c r="G37" s="12">
        <v>17</v>
      </c>
      <c r="H37" s="8">
        <v>3.35</v>
      </c>
      <c r="I37" s="12">
        <v>0</v>
      </c>
    </row>
    <row r="38" spans="2:9" ht="15" customHeight="1" x14ac:dyDescent="0.2">
      <c r="B38" t="s">
        <v>67</v>
      </c>
      <c r="C38" s="12">
        <v>40</v>
      </c>
      <c r="D38" s="8">
        <v>2.09</v>
      </c>
      <c r="E38" s="12">
        <v>20</v>
      </c>
      <c r="F38" s="8">
        <v>1.44</v>
      </c>
      <c r="G38" s="12">
        <v>20</v>
      </c>
      <c r="H38" s="8">
        <v>3.94</v>
      </c>
      <c r="I38" s="12">
        <v>0</v>
      </c>
    </row>
    <row r="39" spans="2:9" ht="15" customHeight="1" x14ac:dyDescent="0.2">
      <c r="B39" t="s">
        <v>66</v>
      </c>
      <c r="C39" s="12">
        <v>38</v>
      </c>
      <c r="D39" s="8">
        <v>1.99</v>
      </c>
      <c r="E39" s="12">
        <v>25</v>
      </c>
      <c r="F39" s="8">
        <v>1.8</v>
      </c>
      <c r="G39" s="12">
        <v>13</v>
      </c>
      <c r="H39" s="8">
        <v>2.56</v>
      </c>
      <c r="I39" s="12">
        <v>0</v>
      </c>
    </row>
    <row r="40" spans="2:9" ht="15" customHeight="1" x14ac:dyDescent="0.2">
      <c r="B40" t="s">
        <v>93</v>
      </c>
      <c r="C40" s="12">
        <v>37</v>
      </c>
      <c r="D40" s="8">
        <v>1.93</v>
      </c>
      <c r="E40" s="12">
        <v>34</v>
      </c>
      <c r="F40" s="8">
        <v>2.4500000000000002</v>
      </c>
      <c r="G40" s="12">
        <v>3</v>
      </c>
      <c r="H40" s="8">
        <v>0.59</v>
      </c>
      <c r="I40" s="12">
        <v>0</v>
      </c>
    </row>
    <row r="41" spans="2:9" ht="15" customHeight="1" x14ac:dyDescent="0.2">
      <c r="B41" t="s">
        <v>82</v>
      </c>
      <c r="C41" s="12">
        <v>36</v>
      </c>
      <c r="D41" s="8">
        <v>1.88</v>
      </c>
      <c r="E41" s="12">
        <v>34</v>
      </c>
      <c r="F41" s="8">
        <v>2.4500000000000002</v>
      </c>
      <c r="G41" s="12">
        <v>2</v>
      </c>
      <c r="H41" s="8">
        <v>0.39</v>
      </c>
      <c r="I41" s="12">
        <v>0</v>
      </c>
    </row>
    <row r="42" spans="2:9" ht="15" customHeight="1" x14ac:dyDescent="0.2">
      <c r="B42" t="s">
        <v>74</v>
      </c>
      <c r="C42" s="12">
        <v>35</v>
      </c>
      <c r="D42" s="8">
        <v>1.83</v>
      </c>
      <c r="E42" s="12">
        <v>24</v>
      </c>
      <c r="F42" s="8">
        <v>1.73</v>
      </c>
      <c r="G42" s="12">
        <v>11</v>
      </c>
      <c r="H42" s="8">
        <v>2.17</v>
      </c>
      <c r="I42" s="12">
        <v>0</v>
      </c>
    </row>
    <row r="43" spans="2:9" ht="15" customHeight="1" x14ac:dyDescent="0.2">
      <c r="B43" t="s">
        <v>94</v>
      </c>
      <c r="C43" s="12">
        <v>26</v>
      </c>
      <c r="D43" s="8">
        <v>1.36</v>
      </c>
      <c r="E43" s="12">
        <v>10</v>
      </c>
      <c r="F43" s="8">
        <v>0.72</v>
      </c>
      <c r="G43" s="12">
        <v>16</v>
      </c>
      <c r="H43" s="8">
        <v>3.15</v>
      </c>
      <c r="I43" s="12">
        <v>0</v>
      </c>
    </row>
    <row r="44" spans="2:9" ht="15" customHeight="1" x14ac:dyDescent="0.2">
      <c r="B44" t="s">
        <v>83</v>
      </c>
      <c r="C44" s="12">
        <v>26</v>
      </c>
      <c r="D44" s="8">
        <v>1.36</v>
      </c>
      <c r="E44" s="12">
        <v>2</v>
      </c>
      <c r="F44" s="8">
        <v>0.14000000000000001</v>
      </c>
      <c r="G44" s="12">
        <v>23</v>
      </c>
      <c r="H44" s="8">
        <v>4.53</v>
      </c>
      <c r="I44" s="12">
        <v>0</v>
      </c>
    </row>
    <row r="47" spans="2:9" ht="33" customHeight="1" x14ac:dyDescent="0.2">
      <c r="B47" t="s">
        <v>262</v>
      </c>
      <c r="C47" s="10" t="s">
        <v>58</v>
      </c>
      <c r="D47" s="10" t="s">
        <v>59</v>
      </c>
      <c r="E47" s="10" t="s">
        <v>60</v>
      </c>
      <c r="F47" s="10" t="s">
        <v>61</v>
      </c>
      <c r="G47" s="10" t="s">
        <v>62</v>
      </c>
      <c r="H47" s="10" t="s">
        <v>63</v>
      </c>
      <c r="I47" s="10" t="s">
        <v>64</v>
      </c>
    </row>
    <row r="48" spans="2:9" ht="15" customHeight="1" x14ac:dyDescent="0.2">
      <c r="B48" t="s">
        <v>136</v>
      </c>
      <c r="C48" s="12">
        <v>103</v>
      </c>
      <c r="D48" s="8">
        <v>5.38</v>
      </c>
      <c r="E48" s="12">
        <v>102</v>
      </c>
      <c r="F48" s="8">
        <v>7.35</v>
      </c>
      <c r="G48" s="12">
        <v>1</v>
      </c>
      <c r="H48" s="8">
        <v>0.2</v>
      </c>
      <c r="I48" s="12">
        <v>0</v>
      </c>
    </row>
    <row r="49" spans="2:9" ht="15" customHeight="1" x14ac:dyDescent="0.2">
      <c r="B49" t="s">
        <v>133</v>
      </c>
      <c r="C49" s="12">
        <v>86</v>
      </c>
      <c r="D49" s="8">
        <v>4.5</v>
      </c>
      <c r="E49" s="12">
        <v>83</v>
      </c>
      <c r="F49" s="8">
        <v>5.98</v>
      </c>
      <c r="G49" s="12">
        <v>3</v>
      </c>
      <c r="H49" s="8">
        <v>0.59</v>
      </c>
      <c r="I49" s="12">
        <v>0</v>
      </c>
    </row>
    <row r="50" spans="2:9" ht="15" customHeight="1" x14ac:dyDescent="0.2">
      <c r="B50" t="s">
        <v>122</v>
      </c>
      <c r="C50" s="12">
        <v>75</v>
      </c>
      <c r="D50" s="8">
        <v>3.92</v>
      </c>
      <c r="E50" s="12">
        <v>6</v>
      </c>
      <c r="F50" s="8">
        <v>0.43</v>
      </c>
      <c r="G50" s="12">
        <v>69</v>
      </c>
      <c r="H50" s="8">
        <v>13.58</v>
      </c>
      <c r="I50" s="12">
        <v>0</v>
      </c>
    </row>
    <row r="51" spans="2:9" ht="15" customHeight="1" x14ac:dyDescent="0.2">
      <c r="B51" t="s">
        <v>128</v>
      </c>
      <c r="C51" s="12">
        <v>74</v>
      </c>
      <c r="D51" s="8">
        <v>3.87</v>
      </c>
      <c r="E51" s="12">
        <v>54</v>
      </c>
      <c r="F51" s="8">
        <v>3.89</v>
      </c>
      <c r="G51" s="12">
        <v>19</v>
      </c>
      <c r="H51" s="8">
        <v>3.74</v>
      </c>
      <c r="I51" s="12">
        <v>0</v>
      </c>
    </row>
    <row r="52" spans="2:9" ht="15" customHeight="1" x14ac:dyDescent="0.2">
      <c r="B52" t="s">
        <v>132</v>
      </c>
      <c r="C52" s="12">
        <v>64</v>
      </c>
      <c r="D52" s="8">
        <v>3.35</v>
      </c>
      <c r="E52" s="12">
        <v>59</v>
      </c>
      <c r="F52" s="8">
        <v>4.25</v>
      </c>
      <c r="G52" s="12">
        <v>5</v>
      </c>
      <c r="H52" s="8">
        <v>0.98</v>
      </c>
      <c r="I52" s="12">
        <v>0</v>
      </c>
    </row>
    <row r="53" spans="2:9" ht="15" customHeight="1" x14ac:dyDescent="0.2">
      <c r="B53" t="s">
        <v>139</v>
      </c>
      <c r="C53" s="12">
        <v>63</v>
      </c>
      <c r="D53" s="8">
        <v>3.29</v>
      </c>
      <c r="E53" s="12">
        <v>57</v>
      </c>
      <c r="F53" s="8">
        <v>4.1100000000000003</v>
      </c>
      <c r="G53" s="12">
        <v>6</v>
      </c>
      <c r="H53" s="8">
        <v>1.18</v>
      </c>
      <c r="I53" s="12">
        <v>0</v>
      </c>
    </row>
    <row r="54" spans="2:9" ht="15" customHeight="1" x14ac:dyDescent="0.2">
      <c r="B54" t="s">
        <v>130</v>
      </c>
      <c r="C54" s="12">
        <v>62</v>
      </c>
      <c r="D54" s="8">
        <v>3.24</v>
      </c>
      <c r="E54" s="12">
        <v>52</v>
      </c>
      <c r="F54" s="8">
        <v>3.75</v>
      </c>
      <c r="G54" s="12">
        <v>10</v>
      </c>
      <c r="H54" s="8">
        <v>1.97</v>
      </c>
      <c r="I54" s="12">
        <v>0</v>
      </c>
    </row>
    <row r="55" spans="2:9" ht="15" customHeight="1" x14ac:dyDescent="0.2">
      <c r="B55" t="s">
        <v>123</v>
      </c>
      <c r="C55" s="12">
        <v>60</v>
      </c>
      <c r="D55" s="8">
        <v>3.14</v>
      </c>
      <c r="E55" s="12">
        <v>53</v>
      </c>
      <c r="F55" s="8">
        <v>3.82</v>
      </c>
      <c r="G55" s="12">
        <v>7</v>
      </c>
      <c r="H55" s="8">
        <v>1.38</v>
      </c>
      <c r="I55" s="12">
        <v>0</v>
      </c>
    </row>
    <row r="56" spans="2:9" ht="15" customHeight="1" x14ac:dyDescent="0.2">
      <c r="B56" t="s">
        <v>150</v>
      </c>
      <c r="C56" s="12">
        <v>51</v>
      </c>
      <c r="D56" s="8">
        <v>2.67</v>
      </c>
      <c r="E56" s="12">
        <v>37</v>
      </c>
      <c r="F56" s="8">
        <v>2.67</v>
      </c>
      <c r="G56" s="12">
        <v>14</v>
      </c>
      <c r="H56" s="8">
        <v>2.76</v>
      </c>
      <c r="I56" s="12">
        <v>0</v>
      </c>
    </row>
    <row r="57" spans="2:9" ht="15" customHeight="1" x14ac:dyDescent="0.2">
      <c r="B57" t="s">
        <v>141</v>
      </c>
      <c r="C57" s="12">
        <v>48</v>
      </c>
      <c r="D57" s="8">
        <v>2.5099999999999998</v>
      </c>
      <c r="E57" s="12">
        <v>45</v>
      </c>
      <c r="F57" s="8">
        <v>3.24</v>
      </c>
      <c r="G57" s="12">
        <v>3</v>
      </c>
      <c r="H57" s="8">
        <v>0.59</v>
      </c>
      <c r="I57" s="12">
        <v>0</v>
      </c>
    </row>
    <row r="58" spans="2:9" ht="15" customHeight="1" x14ac:dyDescent="0.2">
      <c r="B58" t="s">
        <v>134</v>
      </c>
      <c r="C58" s="12">
        <v>47</v>
      </c>
      <c r="D58" s="8">
        <v>2.46</v>
      </c>
      <c r="E58" s="12">
        <v>46</v>
      </c>
      <c r="F58" s="8">
        <v>3.32</v>
      </c>
      <c r="G58" s="12">
        <v>1</v>
      </c>
      <c r="H58" s="8">
        <v>0.2</v>
      </c>
      <c r="I58" s="12">
        <v>0</v>
      </c>
    </row>
    <row r="59" spans="2:9" ht="15" customHeight="1" x14ac:dyDescent="0.2">
      <c r="B59" t="s">
        <v>135</v>
      </c>
      <c r="C59" s="12">
        <v>47</v>
      </c>
      <c r="D59" s="8">
        <v>2.46</v>
      </c>
      <c r="E59" s="12">
        <v>47</v>
      </c>
      <c r="F59" s="8">
        <v>3.39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149</v>
      </c>
      <c r="C60" s="12">
        <v>45</v>
      </c>
      <c r="D60" s="8">
        <v>2.35</v>
      </c>
      <c r="E60" s="12">
        <v>43</v>
      </c>
      <c r="F60" s="8">
        <v>3.1</v>
      </c>
      <c r="G60" s="12">
        <v>2</v>
      </c>
      <c r="H60" s="8">
        <v>0.39</v>
      </c>
      <c r="I60" s="12">
        <v>0</v>
      </c>
    </row>
    <row r="61" spans="2:9" ht="15" customHeight="1" x14ac:dyDescent="0.2">
      <c r="B61" t="s">
        <v>155</v>
      </c>
      <c r="C61" s="12">
        <v>37</v>
      </c>
      <c r="D61" s="8">
        <v>1.93</v>
      </c>
      <c r="E61" s="12">
        <v>34</v>
      </c>
      <c r="F61" s="8">
        <v>2.4500000000000002</v>
      </c>
      <c r="G61" s="12">
        <v>3</v>
      </c>
      <c r="H61" s="8">
        <v>0.59</v>
      </c>
      <c r="I61" s="12">
        <v>0</v>
      </c>
    </row>
    <row r="62" spans="2:9" ht="15" customHeight="1" x14ac:dyDescent="0.2">
      <c r="B62" t="s">
        <v>131</v>
      </c>
      <c r="C62" s="12">
        <v>37</v>
      </c>
      <c r="D62" s="8">
        <v>1.93</v>
      </c>
      <c r="E62" s="12">
        <v>32</v>
      </c>
      <c r="F62" s="8">
        <v>2.31</v>
      </c>
      <c r="G62" s="12">
        <v>5</v>
      </c>
      <c r="H62" s="8">
        <v>0.98</v>
      </c>
      <c r="I62" s="12">
        <v>0</v>
      </c>
    </row>
    <row r="63" spans="2:9" ht="15" customHeight="1" x14ac:dyDescent="0.2">
      <c r="B63" t="s">
        <v>126</v>
      </c>
      <c r="C63" s="12">
        <v>30</v>
      </c>
      <c r="D63" s="8">
        <v>1.57</v>
      </c>
      <c r="E63" s="12">
        <v>25</v>
      </c>
      <c r="F63" s="8">
        <v>1.8</v>
      </c>
      <c r="G63" s="12">
        <v>5</v>
      </c>
      <c r="H63" s="8">
        <v>0.98</v>
      </c>
      <c r="I63" s="12">
        <v>0</v>
      </c>
    </row>
    <row r="64" spans="2:9" ht="15" customHeight="1" x14ac:dyDescent="0.2">
      <c r="B64" t="s">
        <v>142</v>
      </c>
      <c r="C64" s="12">
        <v>28</v>
      </c>
      <c r="D64" s="8">
        <v>1.46</v>
      </c>
      <c r="E64" s="12">
        <v>28</v>
      </c>
      <c r="F64" s="8">
        <v>2.02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129</v>
      </c>
      <c r="C65" s="12">
        <v>28</v>
      </c>
      <c r="D65" s="8">
        <v>1.46</v>
      </c>
      <c r="E65" s="12">
        <v>17</v>
      </c>
      <c r="F65" s="8">
        <v>1.23</v>
      </c>
      <c r="G65" s="12">
        <v>11</v>
      </c>
      <c r="H65" s="8">
        <v>2.17</v>
      </c>
      <c r="I65" s="12">
        <v>0</v>
      </c>
    </row>
    <row r="66" spans="2:9" ht="15" customHeight="1" x14ac:dyDescent="0.2">
      <c r="B66" t="s">
        <v>146</v>
      </c>
      <c r="C66" s="12">
        <v>26</v>
      </c>
      <c r="D66" s="8">
        <v>1.36</v>
      </c>
      <c r="E66" s="12">
        <v>14</v>
      </c>
      <c r="F66" s="8">
        <v>1.01</v>
      </c>
      <c r="G66" s="12">
        <v>12</v>
      </c>
      <c r="H66" s="8">
        <v>2.36</v>
      </c>
      <c r="I66" s="12">
        <v>0</v>
      </c>
    </row>
    <row r="67" spans="2:9" ht="15" customHeight="1" x14ac:dyDescent="0.2">
      <c r="B67" t="s">
        <v>156</v>
      </c>
      <c r="C67" s="12">
        <v>26</v>
      </c>
      <c r="D67" s="8">
        <v>1.36</v>
      </c>
      <c r="E67" s="12">
        <v>24</v>
      </c>
      <c r="F67" s="8">
        <v>1.73</v>
      </c>
      <c r="G67" s="12">
        <v>2</v>
      </c>
      <c r="H67" s="8">
        <v>0.39</v>
      </c>
      <c r="I67" s="12">
        <v>0</v>
      </c>
    </row>
    <row r="69" spans="2:9" ht="15" customHeight="1" x14ac:dyDescent="0.2">
      <c r="B69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B1FC5-BD4A-4ECE-9A26-9446AFCD81EC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274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1</v>
      </c>
      <c r="D5" s="8">
        <v>0.1</v>
      </c>
      <c r="E5" s="12">
        <v>0</v>
      </c>
      <c r="F5" s="8">
        <v>0</v>
      </c>
      <c r="G5" s="12">
        <v>1</v>
      </c>
      <c r="H5" s="8">
        <v>0.36</v>
      </c>
      <c r="I5" s="12">
        <v>0</v>
      </c>
    </row>
    <row r="6" spans="2:9" ht="15" customHeight="1" x14ac:dyDescent="0.2">
      <c r="B6" t="s">
        <v>43</v>
      </c>
      <c r="C6" s="12">
        <v>127</v>
      </c>
      <c r="D6" s="8">
        <v>13.3</v>
      </c>
      <c r="E6" s="12">
        <v>55</v>
      </c>
      <c r="F6" s="8">
        <v>8.2100000000000009</v>
      </c>
      <c r="G6" s="12">
        <v>72</v>
      </c>
      <c r="H6" s="8">
        <v>25.62</v>
      </c>
      <c r="I6" s="12">
        <v>0</v>
      </c>
    </row>
    <row r="7" spans="2:9" ht="15" customHeight="1" x14ac:dyDescent="0.2">
      <c r="B7" t="s">
        <v>44</v>
      </c>
      <c r="C7" s="12">
        <v>74</v>
      </c>
      <c r="D7" s="8">
        <v>7.75</v>
      </c>
      <c r="E7" s="12">
        <v>39</v>
      </c>
      <c r="F7" s="8">
        <v>5.82</v>
      </c>
      <c r="G7" s="12">
        <v>35</v>
      </c>
      <c r="H7" s="8">
        <v>12.46</v>
      </c>
      <c r="I7" s="12">
        <v>0</v>
      </c>
    </row>
    <row r="8" spans="2:9" ht="15" customHeight="1" x14ac:dyDescent="0.2">
      <c r="B8" t="s">
        <v>45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46</v>
      </c>
      <c r="C9" s="12">
        <v>4</v>
      </c>
      <c r="D9" s="8">
        <v>0.42</v>
      </c>
      <c r="E9" s="12">
        <v>1</v>
      </c>
      <c r="F9" s="8">
        <v>0.15</v>
      </c>
      <c r="G9" s="12">
        <v>3</v>
      </c>
      <c r="H9" s="8">
        <v>1.07</v>
      </c>
      <c r="I9" s="12">
        <v>0</v>
      </c>
    </row>
    <row r="10" spans="2:9" ht="15" customHeight="1" x14ac:dyDescent="0.2">
      <c r="B10" t="s">
        <v>47</v>
      </c>
      <c r="C10" s="12">
        <v>44</v>
      </c>
      <c r="D10" s="8">
        <v>4.6100000000000003</v>
      </c>
      <c r="E10" s="12">
        <v>41</v>
      </c>
      <c r="F10" s="8">
        <v>6.12</v>
      </c>
      <c r="G10" s="12">
        <v>3</v>
      </c>
      <c r="H10" s="8">
        <v>1.07</v>
      </c>
      <c r="I10" s="12">
        <v>0</v>
      </c>
    </row>
    <row r="11" spans="2:9" ht="15" customHeight="1" x14ac:dyDescent="0.2">
      <c r="B11" t="s">
        <v>48</v>
      </c>
      <c r="C11" s="12">
        <v>221</v>
      </c>
      <c r="D11" s="8">
        <v>23.14</v>
      </c>
      <c r="E11" s="12">
        <v>178</v>
      </c>
      <c r="F11" s="8">
        <v>26.57</v>
      </c>
      <c r="G11" s="12">
        <v>42</v>
      </c>
      <c r="H11" s="8">
        <v>14.95</v>
      </c>
      <c r="I11" s="12">
        <v>1</v>
      </c>
    </row>
    <row r="12" spans="2:9" ht="15" customHeight="1" x14ac:dyDescent="0.2">
      <c r="B12" t="s">
        <v>49</v>
      </c>
      <c r="C12" s="12">
        <v>2</v>
      </c>
      <c r="D12" s="8">
        <v>0.21</v>
      </c>
      <c r="E12" s="12">
        <v>2</v>
      </c>
      <c r="F12" s="8">
        <v>0.3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50</v>
      </c>
      <c r="C13" s="12">
        <v>30</v>
      </c>
      <c r="D13" s="8">
        <v>3.14</v>
      </c>
      <c r="E13" s="12">
        <v>16</v>
      </c>
      <c r="F13" s="8">
        <v>2.39</v>
      </c>
      <c r="G13" s="12">
        <v>14</v>
      </c>
      <c r="H13" s="8">
        <v>4.9800000000000004</v>
      </c>
      <c r="I13" s="12">
        <v>0</v>
      </c>
    </row>
    <row r="14" spans="2:9" ht="15" customHeight="1" x14ac:dyDescent="0.2">
      <c r="B14" t="s">
        <v>51</v>
      </c>
      <c r="C14" s="12">
        <v>32</v>
      </c>
      <c r="D14" s="8">
        <v>3.35</v>
      </c>
      <c r="E14" s="12">
        <v>17</v>
      </c>
      <c r="F14" s="8">
        <v>2.54</v>
      </c>
      <c r="G14" s="12">
        <v>15</v>
      </c>
      <c r="H14" s="8">
        <v>5.34</v>
      </c>
      <c r="I14" s="12">
        <v>0</v>
      </c>
    </row>
    <row r="15" spans="2:9" ht="15" customHeight="1" x14ac:dyDescent="0.2">
      <c r="B15" t="s">
        <v>52</v>
      </c>
      <c r="C15" s="12">
        <v>136</v>
      </c>
      <c r="D15" s="8">
        <v>14.24</v>
      </c>
      <c r="E15" s="12">
        <v>123</v>
      </c>
      <c r="F15" s="8">
        <v>18.36</v>
      </c>
      <c r="G15" s="12">
        <v>12</v>
      </c>
      <c r="H15" s="8">
        <v>4.2699999999999996</v>
      </c>
      <c r="I15" s="12">
        <v>0</v>
      </c>
    </row>
    <row r="16" spans="2:9" ht="15" customHeight="1" x14ac:dyDescent="0.2">
      <c r="B16" t="s">
        <v>53</v>
      </c>
      <c r="C16" s="12">
        <v>105</v>
      </c>
      <c r="D16" s="8">
        <v>10.99</v>
      </c>
      <c r="E16" s="12">
        <v>84</v>
      </c>
      <c r="F16" s="8">
        <v>12.54</v>
      </c>
      <c r="G16" s="12">
        <v>21</v>
      </c>
      <c r="H16" s="8">
        <v>7.47</v>
      </c>
      <c r="I16" s="12">
        <v>0</v>
      </c>
    </row>
    <row r="17" spans="2:9" ht="15" customHeight="1" x14ac:dyDescent="0.2">
      <c r="B17" t="s">
        <v>54</v>
      </c>
      <c r="C17" s="12">
        <v>63</v>
      </c>
      <c r="D17" s="8">
        <v>6.6</v>
      </c>
      <c r="E17" s="12">
        <v>55</v>
      </c>
      <c r="F17" s="8">
        <v>8.2100000000000009</v>
      </c>
      <c r="G17" s="12">
        <v>6</v>
      </c>
      <c r="H17" s="8">
        <v>2.14</v>
      </c>
      <c r="I17" s="12">
        <v>2</v>
      </c>
    </row>
    <row r="18" spans="2:9" ht="15" customHeight="1" x14ac:dyDescent="0.2">
      <c r="B18" t="s">
        <v>55</v>
      </c>
      <c r="C18" s="12">
        <v>57</v>
      </c>
      <c r="D18" s="8">
        <v>5.97</v>
      </c>
      <c r="E18" s="12">
        <v>20</v>
      </c>
      <c r="F18" s="8">
        <v>2.99</v>
      </c>
      <c r="G18" s="12">
        <v>37</v>
      </c>
      <c r="H18" s="8">
        <v>13.17</v>
      </c>
      <c r="I18" s="12">
        <v>0</v>
      </c>
    </row>
    <row r="19" spans="2:9" ht="15" customHeight="1" x14ac:dyDescent="0.2">
      <c r="B19" t="s">
        <v>56</v>
      </c>
      <c r="C19" s="12">
        <v>59</v>
      </c>
      <c r="D19" s="8">
        <v>6.18</v>
      </c>
      <c r="E19" s="12">
        <v>39</v>
      </c>
      <c r="F19" s="8">
        <v>5.82</v>
      </c>
      <c r="G19" s="12">
        <v>20</v>
      </c>
      <c r="H19" s="8">
        <v>7.12</v>
      </c>
      <c r="I19" s="12">
        <v>0</v>
      </c>
    </row>
    <row r="20" spans="2:9" ht="15" customHeight="1" x14ac:dyDescent="0.2">
      <c r="B20" s="9" t="s">
        <v>260</v>
      </c>
      <c r="C20" s="12">
        <f>SUM(LTBL_47215[総数／事業所数])</f>
        <v>955</v>
      </c>
      <c r="E20" s="12">
        <f>SUBTOTAL(109,LTBL_47215[個人／事業所数])</f>
        <v>670</v>
      </c>
      <c r="G20" s="12">
        <f>SUBTOTAL(109,LTBL_47215[法人／事業所数])</f>
        <v>281</v>
      </c>
      <c r="I20" s="12">
        <f>SUBTOTAL(109,LTBL_47215[法人以外の団体／事業所数])</f>
        <v>3</v>
      </c>
    </row>
    <row r="21" spans="2:9" ht="15" customHeight="1" x14ac:dyDescent="0.2">
      <c r="E21" s="11">
        <f>LTBL_47215[[#Totals],[個人／事業所数]]/LTBL_47215[[#Totals],[総数／事業所数]]</f>
        <v>0.70157068062827221</v>
      </c>
      <c r="G21" s="11">
        <f>LTBL_47215[[#Totals],[法人／事業所数]]/LTBL_47215[[#Totals],[総数／事業所数]]</f>
        <v>0.29424083769633508</v>
      </c>
      <c r="I21" s="11">
        <f>LTBL_47215[[#Totals],[法人以外の団体／事業所数]]/LTBL_47215[[#Totals],[総数／事業所数]]</f>
        <v>3.1413612565445027E-3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77</v>
      </c>
      <c r="C24" s="12">
        <v>109</v>
      </c>
      <c r="D24" s="8">
        <v>11.41</v>
      </c>
      <c r="E24" s="12">
        <v>105</v>
      </c>
      <c r="F24" s="8">
        <v>15.67</v>
      </c>
      <c r="G24" s="12">
        <v>4</v>
      </c>
      <c r="H24" s="8">
        <v>1.42</v>
      </c>
      <c r="I24" s="12">
        <v>0</v>
      </c>
    </row>
    <row r="25" spans="2:9" ht="15" customHeight="1" x14ac:dyDescent="0.2">
      <c r="B25" t="s">
        <v>71</v>
      </c>
      <c r="C25" s="12">
        <v>98</v>
      </c>
      <c r="D25" s="8">
        <v>10.26</v>
      </c>
      <c r="E25" s="12">
        <v>89</v>
      </c>
      <c r="F25" s="8">
        <v>13.28</v>
      </c>
      <c r="G25" s="12">
        <v>9</v>
      </c>
      <c r="H25" s="8">
        <v>3.2</v>
      </c>
      <c r="I25" s="12">
        <v>0</v>
      </c>
    </row>
    <row r="26" spans="2:9" ht="15" customHeight="1" x14ac:dyDescent="0.2">
      <c r="B26" t="s">
        <v>78</v>
      </c>
      <c r="C26" s="12">
        <v>87</v>
      </c>
      <c r="D26" s="8">
        <v>9.11</v>
      </c>
      <c r="E26" s="12">
        <v>77</v>
      </c>
      <c r="F26" s="8">
        <v>11.49</v>
      </c>
      <c r="G26" s="12">
        <v>10</v>
      </c>
      <c r="H26" s="8">
        <v>3.56</v>
      </c>
      <c r="I26" s="12">
        <v>0</v>
      </c>
    </row>
    <row r="27" spans="2:9" ht="15" customHeight="1" x14ac:dyDescent="0.2">
      <c r="B27" t="s">
        <v>81</v>
      </c>
      <c r="C27" s="12">
        <v>63</v>
      </c>
      <c r="D27" s="8">
        <v>6.6</v>
      </c>
      <c r="E27" s="12">
        <v>55</v>
      </c>
      <c r="F27" s="8">
        <v>8.2100000000000009</v>
      </c>
      <c r="G27" s="12">
        <v>6</v>
      </c>
      <c r="H27" s="8">
        <v>2.14</v>
      </c>
      <c r="I27" s="12">
        <v>2</v>
      </c>
    </row>
    <row r="28" spans="2:9" ht="15" customHeight="1" x14ac:dyDescent="0.2">
      <c r="B28" t="s">
        <v>69</v>
      </c>
      <c r="C28" s="12">
        <v>58</v>
      </c>
      <c r="D28" s="8">
        <v>6.07</v>
      </c>
      <c r="E28" s="12">
        <v>53</v>
      </c>
      <c r="F28" s="8">
        <v>7.91</v>
      </c>
      <c r="G28" s="12">
        <v>4</v>
      </c>
      <c r="H28" s="8">
        <v>1.42</v>
      </c>
      <c r="I28" s="12">
        <v>1</v>
      </c>
    </row>
    <row r="29" spans="2:9" ht="15" customHeight="1" x14ac:dyDescent="0.2">
      <c r="B29" t="s">
        <v>65</v>
      </c>
      <c r="C29" s="12">
        <v>53</v>
      </c>
      <c r="D29" s="8">
        <v>5.55</v>
      </c>
      <c r="E29" s="12">
        <v>14</v>
      </c>
      <c r="F29" s="8">
        <v>2.09</v>
      </c>
      <c r="G29" s="12">
        <v>39</v>
      </c>
      <c r="H29" s="8">
        <v>13.88</v>
      </c>
      <c r="I29" s="12">
        <v>0</v>
      </c>
    </row>
    <row r="30" spans="2:9" ht="15" customHeight="1" x14ac:dyDescent="0.2">
      <c r="B30" t="s">
        <v>67</v>
      </c>
      <c r="C30" s="12">
        <v>42</v>
      </c>
      <c r="D30" s="8">
        <v>4.4000000000000004</v>
      </c>
      <c r="E30" s="12">
        <v>20</v>
      </c>
      <c r="F30" s="8">
        <v>2.99</v>
      </c>
      <c r="G30" s="12">
        <v>22</v>
      </c>
      <c r="H30" s="8">
        <v>7.83</v>
      </c>
      <c r="I30" s="12">
        <v>0</v>
      </c>
    </row>
    <row r="31" spans="2:9" ht="15" customHeight="1" x14ac:dyDescent="0.2">
      <c r="B31" t="s">
        <v>83</v>
      </c>
      <c r="C31" s="12">
        <v>37</v>
      </c>
      <c r="D31" s="8">
        <v>3.87</v>
      </c>
      <c r="E31" s="12">
        <v>0</v>
      </c>
      <c r="F31" s="8">
        <v>0</v>
      </c>
      <c r="G31" s="12">
        <v>37</v>
      </c>
      <c r="H31" s="8">
        <v>13.17</v>
      </c>
      <c r="I31" s="12">
        <v>0</v>
      </c>
    </row>
    <row r="32" spans="2:9" ht="15" customHeight="1" x14ac:dyDescent="0.2">
      <c r="B32" t="s">
        <v>84</v>
      </c>
      <c r="C32" s="12">
        <v>37</v>
      </c>
      <c r="D32" s="8">
        <v>3.87</v>
      </c>
      <c r="E32" s="12">
        <v>32</v>
      </c>
      <c r="F32" s="8">
        <v>4.78</v>
      </c>
      <c r="G32" s="12">
        <v>5</v>
      </c>
      <c r="H32" s="8">
        <v>1.78</v>
      </c>
      <c r="I32" s="12">
        <v>0</v>
      </c>
    </row>
    <row r="33" spans="2:9" ht="15" customHeight="1" x14ac:dyDescent="0.2">
      <c r="B33" t="s">
        <v>66</v>
      </c>
      <c r="C33" s="12">
        <v>32</v>
      </c>
      <c r="D33" s="8">
        <v>3.35</v>
      </c>
      <c r="E33" s="12">
        <v>21</v>
      </c>
      <c r="F33" s="8">
        <v>3.13</v>
      </c>
      <c r="G33" s="12">
        <v>11</v>
      </c>
      <c r="H33" s="8">
        <v>3.91</v>
      </c>
      <c r="I33" s="12">
        <v>0</v>
      </c>
    </row>
    <row r="34" spans="2:9" ht="15" customHeight="1" x14ac:dyDescent="0.2">
      <c r="B34" t="s">
        <v>96</v>
      </c>
      <c r="C34" s="12">
        <v>26</v>
      </c>
      <c r="D34" s="8">
        <v>2.72</v>
      </c>
      <c r="E34" s="12">
        <v>25</v>
      </c>
      <c r="F34" s="8">
        <v>3.73</v>
      </c>
      <c r="G34" s="12">
        <v>1</v>
      </c>
      <c r="H34" s="8">
        <v>0.36</v>
      </c>
      <c r="I34" s="12">
        <v>0</v>
      </c>
    </row>
    <row r="35" spans="2:9" ht="15" customHeight="1" x14ac:dyDescent="0.2">
      <c r="B35" t="s">
        <v>70</v>
      </c>
      <c r="C35" s="12">
        <v>23</v>
      </c>
      <c r="D35" s="8">
        <v>2.41</v>
      </c>
      <c r="E35" s="12">
        <v>16</v>
      </c>
      <c r="F35" s="8">
        <v>2.39</v>
      </c>
      <c r="G35" s="12">
        <v>7</v>
      </c>
      <c r="H35" s="8">
        <v>2.4900000000000002</v>
      </c>
      <c r="I35" s="12">
        <v>0</v>
      </c>
    </row>
    <row r="36" spans="2:9" ht="15" customHeight="1" x14ac:dyDescent="0.2">
      <c r="B36" t="s">
        <v>73</v>
      </c>
      <c r="C36" s="12">
        <v>23</v>
      </c>
      <c r="D36" s="8">
        <v>2.41</v>
      </c>
      <c r="E36" s="12">
        <v>12</v>
      </c>
      <c r="F36" s="8">
        <v>1.79</v>
      </c>
      <c r="G36" s="12">
        <v>11</v>
      </c>
      <c r="H36" s="8">
        <v>3.91</v>
      </c>
      <c r="I36" s="12">
        <v>0</v>
      </c>
    </row>
    <row r="37" spans="2:9" ht="15" customHeight="1" x14ac:dyDescent="0.2">
      <c r="B37" t="s">
        <v>82</v>
      </c>
      <c r="C37" s="12">
        <v>20</v>
      </c>
      <c r="D37" s="8">
        <v>2.09</v>
      </c>
      <c r="E37" s="12">
        <v>20</v>
      </c>
      <c r="F37" s="8">
        <v>2.99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75</v>
      </c>
      <c r="C38" s="12">
        <v>17</v>
      </c>
      <c r="D38" s="8">
        <v>1.78</v>
      </c>
      <c r="E38" s="12">
        <v>7</v>
      </c>
      <c r="F38" s="8">
        <v>1.04</v>
      </c>
      <c r="G38" s="12">
        <v>10</v>
      </c>
      <c r="H38" s="8">
        <v>3.56</v>
      </c>
      <c r="I38" s="12">
        <v>0</v>
      </c>
    </row>
    <row r="39" spans="2:9" ht="15" customHeight="1" x14ac:dyDescent="0.2">
      <c r="B39" t="s">
        <v>95</v>
      </c>
      <c r="C39" s="12">
        <v>16</v>
      </c>
      <c r="D39" s="8">
        <v>1.68</v>
      </c>
      <c r="E39" s="12">
        <v>12</v>
      </c>
      <c r="F39" s="8">
        <v>1.79</v>
      </c>
      <c r="G39" s="12">
        <v>4</v>
      </c>
      <c r="H39" s="8">
        <v>1.42</v>
      </c>
      <c r="I39" s="12">
        <v>0</v>
      </c>
    </row>
    <row r="40" spans="2:9" ht="15" customHeight="1" x14ac:dyDescent="0.2">
      <c r="B40" t="s">
        <v>93</v>
      </c>
      <c r="C40" s="12">
        <v>16</v>
      </c>
      <c r="D40" s="8">
        <v>1.68</v>
      </c>
      <c r="E40" s="12">
        <v>14</v>
      </c>
      <c r="F40" s="8">
        <v>2.09</v>
      </c>
      <c r="G40" s="12">
        <v>2</v>
      </c>
      <c r="H40" s="8">
        <v>0.71</v>
      </c>
      <c r="I40" s="12">
        <v>0</v>
      </c>
    </row>
    <row r="41" spans="2:9" ht="15" customHeight="1" x14ac:dyDescent="0.2">
      <c r="B41" t="s">
        <v>76</v>
      </c>
      <c r="C41" s="12">
        <v>16</v>
      </c>
      <c r="D41" s="8">
        <v>1.68</v>
      </c>
      <c r="E41" s="12">
        <v>12</v>
      </c>
      <c r="F41" s="8">
        <v>1.79</v>
      </c>
      <c r="G41" s="12">
        <v>4</v>
      </c>
      <c r="H41" s="8">
        <v>1.42</v>
      </c>
      <c r="I41" s="12">
        <v>0</v>
      </c>
    </row>
    <row r="42" spans="2:9" ht="15" customHeight="1" x14ac:dyDescent="0.2">
      <c r="B42" t="s">
        <v>92</v>
      </c>
      <c r="C42" s="12">
        <v>13</v>
      </c>
      <c r="D42" s="8">
        <v>1.36</v>
      </c>
      <c r="E42" s="12">
        <v>11</v>
      </c>
      <c r="F42" s="8">
        <v>1.64</v>
      </c>
      <c r="G42" s="12">
        <v>2</v>
      </c>
      <c r="H42" s="8">
        <v>0.71</v>
      </c>
      <c r="I42" s="12">
        <v>0</v>
      </c>
    </row>
    <row r="43" spans="2:9" ht="15" customHeight="1" x14ac:dyDescent="0.2">
      <c r="B43" t="s">
        <v>74</v>
      </c>
      <c r="C43" s="12">
        <v>13</v>
      </c>
      <c r="D43" s="8">
        <v>1.36</v>
      </c>
      <c r="E43" s="12">
        <v>10</v>
      </c>
      <c r="F43" s="8">
        <v>1.49</v>
      </c>
      <c r="G43" s="12">
        <v>3</v>
      </c>
      <c r="H43" s="8">
        <v>1.07</v>
      </c>
      <c r="I43" s="12">
        <v>0</v>
      </c>
    </row>
    <row r="46" spans="2:9" ht="33" customHeight="1" x14ac:dyDescent="0.2">
      <c r="B46" t="s">
        <v>262</v>
      </c>
      <c r="C46" s="10" t="s">
        <v>58</v>
      </c>
      <c r="D46" s="10" t="s">
        <v>59</v>
      </c>
      <c r="E46" s="10" t="s">
        <v>60</v>
      </c>
      <c r="F46" s="10" t="s">
        <v>61</v>
      </c>
      <c r="G46" s="10" t="s">
        <v>62</v>
      </c>
      <c r="H46" s="10" t="s">
        <v>63</v>
      </c>
      <c r="I46" s="10" t="s">
        <v>64</v>
      </c>
    </row>
    <row r="47" spans="2:9" ht="15" customHeight="1" x14ac:dyDescent="0.2">
      <c r="B47" t="s">
        <v>153</v>
      </c>
      <c r="C47" s="12">
        <v>53</v>
      </c>
      <c r="D47" s="8">
        <v>5.55</v>
      </c>
      <c r="E47" s="12">
        <v>53</v>
      </c>
      <c r="F47" s="8">
        <v>7.91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136</v>
      </c>
      <c r="C48" s="12">
        <v>42</v>
      </c>
      <c r="D48" s="8">
        <v>4.4000000000000004</v>
      </c>
      <c r="E48" s="12">
        <v>39</v>
      </c>
      <c r="F48" s="8">
        <v>5.82</v>
      </c>
      <c r="G48" s="12">
        <v>3</v>
      </c>
      <c r="H48" s="8">
        <v>1.07</v>
      </c>
      <c r="I48" s="12">
        <v>0</v>
      </c>
    </row>
    <row r="49" spans="2:9" ht="15" customHeight="1" x14ac:dyDescent="0.2">
      <c r="B49" t="s">
        <v>139</v>
      </c>
      <c r="C49" s="12">
        <v>41</v>
      </c>
      <c r="D49" s="8">
        <v>4.29</v>
      </c>
      <c r="E49" s="12">
        <v>39</v>
      </c>
      <c r="F49" s="8">
        <v>5.82</v>
      </c>
      <c r="G49" s="12">
        <v>1</v>
      </c>
      <c r="H49" s="8">
        <v>0.36</v>
      </c>
      <c r="I49" s="12">
        <v>1</v>
      </c>
    </row>
    <row r="50" spans="2:9" ht="15" customHeight="1" x14ac:dyDescent="0.2">
      <c r="B50" t="s">
        <v>141</v>
      </c>
      <c r="C50" s="12">
        <v>37</v>
      </c>
      <c r="D50" s="8">
        <v>3.87</v>
      </c>
      <c r="E50" s="12">
        <v>32</v>
      </c>
      <c r="F50" s="8">
        <v>4.78</v>
      </c>
      <c r="G50" s="12">
        <v>5</v>
      </c>
      <c r="H50" s="8">
        <v>1.78</v>
      </c>
      <c r="I50" s="12">
        <v>0</v>
      </c>
    </row>
    <row r="51" spans="2:9" ht="15" customHeight="1" x14ac:dyDescent="0.2">
      <c r="B51" t="s">
        <v>135</v>
      </c>
      <c r="C51" s="12">
        <v>32</v>
      </c>
      <c r="D51" s="8">
        <v>3.35</v>
      </c>
      <c r="E51" s="12">
        <v>31</v>
      </c>
      <c r="F51" s="8">
        <v>4.63</v>
      </c>
      <c r="G51" s="12">
        <v>1</v>
      </c>
      <c r="H51" s="8">
        <v>0.36</v>
      </c>
      <c r="I51" s="12">
        <v>0</v>
      </c>
    </row>
    <row r="52" spans="2:9" ht="15" customHeight="1" x14ac:dyDescent="0.2">
      <c r="B52" t="s">
        <v>122</v>
      </c>
      <c r="C52" s="12">
        <v>31</v>
      </c>
      <c r="D52" s="8">
        <v>3.25</v>
      </c>
      <c r="E52" s="12">
        <v>4</v>
      </c>
      <c r="F52" s="8">
        <v>0.6</v>
      </c>
      <c r="G52" s="12">
        <v>27</v>
      </c>
      <c r="H52" s="8">
        <v>9.61</v>
      </c>
      <c r="I52" s="12">
        <v>0</v>
      </c>
    </row>
    <row r="53" spans="2:9" ht="15" customHeight="1" x14ac:dyDescent="0.2">
      <c r="B53" t="s">
        <v>132</v>
      </c>
      <c r="C53" s="12">
        <v>30</v>
      </c>
      <c r="D53" s="8">
        <v>3.14</v>
      </c>
      <c r="E53" s="12">
        <v>29</v>
      </c>
      <c r="F53" s="8">
        <v>4.33</v>
      </c>
      <c r="G53" s="12">
        <v>1</v>
      </c>
      <c r="H53" s="8">
        <v>0.36</v>
      </c>
      <c r="I53" s="12">
        <v>0</v>
      </c>
    </row>
    <row r="54" spans="2:9" ht="15" customHeight="1" x14ac:dyDescent="0.2">
      <c r="B54" t="s">
        <v>157</v>
      </c>
      <c r="C54" s="12">
        <v>26</v>
      </c>
      <c r="D54" s="8">
        <v>2.72</v>
      </c>
      <c r="E54" s="12">
        <v>25</v>
      </c>
      <c r="F54" s="8">
        <v>3.73</v>
      </c>
      <c r="G54" s="12">
        <v>1</v>
      </c>
      <c r="H54" s="8">
        <v>0.36</v>
      </c>
      <c r="I54" s="12">
        <v>0</v>
      </c>
    </row>
    <row r="55" spans="2:9" ht="15" customHeight="1" x14ac:dyDescent="0.2">
      <c r="B55" t="s">
        <v>123</v>
      </c>
      <c r="C55" s="12">
        <v>26</v>
      </c>
      <c r="D55" s="8">
        <v>2.72</v>
      </c>
      <c r="E55" s="12">
        <v>23</v>
      </c>
      <c r="F55" s="8">
        <v>3.43</v>
      </c>
      <c r="G55" s="12">
        <v>3</v>
      </c>
      <c r="H55" s="8">
        <v>1.07</v>
      </c>
      <c r="I55" s="12">
        <v>0</v>
      </c>
    </row>
    <row r="56" spans="2:9" ht="15" customHeight="1" x14ac:dyDescent="0.2">
      <c r="B56" t="s">
        <v>131</v>
      </c>
      <c r="C56" s="12">
        <v>25</v>
      </c>
      <c r="D56" s="8">
        <v>2.62</v>
      </c>
      <c r="E56" s="12">
        <v>24</v>
      </c>
      <c r="F56" s="8">
        <v>3.58</v>
      </c>
      <c r="G56" s="12">
        <v>1</v>
      </c>
      <c r="H56" s="8">
        <v>0.36</v>
      </c>
      <c r="I56" s="12">
        <v>0</v>
      </c>
    </row>
    <row r="57" spans="2:9" ht="15" customHeight="1" x14ac:dyDescent="0.2">
      <c r="B57" t="s">
        <v>146</v>
      </c>
      <c r="C57" s="12">
        <v>23</v>
      </c>
      <c r="D57" s="8">
        <v>2.41</v>
      </c>
      <c r="E57" s="12">
        <v>12</v>
      </c>
      <c r="F57" s="8">
        <v>1.79</v>
      </c>
      <c r="G57" s="12">
        <v>11</v>
      </c>
      <c r="H57" s="8">
        <v>3.91</v>
      </c>
      <c r="I57" s="12">
        <v>0</v>
      </c>
    </row>
    <row r="58" spans="2:9" ht="15" customHeight="1" x14ac:dyDescent="0.2">
      <c r="B58" t="s">
        <v>128</v>
      </c>
      <c r="C58" s="12">
        <v>23</v>
      </c>
      <c r="D58" s="8">
        <v>2.41</v>
      </c>
      <c r="E58" s="12">
        <v>12</v>
      </c>
      <c r="F58" s="8">
        <v>1.79</v>
      </c>
      <c r="G58" s="12">
        <v>11</v>
      </c>
      <c r="H58" s="8">
        <v>3.91</v>
      </c>
      <c r="I58" s="12">
        <v>0</v>
      </c>
    </row>
    <row r="59" spans="2:9" ht="15" customHeight="1" x14ac:dyDescent="0.2">
      <c r="B59" t="s">
        <v>133</v>
      </c>
      <c r="C59" s="12">
        <v>18</v>
      </c>
      <c r="D59" s="8">
        <v>1.88</v>
      </c>
      <c r="E59" s="12">
        <v>18</v>
      </c>
      <c r="F59" s="8">
        <v>2.69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152</v>
      </c>
      <c r="C60" s="12">
        <v>18</v>
      </c>
      <c r="D60" s="8">
        <v>1.88</v>
      </c>
      <c r="E60" s="12">
        <v>0</v>
      </c>
      <c r="F60" s="8">
        <v>0</v>
      </c>
      <c r="G60" s="12">
        <v>18</v>
      </c>
      <c r="H60" s="8">
        <v>6.41</v>
      </c>
      <c r="I60" s="12">
        <v>0</v>
      </c>
    </row>
    <row r="61" spans="2:9" ht="15" customHeight="1" x14ac:dyDescent="0.2">
      <c r="B61" t="s">
        <v>155</v>
      </c>
      <c r="C61" s="12">
        <v>16</v>
      </c>
      <c r="D61" s="8">
        <v>1.68</v>
      </c>
      <c r="E61" s="12">
        <v>14</v>
      </c>
      <c r="F61" s="8">
        <v>2.09</v>
      </c>
      <c r="G61" s="12">
        <v>2</v>
      </c>
      <c r="H61" s="8">
        <v>0.71</v>
      </c>
      <c r="I61" s="12">
        <v>0</v>
      </c>
    </row>
    <row r="62" spans="2:9" ht="15" customHeight="1" x14ac:dyDescent="0.2">
      <c r="B62" t="s">
        <v>124</v>
      </c>
      <c r="C62" s="12">
        <v>16</v>
      </c>
      <c r="D62" s="8">
        <v>1.68</v>
      </c>
      <c r="E62" s="12">
        <v>11</v>
      </c>
      <c r="F62" s="8">
        <v>1.64</v>
      </c>
      <c r="G62" s="12">
        <v>5</v>
      </c>
      <c r="H62" s="8">
        <v>1.78</v>
      </c>
      <c r="I62" s="12">
        <v>0</v>
      </c>
    </row>
    <row r="63" spans="2:9" ht="15" customHeight="1" x14ac:dyDescent="0.2">
      <c r="B63" t="s">
        <v>134</v>
      </c>
      <c r="C63" s="12">
        <v>16</v>
      </c>
      <c r="D63" s="8">
        <v>1.68</v>
      </c>
      <c r="E63" s="12">
        <v>15</v>
      </c>
      <c r="F63" s="8">
        <v>2.2400000000000002</v>
      </c>
      <c r="G63" s="12">
        <v>1</v>
      </c>
      <c r="H63" s="8">
        <v>0.36</v>
      </c>
      <c r="I63" s="12">
        <v>0</v>
      </c>
    </row>
    <row r="64" spans="2:9" ht="15" customHeight="1" x14ac:dyDescent="0.2">
      <c r="B64" t="s">
        <v>129</v>
      </c>
      <c r="C64" s="12">
        <v>15</v>
      </c>
      <c r="D64" s="8">
        <v>1.57</v>
      </c>
      <c r="E64" s="12">
        <v>6</v>
      </c>
      <c r="F64" s="8">
        <v>0.9</v>
      </c>
      <c r="G64" s="12">
        <v>9</v>
      </c>
      <c r="H64" s="8">
        <v>3.2</v>
      </c>
      <c r="I64" s="12">
        <v>0</v>
      </c>
    </row>
    <row r="65" spans="2:9" ht="15" customHeight="1" x14ac:dyDescent="0.2">
      <c r="B65" t="s">
        <v>138</v>
      </c>
      <c r="C65" s="12">
        <v>15</v>
      </c>
      <c r="D65" s="8">
        <v>1.57</v>
      </c>
      <c r="E65" s="12">
        <v>15</v>
      </c>
      <c r="F65" s="8">
        <v>2.2400000000000002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147</v>
      </c>
      <c r="C66" s="12">
        <v>14</v>
      </c>
      <c r="D66" s="8">
        <v>1.47</v>
      </c>
      <c r="E66" s="12">
        <v>7</v>
      </c>
      <c r="F66" s="8">
        <v>1.04</v>
      </c>
      <c r="G66" s="12">
        <v>7</v>
      </c>
      <c r="H66" s="8">
        <v>2.4900000000000002</v>
      </c>
      <c r="I66" s="12">
        <v>0</v>
      </c>
    </row>
    <row r="67" spans="2:9" ht="15" customHeight="1" x14ac:dyDescent="0.2">
      <c r="B67" t="s">
        <v>149</v>
      </c>
      <c r="C67" s="12">
        <v>14</v>
      </c>
      <c r="D67" s="8">
        <v>1.47</v>
      </c>
      <c r="E67" s="12">
        <v>13</v>
      </c>
      <c r="F67" s="8">
        <v>1.94</v>
      </c>
      <c r="G67" s="12">
        <v>1</v>
      </c>
      <c r="H67" s="8">
        <v>0.36</v>
      </c>
      <c r="I67" s="12">
        <v>0</v>
      </c>
    </row>
    <row r="69" spans="2:9" ht="15" customHeight="1" x14ac:dyDescent="0.2">
      <c r="B69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67942-8EAB-4656-A733-23A2C8D58BCD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275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7</v>
      </c>
      <c r="D6" s="8">
        <v>4.05</v>
      </c>
      <c r="E6" s="12">
        <v>5</v>
      </c>
      <c r="F6" s="8">
        <v>3.57</v>
      </c>
      <c r="G6" s="12">
        <v>2</v>
      </c>
      <c r="H6" s="8">
        <v>7.69</v>
      </c>
      <c r="I6" s="12">
        <v>0</v>
      </c>
    </row>
    <row r="7" spans="2:9" ht="15" customHeight="1" x14ac:dyDescent="0.2">
      <c r="B7" t="s">
        <v>44</v>
      </c>
      <c r="C7" s="12">
        <v>12</v>
      </c>
      <c r="D7" s="8">
        <v>6.94</v>
      </c>
      <c r="E7" s="12">
        <v>5</v>
      </c>
      <c r="F7" s="8">
        <v>3.57</v>
      </c>
      <c r="G7" s="12">
        <v>7</v>
      </c>
      <c r="H7" s="8">
        <v>26.92</v>
      </c>
      <c r="I7" s="12">
        <v>0</v>
      </c>
    </row>
    <row r="8" spans="2:9" ht="15" customHeight="1" x14ac:dyDescent="0.2">
      <c r="B8" t="s">
        <v>45</v>
      </c>
      <c r="C8" s="12">
        <v>1</v>
      </c>
      <c r="D8" s="8">
        <v>0.57999999999999996</v>
      </c>
      <c r="E8" s="12">
        <v>0</v>
      </c>
      <c r="F8" s="8">
        <v>0</v>
      </c>
      <c r="G8" s="12">
        <v>1</v>
      </c>
      <c r="H8" s="8">
        <v>3.85</v>
      </c>
      <c r="I8" s="12">
        <v>0</v>
      </c>
    </row>
    <row r="9" spans="2:9" ht="15" customHeight="1" x14ac:dyDescent="0.2">
      <c r="B9" t="s">
        <v>46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47</v>
      </c>
      <c r="C10" s="12">
        <v>3</v>
      </c>
      <c r="D10" s="8">
        <v>1.73</v>
      </c>
      <c r="E10" s="12">
        <v>3</v>
      </c>
      <c r="F10" s="8">
        <v>2.14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48</v>
      </c>
      <c r="C11" s="12">
        <v>49</v>
      </c>
      <c r="D11" s="8">
        <v>28.32</v>
      </c>
      <c r="E11" s="12">
        <v>40</v>
      </c>
      <c r="F11" s="8">
        <v>28.57</v>
      </c>
      <c r="G11" s="12">
        <v>5</v>
      </c>
      <c r="H11" s="8">
        <v>19.23</v>
      </c>
      <c r="I11" s="12">
        <v>4</v>
      </c>
    </row>
    <row r="12" spans="2:9" ht="15" customHeight="1" x14ac:dyDescent="0.2">
      <c r="B12" t="s">
        <v>49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50</v>
      </c>
      <c r="C13" s="12">
        <v>11</v>
      </c>
      <c r="D13" s="8">
        <v>6.36</v>
      </c>
      <c r="E13" s="12">
        <v>9</v>
      </c>
      <c r="F13" s="8">
        <v>6.43</v>
      </c>
      <c r="G13" s="12">
        <v>2</v>
      </c>
      <c r="H13" s="8">
        <v>7.69</v>
      </c>
      <c r="I13" s="12">
        <v>0</v>
      </c>
    </row>
    <row r="14" spans="2:9" ht="15" customHeight="1" x14ac:dyDescent="0.2">
      <c r="B14" t="s">
        <v>51</v>
      </c>
      <c r="C14" s="12">
        <v>3</v>
      </c>
      <c r="D14" s="8">
        <v>1.73</v>
      </c>
      <c r="E14" s="12">
        <v>3</v>
      </c>
      <c r="F14" s="8">
        <v>2.14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52</v>
      </c>
      <c r="C15" s="12">
        <v>55</v>
      </c>
      <c r="D15" s="8">
        <v>31.79</v>
      </c>
      <c r="E15" s="12">
        <v>50</v>
      </c>
      <c r="F15" s="8">
        <v>35.71</v>
      </c>
      <c r="G15" s="12">
        <v>4</v>
      </c>
      <c r="H15" s="8">
        <v>15.38</v>
      </c>
      <c r="I15" s="12">
        <v>1</v>
      </c>
    </row>
    <row r="16" spans="2:9" ht="15" customHeight="1" x14ac:dyDescent="0.2">
      <c r="B16" t="s">
        <v>53</v>
      </c>
      <c r="C16" s="12">
        <v>19</v>
      </c>
      <c r="D16" s="8">
        <v>10.98</v>
      </c>
      <c r="E16" s="12">
        <v>14</v>
      </c>
      <c r="F16" s="8">
        <v>10</v>
      </c>
      <c r="G16" s="12">
        <v>4</v>
      </c>
      <c r="H16" s="8">
        <v>15.38</v>
      </c>
      <c r="I16" s="12">
        <v>0</v>
      </c>
    </row>
    <row r="17" spans="2:9" ht="15" customHeight="1" x14ac:dyDescent="0.2">
      <c r="B17" t="s">
        <v>54</v>
      </c>
      <c r="C17" s="12">
        <v>5</v>
      </c>
      <c r="D17" s="8">
        <v>2.89</v>
      </c>
      <c r="E17" s="12">
        <v>4</v>
      </c>
      <c r="F17" s="8">
        <v>2.86</v>
      </c>
      <c r="G17" s="12">
        <v>1</v>
      </c>
      <c r="H17" s="8">
        <v>3.85</v>
      </c>
      <c r="I17" s="12">
        <v>0</v>
      </c>
    </row>
    <row r="18" spans="2:9" ht="15" customHeight="1" x14ac:dyDescent="0.2">
      <c r="B18" t="s">
        <v>55</v>
      </c>
      <c r="C18" s="12">
        <v>2</v>
      </c>
      <c r="D18" s="8">
        <v>1.1599999999999999</v>
      </c>
      <c r="E18" s="12">
        <v>2</v>
      </c>
      <c r="F18" s="8">
        <v>1.43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56</v>
      </c>
      <c r="C19" s="12">
        <v>6</v>
      </c>
      <c r="D19" s="8">
        <v>3.47</v>
      </c>
      <c r="E19" s="12">
        <v>5</v>
      </c>
      <c r="F19" s="8">
        <v>3.57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260</v>
      </c>
      <c r="C20" s="12">
        <f>SUM(LTBL_47301[総数／事業所数])</f>
        <v>173</v>
      </c>
      <c r="E20" s="12">
        <f>SUBTOTAL(109,LTBL_47301[個人／事業所数])</f>
        <v>140</v>
      </c>
      <c r="G20" s="12">
        <f>SUBTOTAL(109,LTBL_47301[法人／事業所数])</f>
        <v>26</v>
      </c>
      <c r="I20" s="12">
        <f>SUBTOTAL(109,LTBL_47301[法人以外の団体／事業所数])</f>
        <v>5</v>
      </c>
    </row>
    <row r="21" spans="2:9" ht="15" customHeight="1" x14ac:dyDescent="0.2">
      <c r="E21" s="11">
        <f>LTBL_47301[[#Totals],[個人／事業所数]]/LTBL_47301[[#Totals],[総数／事業所数]]</f>
        <v>0.80924855491329484</v>
      </c>
      <c r="G21" s="11">
        <f>LTBL_47301[[#Totals],[法人／事業所数]]/LTBL_47301[[#Totals],[総数／事業所数]]</f>
        <v>0.15028901734104047</v>
      </c>
      <c r="I21" s="11">
        <f>LTBL_47301[[#Totals],[法人以外の団体／事業所数]]/LTBL_47301[[#Totals],[総数／事業所数]]</f>
        <v>2.8901734104046242E-2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77</v>
      </c>
      <c r="C24" s="12">
        <v>41</v>
      </c>
      <c r="D24" s="8">
        <v>23.7</v>
      </c>
      <c r="E24" s="12">
        <v>41</v>
      </c>
      <c r="F24" s="8">
        <v>29.29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69</v>
      </c>
      <c r="C25" s="12">
        <v>20</v>
      </c>
      <c r="D25" s="8">
        <v>11.56</v>
      </c>
      <c r="E25" s="12">
        <v>15</v>
      </c>
      <c r="F25" s="8">
        <v>10.71</v>
      </c>
      <c r="G25" s="12">
        <v>1</v>
      </c>
      <c r="H25" s="8">
        <v>3.85</v>
      </c>
      <c r="I25" s="12">
        <v>4</v>
      </c>
    </row>
    <row r="26" spans="2:9" ht="15" customHeight="1" x14ac:dyDescent="0.2">
      <c r="B26" t="s">
        <v>71</v>
      </c>
      <c r="C26" s="12">
        <v>19</v>
      </c>
      <c r="D26" s="8">
        <v>10.98</v>
      </c>
      <c r="E26" s="12">
        <v>16</v>
      </c>
      <c r="F26" s="8">
        <v>11.43</v>
      </c>
      <c r="G26" s="12">
        <v>3</v>
      </c>
      <c r="H26" s="8">
        <v>11.54</v>
      </c>
      <c r="I26" s="12">
        <v>0</v>
      </c>
    </row>
    <row r="27" spans="2:9" ht="15" customHeight="1" x14ac:dyDescent="0.2">
      <c r="B27" t="s">
        <v>76</v>
      </c>
      <c r="C27" s="12">
        <v>14</v>
      </c>
      <c r="D27" s="8">
        <v>8.09</v>
      </c>
      <c r="E27" s="12">
        <v>9</v>
      </c>
      <c r="F27" s="8">
        <v>6.43</v>
      </c>
      <c r="G27" s="12">
        <v>4</v>
      </c>
      <c r="H27" s="8">
        <v>15.38</v>
      </c>
      <c r="I27" s="12">
        <v>1</v>
      </c>
    </row>
    <row r="28" spans="2:9" ht="15" customHeight="1" x14ac:dyDescent="0.2">
      <c r="B28" t="s">
        <v>78</v>
      </c>
      <c r="C28" s="12">
        <v>12</v>
      </c>
      <c r="D28" s="8">
        <v>6.94</v>
      </c>
      <c r="E28" s="12">
        <v>12</v>
      </c>
      <c r="F28" s="8">
        <v>8.57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73</v>
      </c>
      <c r="C29" s="12">
        <v>9</v>
      </c>
      <c r="D29" s="8">
        <v>5.2</v>
      </c>
      <c r="E29" s="12">
        <v>9</v>
      </c>
      <c r="F29" s="8">
        <v>6.43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88</v>
      </c>
      <c r="C30" s="12">
        <v>5</v>
      </c>
      <c r="D30" s="8">
        <v>2.89</v>
      </c>
      <c r="E30" s="12">
        <v>3</v>
      </c>
      <c r="F30" s="8">
        <v>2.14</v>
      </c>
      <c r="G30" s="12">
        <v>2</v>
      </c>
      <c r="H30" s="8">
        <v>7.69</v>
      </c>
      <c r="I30" s="12">
        <v>0</v>
      </c>
    </row>
    <row r="31" spans="2:9" ht="15" customHeight="1" x14ac:dyDescent="0.2">
      <c r="B31" t="s">
        <v>81</v>
      </c>
      <c r="C31" s="12">
        <v>5</v>
      </c>
      <c r="D31" s="8">
        <v>2.89</v>
      </c>
      <c r="E31" s="12">
        <v>4</v>
      </c>
      <c r="F31" s="8">
        <v>2.86</v>
      </c>
      <c r="G31" s="12">
        <v>1</v>
      </c>
      <c r="H31" s="8">
        <v>3.85</v>
      </c>
      <c r="I31" s="12">
        <v>0</v>
      </c>
    </row>
    <row r="32" spans="2:9" ht="15" customHeight="1" x14ac:dyDescent="0.2">
      <c r="B32" t="s">
        <v>84</v>
      </c>
      <c r="C32" s="12">
        <v>5</v>
      </c>
      <c r="D32" s="8">
        <v>2.89</v>
      </c>
      <c r="E32" s="12">
        <v>5</v>
      </c>
      <c r="F32" s="8">
        <v>3.57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89</v>
      </c>
      <c r="C33" s="12">
        <v>4</v>
      </c>
      <c r="D33" s="8">
        <v>2.31</v>
      </c>
      <c r="E33" s="12">
        <v>4</v>
      </c>
      <c r="F33" s="8">
        <v>2.86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79</v>
      </c>
      <c r="C34" s="12">
        <v>4</v>
      </c>
      <c r="D34" s="8">
        <v>2.31</v>
      </c>
      <c r="E34" s="12">
        <v>1</v>
      </c>
      <c r="F34" s="8">
        <v>0.71</v>
      </c>
      <c r="G34" s="12">
        <v>3</v>
      </c>
      <c r="H34" s="8">
        <v>11.54</v>
      </c>
      <c r="I34" s="12">
        <v>0</v>
      </c>
    </row>
    <row r="35" spans="2:9" ht="15" customHeight="1" x14ac:dyDescent="0.2">
      <c r="B35" t="s">
        <v>67</v>
      </c>
      <c r="C35" s="12">
        <v>3</v>
      </c>
      <c r="D35" s="8">
        <v>1.73</v>
      </c>
      <c r="E35" s="12">
        <v>3</v>
      </c>
      <c r="F35" s="8">
        <v>2.14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80</v>
      </c>
      <c r="C36" s="12">
        <v>3</v>
      </c>
      <c r="D36" s="8">
        <v>1.73</v>
      </c>
      <c r="E36" s="12">
        <v>1</v>
      </c>
      <c r="F36" s="8">
        <v>0.71</v>
      </c>
      <c r="G36" s="12">
        <v>1</v>
      </c>
      <c r="H36" s="8">
        <v>3.85</v>
      </c>
      <c r="I36" s="12">
        <v>0</v>
      </c>
    </row>
    <row r="37" spans="2:9" ht="15" customHeight="1" x14ac:dyDescent="0.2">
      <c r="B37" t="s">
        <v>65</v>
      </c>
      <c r="C37" s="12">
        <v>2</v>
      </c>
      <c r="D37" s="8">
        <v>1.1599999999999999</v>
      </c>
      <c r="E37" s="12">
        <v>1</v>
      </c>
      <c r="F37" s="8">
        <v>0.71</v>
      </c>
      <c r="G37" s="12">
        <v>1</v>
      </c>
      <c r="H37" s="8">
        <v>3.85</v>
      </c>
      <c r="I37" s="12">
        <v>0</v>
      </c>
    </row>
    <row r="38" spans="2:9" ht="15" customHeight="1" x14ac:dyDescent="0.2">
      <c r="B38" t="s">
        <v>66</v>
      </c>
      <c r="C38" s="12">
        <v>2</v>
      </c>
      <c r="D38" s="8">
        <v>1.1599999999999999</v>
      </c>
      <c r="E38" s="12">
        <v>1</v>
      </c>
      <c r="F38" s="8">
        <v>0.71</v>
      </c>
      <c r="G38" s="12">
        <v>1</v>
      </c>
      <c r="H38" s="8">
        <v>3.85</v>
      </c>
      <c r="I38" s="12">
        <v>0</v>
      </c>
    </row>
    <row r="39" spans="2:9" ht="15" customHeight="1" x14ac:dyDescent="0.2">
      <c r="B39" t="s">
        <v>97</v>
      </c>
      <c r="C39" s="12">
        <v>2</v>
      </c>
      <c r="D39" s="8">
        <v>1.1599999999999999</v>
      </c>
      <c r="E39" s="12">
        <v>0</v>
      </c>
      <c r="F39" s="8">
        <v>0</v>
      </c>
      <c r="G39" s="12">
        <v>2</v>
      </c>
      <c r="H39" s="8">
        <v>7.69</v>
      </c>
      <c r="I39" s="12">
        <v>0</v>
      </c>
    </row>
    <row r="40" spans="2:9" ht="15" customHeight="1" x14ac:dyDescent="0.2">
      <c r="B40" t="s">
        <v>93</v>
      </c>
      <c r="C40" s="12">
        <v>2</v>
      </c>
      <c r="D40" s="8">
        <v>1.1599999999999999</v>
      </c>
      <c r="E40" s="12">
        <v>2</v>
      </c>
      <c r="F40" s="8">
        <v>1.43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90</v>
      </c>
      <c r="C41" s="12">
        <v>2</v>
      </c>
      <c r="D41" s="8">
        <v>1.1599999999999999</v>
      </c>
      <c r="E41" s="12">
        <v>1</v>
      </c>
      <c r="F41" s="8">
        <v>0.71</v>
      </c>
      <c r="G41" s="12">
        <v>1</v>
      </c>
      <c r="H41" s="8">
        <v>3.85</v>
      </c>
      <c r="I41" s="12">
        <v>0</v>
      </c>
    </row>
    <row r="42" spans="2:9" ht="15" customHeight="1" x14ac:dyDescent="0.2">
      <c r="B42" t="s">
        <v>70</v>
      </c>
      <c r="C42" s="12">
        <v>2</v>
      </c>
      <c r="D42" s="8">
        <v>1.1599999999999999</v>
      </c>
      <c r="E42" s="12">
        <v>2</v>
      </c>
      <c r="F42" s="8">
        <v>1.43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74</v>
      </c>
      <c r="C43" s="12">
        <v>2</v>
      </c>
      <c r="D43" s="8">
        <v>1.1599999999999999</v>
      </c>
      <c r="E43" s="12">
        <v>2</v>
      </c>
      <c r="F43" s="8">
        <v>1.43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82</v>
      </c>
      <c r="C44" s="12">
        <v>2</v>
      </c>
      <c r="D44" s="8">
        <v>1.1599999999999999</v>
      </c>
      <c r="E44" s="12">
        <v>2</v>
      </c>
      <c r="F44" s="8">
        <v>1.43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262</v>
      </c>
      <c r="C47" s="10" t="s">
        <v>58</v>
      </c>
      <c r="D47" s="10" t="s">
        <v>59</v>
      </c>
      <c r="E47" s="10" t="s">
        <v>60</v>
      </c>
      <c r="F47" s="10" t="s">
        <v>61</v>
      </c>
      <c r="G47" s="10" t="s">
        <v>62</v>
      </c>
      <c r="H47" s="10" t="s">
        <v>63</v>
      </c>
      <c r="I47" s="10" t="s">
        <v>64</v>
      </c>
    </row>
    <row r="48" spans="2:9" ht="15" customHeight="1" x14ac:dyDescent="0.2">
      <c r="B48" t="s">
        <v>133</v>
      </c>
      <c r="C48" s="12">
        <v>15</v>
      </c>
      <c r="D48" s="8">
        <v>8.67</v>
      </c>
      <c r="E48" s="12">
        <v>15</v>
      </c>
      <c r="F48" s="8">
        <v>10.71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136</v>
      </c>
      <c r="C49" s="12">
        <v>10</v>
      </c>
      <c r="D49" s="8">
        <v>5.78</v>
      </c>
      <c r="E49" s="12">
        <v>10</v>
      </c>
      <c r="F49" s="8">
        <v>7.14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128</v>
      </c>
      <c r="C50" s="12">
        <v>9</v>
      </c>
      <c r="D50" s="8">
        <v>5.2</v>
      </c>
      <c r="E50" s="12">
        <v>9</v>
      </c>
      <c r="F50" s="8">
        <v>6.43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130</v>
      </c>
      <c r="C51" s="12">
        <v>8</v>
      </c>
      <c r="D51" s="8">
        <v>4.62</v>
      </c>
      <c r="E51" s="12">
        <v>7</v>
      </c>
      <c r="F51" s="8">
        <v>5</v>
      </c>
      <c r="G51" s="12">
        <v>1</v>
      </c>
      <c r="H51" s="8">
        <v>3.85</v>
      </c>
      <c r="I51" s="12">
        <v>0</v>
      </c>
    </row>
    <row r="52" spans="2:9" ht="15" customHeight="1" x14ac:dyDescent="0.2">
      <c r="B52" t="s">
        <v>131</v>
      </c>
      <c r="C52" s="12">
        <v>8</v>
      </c>
      <c r="D52" s="8">
        <v>4.62</v>
      </c>
      <c r="E52" s="12">
        <v>8</v>
      </c>
      <c r="F52" s="8">
        <v>5.71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153</v>
      </c>
      <c r="C53" s="12">
        <v>7</v>
      </c>
      <c r="D53" s="8">
        <v>4.05</v>
      </c>
      <c r="E53" s="12">
        <v>7</v>
      </c>
      <c r="F53" s="8">
        <v>5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123</v>
      </c>
      <c r="C54" s="12">
        <v>6</v>
      </c>
      <c r="D54" s="8">
        <v>3.47</v>
      </c>
      <c r="E54" s="12">
        <v>3</v>
      </c>
      <c r="F54" s="8">
        <v>2.14</v>
      </c>
      <c r="G54" s="12">
        <v>0</v>
      </c>
      <c r="H54" s="8">
        <v>0</v>
      </c>
      <c r="I54" s="12">
        <v>3</v>
      </c>
    </row>
    <row r="55" spans="2:9" ht="15" customHeight="1" x14ac:dyDescent="0.2">
      <c r="B55" t="s">
        <v>158</v>
      </c>
      <c r="C55" s="12">
        <v>5</v>
      </c>
      <c r="D55" s="8">
        <v>2.89</v>
      </c>
      <c r="E55" s="12">
        <v>4</v>
      </c>
      <c r="F55" s="8">
        <v>2.86</v>
      </c>
      <c r="G55" s="12">
        <v>0</v>
      </c>
      <c r="H55" s="8">
        <v>0</v>
      </c>
      <c r="I55" s="12">
        <v>1</v>
      </c>
    </row>
    <row r="56" spans="2:9" ht="15" customHeight="1" x14ac:dyDescent="0.2">
      <c r="B56" t="s">
        <v>149</v>
      </c>
      <c r="C56" s="12">
        <v>5</v>
      </c>
      <c r="D56" s="8">
        <v>2.89</v>
      </c>
      <c r="E56" s="12">
        <v>5</v>
      </c>
      <c r="F56" s="8">
        <v>3.57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141</v>
      </c>
      <c r="C57" s="12">
        <v>5</v>
      </c>
      <c r="D57" s="8">
        <v>2.89</v>
      </c>
      <c r="E57" s="12">
        <v>5</v>
      </c>
      <c r="F57" s="8">
        <v>3.57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156</v>
      </c>
      <c r="C58" s="12">
        <v>4</v>
      </c>
      <c r="D58" s="8">
        <v>2.31</v>
      </c>
      <c r="E58" s="12">
        <v>4</v>
      </c>
      <c r="F58" s="8">
        <v>2.86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126</v>
      </c>
      <c r="C59" s="12">
        <v>4</v>
      </c>
      <c r="D59" s="8">
        <v>2.31</v>
      </c>
      <c r="E59" s="12">
        <v>4</v>
      </c>
      <c r="F59" s="8">
        <v>2.86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148</v>
      </c>
      <c r="C60" s="12">
        <v>4</v>
      </c>
      <c r="D60" s="8">
        <v>2.31</v>
      </c>
      <c r="E60" s="12">
        <v>2</v>
      </c>
      <c r="F60" s="8">
        <v>1.43</v>
      </c>
      <c r="G60" s="12">
        <v>1</v>
      </c>
      <c r="H60" s="8">
        <v>3.85</v>
      </c>
      <c r="I60" s="12">
        <v>1</v>
      </c>
    </row>
    <row r="61" spans="2:9" ht="15" customHeight="1" x14ac:dyDescent="0.2">
      <c r="B61" t="s">
        <v>132</v>
      </c>
      <c r="C61" s="12">
        <v>4</v>
      </c>
      <c r="D61" s="8">
        <v>2.31</v>
      </c>
      <c r="E61" s="12">
        <v>4</v>
      </c>
      <c r="F61" s="8">
        <v>2.86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146</v>
      </c>
      <c r="C62" s="12">
        <v>3</v>
      </c>
      <c r="D62" s="8">
        <v>1.73</v>
      </c>
      <c r="E62" s="12">
        <v>3</v>
      </c>
      <c r="F62" s="8">
        <v>2.14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159</v>
      </c>
      <c r="C63" s="12">
        <v>3</v>
      </c>
      <c r="D63" s="8">
        <v>1.73</v>
      </c>
      <c r="E63" s="12">
        <v>3</v>
      </c>
      <c r="F63" s="8">
        <v>2.14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160</v>
      </c>
      <c r="C64" s="12">
        <v>3</v>
      </c>
      <c r="D64" s="8">
        <v>1.73</v>
      </c>
      <c r="E64" s="12">
        <v>1</v>
      </c>
      <c r="F64" s="8">
        <v>0.71</v>
      </c>
      <c r="G64" s="12">
        <v>2</v>
      </c>
      <c r="H64" s="8">
        <v>7.69</v>
      </c>
      <c r="I64" s="12">
        <v>0</v>
      </c>
    </row>
    <row r="65" spans="2:9" ht="15" customHeight="1" x14ac:dyDescent="0.2">
      <c r="B65" t="s">
        <v>134</v>
      </c>
      <c r="C65" s="12">
        <v>3</v>
      </c>
      <c r="D65" s="8">
        <v>1.73</v>
      </c>
      <c r="E65" s="12">
        <v>3</v>
      </c>
      <c r="F65" s="8">
        <v>2.14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161</v>
      </c>
      <c r="C66" s="12">
        <v>3</v>
      </c>
      <c r="D66" s="8">
        <v>1.73</v>
      </c>
      <c r="E66" s="12">
        <v>3</v>
      </c>
      <c r="F66" s="8">
        <v>2.14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139</v>
      </c>
      <c r="C67" s="12">
        <v>3</v>
      </c>
      <c r="D67" s="8">
        <v>1.73</v>
      </c>
      <c r="E67" s="12">
        <v>2</v>
      </c>
      <c r="F67" s="8">
        <v>1.43</v>
      </c>
      <c r="G67" s="12">
        <v>1</v>
      </c>
      <c r="H67" s="8">
        <v>3.85</v>
      </c>
      <c r="I67" s="12">
        <v>0</v>
      </c>
    </row>
    <row r="69" spans="2:9" ht="15" customHeight="1" x14ac:dyDescent="0.2">
      <c r="B69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55D5C-9822-45C0-8C6D-625BEDA88F24}">
  <sheetPr>
    <pageSetUpPr fitToPage="1"/>
  </sheetPr>
  <dimension ref="B2:I9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276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8</v>
      </c>
      <c r="D6" s="8">
        <v>8.6999999999999993</v>
      </c>
      <c r="E6" s="12">
        <v>2</v>
      </c>
      <c r="F6" s="8">
        <v>3.57</v>
      </c>
      <c r="G6" s="12">
        <v>6</v>
      </c>
      <c r="H6" s="8">
        <v>26.09</v>
      </c>
      <c r="I6" s="12">
        <v>0</v>
      </c>
    </row>
    <row r="7" spans="2:9" ht="15" customHeight="1" x14ac:dyDescent="0.2">
      <c r="B7" t="s">
        <v>44</v>
      </c>
      <c r="C7" s="12">
        <v>15</v>
      </c>
      <c r="D7" s="8">
        <v>16.3</v>
      </c>
      <c r="E7" s="12">
        <v>10</v>
      </c>
      <c r="F7" s="8">
        <v>17.86</v>
      </c>
      <c r="G7" s="12">
        <v>5</v>
      </c>
      <c r="H7" s="8">
        <v>21.74</v>
      </c>
      <c r="I7" s="12">
        <v>0</v>
      </c>
    </row>
    <row r="8" spans="2:9" ht="15" customHeight="1" x14ac:dyDescent="0.2">
      <c r="B8" t="s">
        <v>45</v>
      </c>
      <c r="C8" s="12">
        <v>2</v>
      </c>
      <c r="D8" s="8">
        <v>2.17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47</v>
      </c>
      <c r="C10" s="12">
        <v>4</v>
      </c>
      <c r="D10" s="8">
        <v>4.3499999999999996</v>
      </c>
      <c r="E10" s="12">
        <v>4</v>
      </c>
      <c r="F10" s="8">
        <v>7.14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48</v>
      </c>
      <c r="C11" s="12">
        <v>31</v>
      </c>
      <c r="D11" s="8">
        <v>33.700000000000003</v>
      </c>
      <c r="E11" s="12">
        <v>28</v>
      </c>
      <c r="F11" s="8">
        <v>50</v>
      </c>
      <c r="G11" s="12">
        <v>2</v>
      </c>
      <c r="H11" s="8">
        <v>8.6999999999999993</v>
      </c>
      <c r="I11" s="12">
        <v>1</v>
      </c>
    </row>
    <row r="12" spans="2:9" ht="15" customHeight="1" x14ac:dyDescent="0.2">
      <c r="B12" t="s">
        <v>49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50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51</v>
      </c>
      <c r="C14" s="12">
        <v>4</v>
      </c>
      <c r="D14" s="8">
        <v>4.3499999999999996</v>
      </c>
      <c r="E14" s="12">
        <v>2</v>
      </c>
      <c r="F14" s="8">
        <v>3.57</v>
      </c>
      <c r="G14" s="12">
        <v>2</v>
      </c>
      <c r="H14" s="8">
        <v>8.6999999999999993</v>
      </c>
      <c r="I14" s="12">
        <v>0</v>
      </c>
    </row>
    <row r="15" spans="2:9" ht="15" customHeight="1" x14ac:dyDescent="0.2">
      <c r="B15" t="s">
        <v>52</v>
      </c>
      <c r="C15" s="12">
        <v>7</v>
      </c>
      <c r="D15" s="8">
        <v>7.61</v>
      </c>
      <c r="E15" s="12">
        <v>3</v>
      </c>
      <c r="F15" s="8">
        <v>5.36</v>
      </c>
      <c r="G15" s="12">
        <v>3</v>
      </c>
      <c r="H15" s="8">
        <v>13.04</v>
      </c>
      <c r="I15" s="12">
        <v>1</v>
      </c>
    </row>
    <row r="16" spans="2:9" ht="15" customHeight="1" x14ac:dyDescent="0.2">
      <c r="B16" t="s">
        <v>53</v>
      </c>
      <c r="C16" s="12">
        <v>8</v>
      </c>
      <c r="D16" s="8">
        <v>8.6999999999999993</v>
      </c>
      <c r="E16" s="12">
        <v>7</v>
      </c>
      <c r="F16" s="8">
        <v>12.5</v>
      </c>
      <c r="G16" s="12">
        <v>1</v>
      </c>
      <c r="H16" s="8">
        <v>4.3499999999999996</v>
      </c>
      <c r="I16" s="12">
        <v>0</v>
      </c>
    </row>
    <row r="17" spans="2:9" ht="15" customHeight="1" x14ac:dyDescent="0.2">
      <c r="B17" t="s">
        <v>54</v>
      </c>
      <c r="C17" s="12">
        <v>6</v>
      </c>
      <c r="D17" s="8">
        <v>6.52</v>
      </c>
      <c r="E17" s="12">
        <v>0</v>
      </c>
      <c r="F17" s="8">
        <v>0</v>
      </c>
      <c r="G17" s="12">
        <v>1</v>
      </c>
      <c r="H17" s="8">
        <v>4.3499999999999996</v>
      </c>
      <c r="I17" s="12">
        <v>5</v>
      </c>
    </row>
    <row r="18" spans="2:9" ht="15" customHeight="1" x14ac:dyDescent="0.2">
      <c r="B18" t="s">
        <v>55</v>
      </c>
      <c r="C18" s="12">
        <v>3</v>
      </c>
      <c r="D18" s="8">
        <v>3.26</v>
      </c>
      <c r="E18" s="12">
        <v>0</v>
      </c>
      <c r="F18" s="8">
        <v>0</v>
      </c>
      <c r="G18" s="12">
        <v>3</v>
      </c>
      <c r="H18" s="8">
        <v>13.04</v>
      </c>
      <c r="I18" s="12">
        <v>0</v>
      </c>
    </row>
    <row r="19" spans="2:9" ht="15" customHeight="1" x14ac:dyDescent="0.2">
      <c r="B19" t="s">
        <v>56</v>
      </c>
      <c r="C19" s="12">
        <v>4</v>
      </c>
      <c r="D19" s="8">
        <v>4.3499999999999996</v>
      </c>
      <c r="E19" s="12">
        <v>0</v>
      </c>
      <c r="F19" s="8">
        <v>0</v>
      </c>
      <c r="G19" s="12">
        <v>0</v>
      </c>
      <c r="H19" s="8">
        <v>0</v>
      </c>
      <c r="I19" s="12">
        <v>2</v>
      </c>
    </row>
    <row r="20" spans="2:9" ht="15" customHeight="1" x14ac:dyDescent="0.2">
      <c r="B20" s="9" t="s">
        <v>260</v>
      </c>
      <c r="C20" s="12">
        <f>SUM(LTBL_47302[総数／事業所数])</f>
        <v>92</v>
      </c>
      <c r="E20" s="12">
        <f>SUBTOTAL(109,LTBL_47302[個人／事業所数])</f>
        <v>56</v>
      </c>
      <c r="G20" s="12">
        <f>SUBTOTAL(109,LTBL_47302[法人／事業所数])</f>
        <v>23</v>
      </c>
      <c r="I20" s="12">
        <f>SUBTOTAL(109,LTBL_47302[法人以外の団体／事業所数])</f>
        <v>9</v>
      </c>
    </row>
    <row r="21" spans="2:9" ht="15" customHeight="1" x14ac:dyDescent="0.2">
      <c r="E21" s="11">
        <f>LTBL_47302[[#Totals],[個人／事業所数]]/LTBL_47302[[#Totals],[総数／事業所数]]</f>
        <v>0.60869565217391308</v>
      </c>
      <c r="G21" s="11">
        <f>LTBL_47302[[#Totals],[法人／事業所数]]/LTBL_47302[[#Totals],[総数／事業所数]]</f>
        <v>0.25</v>
      </c>
      <c r="I21" s="11">
        <f>LTBL_47302[[#Totals],[法人以外の団体／事業所数]]/LTBL_47302[[#Totals],[総数／事業所数]]</f>
        <v>9.7826086956521743E-2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71</v>
      </c>
      <c r="C24" s="12">
        <v>19</v>
      </c>
      <c r="D24" s="8">
        <v>20.65</v>
      </c>
      <c r="E24" s="12">
        <v>19</v>
      </c>
      <c r="F24" s="8">
        <v>33.93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69</v>
      </c>
      <c r="C25" s="12">
        <v>9</v>
      </c>
      <c r="D25" s="8">
        <v>9.7799999999999994</v>
      </c>
      <c r="E25" s="12">
        <v>8</v>
      </c>
      <c r="F25" s="8">
        <v>14.29</v>
      </c>
      <c r="G25" s="12">
        <v>0</v>
      </c>
      <c r="H25" s="8">
        <v>0</v>
      </c>
      <c r="I25" s="12">
        <v>1</v>
      </c>
    </row>
    <row r="26" spans="2:9" ht="15" customHeight="1" x14ac:dyDescent="0.2">
      <c r="B26" t="s">
        <v>95</v>
      </c>
      <c r="C26" s="12">
        <v>8</v>
      </c>
      <c r="D26" s="8">
        <v>8.6999999999999993</v>
      </c>
      <c r="E26" s="12">
        <v>7</v>
      </c>
      <c r="F26" s="8">
        <v>12.5</v>
      </c>
      <c r="G26" s="12">
        <v>1</v>
      </c>
      <c r="H26" s="8">
        <v>4.3499999999999996</v>
      </c>
      <c r="I26" s="12">
        <v>0</v>
      </c>
    </row>
    <row r="27" spans="2:9" ht="15" customHeight="1" x14ac:dyDescent="0.2">
      <c r="B27" t="s">
        <v>65</v>
      </c>
      <c r="C27" s="12">
        <v>7</v>
      </c>
      <c r="D27" s="8">
        <v>7.61</v>
      </c>
      <c r="E27" s="12">
        <v>1</v>
      </c>
      <c r="F27" s="8">
        <v>1.79</v>
      </c>
      <c r="G27" s="12">
        <v>6</v>
      </c>
      <c r="H27" s="8">
        <v>26.09</v>
      </c>
      <c r="I27" s="12">
        <v>0</v>
      </c>
    </row>
    <row r="28" spans="2:9" ht="15" customHeight="1" x14ac:dyDescent="0.2">
      <c r="B28" t="s">
        <v>78</v>
      </c>
      <c r="C28" s="12">
        <v>6</v>
      </c>
      <c r="D28" s="8">
        <v>6.52</v>
      </c>
      <c r="E28" s="12">
        <v>6</v>
      </c>
      <c r="F28" s="8">
        <v>10.71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81</v>
      </c>
      <c r="C29" s="12">
        <v>6</v>
      </c>
      <c r="D29" s="8">
        <v>6.52</v>
      </c>
      <c r="E29" s="12">
        <v>0</v>
      </c>
      <c r="F29" s="8">
        <v>0</v>
      </c>
      <c r="G29" s="12">
        <v>1</v>
      </c>
      <c r="H29" s="8">
        <v>4.3499999999999996</v>
      </c>
      <c r="I29" s="12">
        <v>5</v>
      </c>
    </row>
    <row r="30" spans="2:9" ht="15" customHeight="1" x14ac:dyDescent="0.2">
      <c r="B30" t="s">
        <v>77</v>
      </c>
      <c r="C30" s="12">
        <v>4</v>
      </c>
      <c r="D30" s="8">
        <v>4.3499999999999996</v>
      </c>
      <c r="E30" s="12">
        <v>2</v>
      </c>
      <c r="F30" s="8">
        <v>3.57</v>
      </c>
      <c r="G30" s="12">
        <v>1</v>
      </c>
      <c r="H30" s="8">
        <v>4.3499999999999996</v>
      </c>
      <c r="I30" s="12">
        <v>1</v>
      </c>
    </row>
    <row r="31" spans="2:9" ht="15" customHeight="1" x14ac:dyDescent="0.2">
      <c r="B31" t="s">
        <v>102</v>
      </c>
      <c r="C31" s="12">
        <v>4</v>
      </c>
      <c r="D31" s="8">
        <v>4.3499999999999996</v>
      </c>
      <c r="E31" s="12">
        <v>0</v>
      </c>
      <c r="F31" s="8">
        <v>0</v>
      </c>
      <c r="G31" s="12">
        <v>0</v>
      </c>
      <c r="H31" s="8">
        <v>0</v>
      </c>
      <c r="I31" s="12">
        <v>2</v>
      </c>
    </row>
    <row r="32" spans="2:9" ht="15" customHeight="1" x14ac:dyDescent="0.2">
      <c r="B32" t="s">
        <v>97</v>
      </c>
      <c r="C32" s="12">
        <v>3</v>
      </c>
      <c r="D32" s="8">
        <v>3.26</v>
      </c>
      <c r="E32" s="12">
        <v>0</v>
      </c>
      <c r="F32" s="8">
        <v>0</v>
      </c>
      <c r="G32" s="12">
        <v>3</v>
      </c>
      <c r="H32" s="8">
        <v>13.04</v>
      </c>
      <c r="I32" s="12">
        <v>0</v>
      </c>
    </row>
    <row r="33" spans="2:9" ht="15" customHeight="1" x14ac:dyDescent="0.2">
      <c r="B33" t="s">
        <v>93</v>
      </c>
      <c r="C33" s="12">
        <v>3</v>
      </c>
      <c r="D33" s="8">
        <v>3.26</v>
      </c>
      <c r="E33" s="12">
        <v>3</v>
      </c>
      <c r="F33" s="8">
        <v>5.36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83</v>
      </c>
      <c r="C34" s="12">
        <v>3</v>
      </c>
      <c r="D34" s="8">
        <v>3.26</v>
      </c>
      <c r="E34" s="12">
        <v>0</v>
      </c>
      <c r="F34" s="8">
        <v>0</v>
      </c>
      <c r="G34" s="12">
        <v>3</v>
      </c>
      <c r="H34" s="8">
        <v>13.04</v>
      </c>
      <c r="I34" s="12">
        <v>0</v>
      </c>
    </row>
    <row r="35" spans="2:9" ht="15" customHeight="1" x14ac:dyDescent="0.2">
      <c r="B35" t="s">
        <v>101</v>
      </c>
      <c r="C35" s="12">
        <v>2</v>
      </c>
      <c r="D35" s="8">
        <v>2.17</v>
      </c>
      <c r="E35" s="12">
        <v>0</v>
      </c>
      <c r="F35" s="8">
        <v>0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89</v>
      </c>
      <c r="C36" s="12">
        <v>2</v>
      </c>
      <c r="D36" s="8">
        <v>2.17</v>
      </c>
      <c r="E36" s="12">
        <v>0</v>
      </c>
      <c r="F36" s="8">
        <v>0</v>
      </c>
      <c r="G36" s="12">
        <v>2</v>
      </c>
      <c r="H36" s="8">
        <v>8.6999999999999993</v>
      </c>
      <c r="I36" s="12">
        <v>0</v>
      </c>
    </row>
    <row r="37" spans="2:9" ht="15" customHeight="1" x14ac:dyDescent="0.2">
      <c r="B37" t="s">
        <v>74</v>
      </c>
      <c r="C37" s="12">
        <v>2</v>
      </c>
      <c r="D37" s="8">
        <v>2.17</v>
      </c>
      <c r="E37" s="12">
        <v>2</v>
      </c>
      <c r="F37" s="8">
        <v>3.57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75</v>
      </c>
      <c r="C38" s="12">
        <v>2</v>
      </c>
      <c r="D38" s="8">
        <v>2.17</v>
      </c>
      <c r="E38" s="12">
        <v>0</v>
      </c>
      <c r="F38" s="8">
        <v>0</v>
      </c>
      <c r="G38" s="12">
        <v>2</v>
      </c>
      <c r="H38" s="8">
        <v>8.6999999999999993</v>
      </c>
      <c r="I38" s="12">
        <v>0</v>
      </c>
    </row>
    <row r="39" spans="2:9" ht="15" customHeight="1" x14ac:dyDescent="0.2">
      <c r="B39" t="s">
        <v>76</v>
      </c>
      <c r="C39" s="12">
        <v>2</v>
      </c>
      <c r="D39" s="8">
        <v>2.17</v>
      </c>
      <c r="E39" s="12">
        <v>1</v>
      </c>
      <c r="F39" s="8">
        <v>1.79</v>
      </c>
      <c r="G39" s="12">
        <v>1</v>
      </c>
      <c r="H39" s="8">
        <v>4.3499999999999996</v>
      </c>
      <c r="I39" s="12">
        <v>0</v>
      </c>
    </row>
    <row r="40" spans="2:9" ht="15" customHeight="1" x14ac:dyDescent="0.2">
      <c r="B40" t="s">
        <v>67</v>
      </c>
      <c r="C40" s="12">
        <v>1</v>
      </c>
      <c r="D40" s="8">
        <v>1.0900000000000001</v>
      </c>
      <c r="E40" s="12">
        <v>1</v>
      </c>
      <c r="F40" s="8">
        <v>1.79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88</v>
      </c>
      <c r="C41" s="12">
        <v>1</v>
      </c>
      <c r="D41" s="8">
        <v>1.0900000000000001</v>
      </c>
      <c r="E41" s="12">
        <v>1</v>
      </c>
      <c r="F41" s="8">
        <v>1.79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98</v>
      </c>
      <c r="C42" s="12">
        <v>1</v>
      </c>
      <c r="D42" s="8">
        <v>1.0900000000000001</v>
      </c>
      <c r="E42" s="12">
        <v>1</v>
      </c>
      <c r="F42" s="8">
        <v>1.79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99</v>
      </c>
      <c r="C43" s="12">
        <v>1</v>
      </c>
      <c r="D43" s="8">
        <v>1.0900000000000001</v>
      </c>
      <c r="E43" s="12">
        <v>1</v>
      </c>
      <c r="F43" s="8">
        <v>1.79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100</v>
      </c>
      <c r="C44" s="12">
        <v>1</v>
      </c>
      <c r="D44" s="8">
        <v>1.0900000000000001</v>
      </c>
      <c r="E44" s="12">
        <v>0</v>
      </c>
      <c r="F44" s="8">
        <v>0</v>
      </c>
      <c r="G44" s="12">
        <v>1</v>
      </c>
      <c r="H44" s="8">
        <v>4.3499999999999996</v>
      </c>
      <c r="I44" s="12">
        <v>0</v>
      </c>
    </row>
    <row r="45" spans="2:9" ht="15" customHeight="1" x14ac:dyDescent="0.2">
      <c r="B45" t="s">
        <v>96</v>
      </c>
      <c r="C45" s="12">
        <v>1</v>
      </c>
      <c r="D45" s="8">
        <v>1.0900000000000001</v>
      </c>
      <c r="E45" s="12">
        <v>1</v>
      </c>
      <c r="F45" s="8">
        <v>1.79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70</v>
      </c>
      <c r="C46" s="12">
        <v>1</v>
      </c>
      <c r="D46" s="8">
        <v>1.0900000000000001</v>
      </c>
      <c r="E46" s="12">
        <v>1</v>
      </c>
      <c r="F46" s="8">
        <v>1.79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91</v>
      </c>
      <c r="C47" s="12">
        <v>1</v>
      </c>
      <c r="D47" s="8">
        <v>1.0900000000000001</v>
      </c>
      <c r="E47" s="12">
        <v>0</v>
      </c>
      <c r="F47" s="8">
        <v>0</v>
      </c>
      <c r="G47" s="12">
        <v>1</v>
      </c>
      <c r="H47" s="8">
        <v>4.3499999999999996</v>
      </c>
      <c r="I47" s="12">
        <v>0</v>
      </c>
    </row>
    <row r="48" spans="2:9" ht="15" customHeight="1" x14ac:dyDescent="0.2">
      <c r="B48" t="s">
        <v>79</v>
      </c>
      <c r="C48" s="12">
        <v>1</v>
      </c>
      <c r="D48" s="8">
        <v>1.0900000000000001</v>
      </c>
      <c r="E48" s="12">
        <v>0</v>
      </c>
      <c r="F48" s="8">
        <v>0</v>
      </c>
      <c r="G48" s="12">
        <v>1</v>
      </c>
      <c r="H48" s="8">
        <v>4.3499999999999996</v>
      </c>
      <c r="I48" s="12">
        <v>0</v>
      </c>
    </row>
    <row r="49" spans="2:9" ht="15" customHeight="1" x14ac:dyDescent="0.2">
      <c r="B49" t="s">
        <v>80</v>
      </c>
      <c r="C49" s="12">
        <v>1</v>
      </c>
      <c r="D49" s="8">
        <v>1.0900000000000001</v>
      </c>
      <c r="E49" s="12">
        <v>1</v>
      </c>
      <c r="F49" s="8">
        <v>1.79</v>
      </c>
      <c r="G49" s="12">
        <v>0</v>
      </c>
      <c r="H49" s="8">
        <v>0</v>
      </c>
      <c r="I49" s="12">
        <v>0</v>
      </c>
    </row>
    <row r="52" spans="2:9" ht="33" customHeight="1" x14ac:dyDescent="0.2">
      <c r="B52" t="s">
        <v>262</v>
      </c>
      <c r="C52" s="10" t="s">
        <v>58</v>
      </c>
      <c r="D52" s="10" t="s">
        <v>59</v>
      </c>
      <c r="E52" s="10" t="s">
        <v>60</v>
      </c>
      <c r="F52" s="10" t="s">
        <v>61</v>
      </c>
      <c r="G52" s="10" t="s">
        <v>62</v>
      </c>
      <c r="H52" s="10" t="s">
        <v>63</v>
      </c>
      <c r="I52" s="10" t="s">
        <v>64</v>
      </c>
    </row>
    <row r="53" spans="2:9" ht="15" customHeight="1" x14ac:dyDescent="0.2">
      <c r="B53" t="s">
        <v>153</v>
      </c>
      <c r="C53" s="12">
        <v>12</v>
      </c>
      <c r="D53" s="8">
        <v>13.04</v>
      </c>
      <c r="E53" s="12">
        <v>12</v>
      </c>
      <c r="F53" s="8">
        <v>21.43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170</v>
      </c>
      <c r="C54" s="12">
        <v>8</v>
      </c>
      <c r="D54" s="8">
        <v>8.6999999999999993</v>
      </c>
      <c r="E54" s="12">
        <v>7</v>
      </c>
      <c r="F54" s="8">
        <v>12.5</v>
      </c>
      <c r="G54" s="12">
        <v>1</v>
      </c>
      <c r="H54" s="8">
        <v>4.3499999999999996</v>
      </c>
      <c r="I54" s="12">
        <v>0</v>
      </c>
    </row>
    <row r="55" spans="2:9" ht="15" customHeight="1" x14ac:dyDescent="0.2">
      <c r="B55" t="s">
        <v>123</v>
      </c>
      <c r="C55" s="12">
        <v>5</v>
      </c>
      <c r="D55" s="8">
        <v>5.43</v>
      </c>
      <c r="E55" s="12">
        <v>5</v>
      </c>
      <c r="F55" s="8">
        <v>8.93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182</v>
      </c>
      <c r="C56" s="12">
        <v>5</v>
      </c>
      <c r="D56" s="8">
        <v>5.43</v>
      </c>
      <c r="E56" s="12">
        <v>0</v>
      </c>
      <c r="F56" s="8">
        <v>0</v>
      </c>
      <c r="G56" s="12">
        <v>0</v>
      </c>
      <c r="H56" s="8">
        <v>0</v>
      </c>
      <c r="I56" s="12">
        <v>5</v>
      </c>
    </row>
    <row r="57" spans="2:9" ht="15" customHeight="1" x14ac:dyDescent="0.2">
      <c r="B57" t="s">
        <v>185</v>
      </c>
      <c r="C57" s="12">
        <v>4</v>
      </c>
      <c r="D57" s="8">
        <v>4.3499999999999996</v>
      </c>
      <c r="E57" s="12">
        <v>0</v>
      </c>
      <c r="F57" s="8">
        <v>0</v>
      </c>
      <c r="G57" s="12">
        <v>0</v>
      </c>
      <c r="H57" s="8">
        <v>0</v>
      </c>
      <c r="I57" s="12">
        <v>2</v>
      </c>
    </row>
    <row r="58" spans="2:9" ht="15" customHeight="1" x14ac:dyDescent="0.2">
      <c r="B58" t="s">
        <v>122</v>
      </c>
      <c r="C58" s="12">
        <v>3</v>
      </c>
      <c r="D58" s="8">
        <v>3.26</v>
      </c>
      <c r="E58" s="12">
        <v>0</v>
      </c>
      <c r="F58" s="8">
        <v>0</v>
      </c>
      <c r="G58" s="12">
        <v>3</v>
      </c>
      <c r="H58" s="8">
        <v>13.04</v>
      </c>
      <c r="I58" s="12">
        <v>0</v>
      </c>
    </row>
    <row r="59" spans="2:9" ht="15" customHeight="1" x14ac:dyDescent="0.2">
      <c r="B59" t="s">
        <v>151</v>
      </c>
      <c r="C59" s="12">
        <v>3</v>
      </c>
      <c r="D59" s="8">
        <v>3.26</v>
      </c>
      <c r="E59" s="12">
        <v>1</v>
      </c>
      <c r="F59" s="8">
        <v>1.79</v>
      </c>
      <c r="G59" s="12">
        <v>2</v>
      </c>
      <c r="H59" s="8">
        <v>8.6999999999999993</v>
      </c>
      <c r="I59" s="12">
        <v>0</v>
      </c>
    </row>
    <row r="60" spans="2:9" ht="15" customHeight="1" x14ac:dyDescent="0.2">
      <c r="B60" t="s">
        <v>155</v>
      </c>
      <c r="C60" s="12">
        <v>3</v>
      </c>
      <c r="D60" s="8">
        <v>3.26</v>
      </c>
      <c r="E60" s="12">
        <v>3</v>
      </c>
      <c r="F60" s="8">
        <v>5.36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156</v>
      </c>
      <c r="C61" s="12">
        <v>3</v>
      </c>
      <c r="D61" s="8">
        <v>3.26</v>
      </c>
      <c r="E61" s="12">
        <v>2</v>
      </c>
      <c r="F61" s="8">
        <v>3.57</v>
      </c>
      <c r="G61" s="12">
        <v>0</v>
      </c>
      <c r="H61" s="8">
        <v>0</v>
      </c>
      <c r="I61" s="12">
        <v>1</v>
      </c>
    </row>
    <row r="62" spans="2:9" ht="15" customHeight="1" x14ac:dyDescent="0.2">
      <c r="B62" t="s">
        <v>159</v>
      </c>
      <c r="C62" s="12">
        <v>3</v>
      </c>
      <c r="D62" s="8">
        <v>3.26</v>
      </c>
      <c r="E62" s="12">
        <v>3</v>
      </c>
      <c r="F62" s="8">
        <v>5.36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131</v>
      </c>
      <c r="C63" s="12">
        <v>3</v>
      </c>
      <c r="D63" s="8">
        <v>3.26</v>
      </c>
      <c r="E63" s="12">
        <v>1</v>
      </c>
      <c r="F63" s="8">
        <v>1.79</v>
      </c>
      <c r="G63" s="12">
        <v>1</v>
      </c>
      <c r="H63" s="8">
        <v>4.3499999999999996</v>
      </c>
      <c r="I63" s="12">
        <v>1</v>
      </c>
    </row>
    <row r="64" spans="2:9" ht="15" customHeight="1" x14ac:dyDescent="0.2">
      <c r="B64" t="s">
        <v>135</v>
      </c>
      <c r="C64" s="12">
        <v>3</v>
      </c>
      <c r="D64" s="8">
        <v>3.26</v>
      </c>
      <c r="E64" s="12">
        <v>3</v>
      </c>
      <c r="F64" s="8">
        <v>5.36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136</v>
      </c>
      <c r="C65" s="12">
        <v>3</v>
      </c>
      <c r="D65" s="8">
        <v>3.26</v>
      </c>
      <c r="E65" s="12">
        <v>3</v>
      </c>
      <c r="F65" s="8">
        <v>5.36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173</v>
      </c>
      <c r="C66" s="12">
        <v>2</v>
      </c>
      <c r="D66" s="8">
        <v>2.17</v>
      </c>
      <c r="E66" s="12">
        <v>0</v>
      </c>
      <c r="F66" s="8">
        <v>0</v>
      </c>
      <c r="G66" s="12">
        <v>2</v>
      </c>
      <c r="H66" s="8">
        <v>8.6999999999999993</v>
      </c>
      <c r="I66" s="12">
        <v>0</v>
      </c>
    </row>
    <row r="67" spans="2:9" ht="15" customHeight="1" x14ac:dyDescent="0.2">
      <c r="B67" t="s">
        <v>125</v>
      </c>
      <c r="C67" s="12">
        <v>2</v>
      </c>
      <c r="D67" s="8">
        <v>2.17</v>
      </c>
      <c r="E67" s="12">
        <v>2</v>
      </c>
      <c r="F67" s="8">
        <v>3.57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148</v>
      </c>
      <c r="C68" s="12">
        <v>2</v>
      </c>
      <c r="D68" s="8">
        <v>2.17</v>
      </c>
      <c r="E68" s="12">
        <v>1</v>
      </c>
      <c r="F68" s="8">
        <v>1.79</v>
      </c>
      <c r="G68" s="12">
        <v>1</v>
      </c>
      <c r="H68" s="8">
        <v>4.3499999999999996</v>
      </c>
      <c r="I68" s="12">
        <v>0</v>
      </c>
    </row>
    <row r="69" spans="2:9" ht="15" customHeight="1" x14ac:dyDescent="0.2">
      <c r="B69" t="s">
        <v>183</v>
      </c>
      <c r="C69" s="12">
        <v>2</v>
      </c>
      <c r="D69" s="8">
        <v>2.17</v>
      </c>
      <c r="E69" s="12">
        <v>0</v>
      </c>
      <c r="F69" s="8">
        <v>0</v>
      </c>
      <c r="G69" s="12">
        <v>2</v>
      </c>
      <c r="H69" s="8">
        <v>8.6999999999999993</v>
      </c>
      <c r="I69" s="12">
        <v>0</v>
      </c>
    </row>
    <row r="70" spans="2:9" ht="15" customHeight="1" x14ac:dyDescent="0.2">
      <c r="B70" t="s">
        <v>162</v>
      </c>
      <c r="C70" s="12">
        <v>1</v>
      </c>
      <c r="D70" s="8">
        <v>1.0900000000000001</v>
      </c>
      <c r="E70" s="12">
        <v>0</v>
      </c>
      <c r="F70" s="8">
        <v>0</v>
      </c>
      <c r="G70" s="12">
        <v>1</v>
      </c>
      <c r="H70" s="8">
        <v>4.3499999999999996</v>
      </c>
      <c r="I70" s="12">
        <v>0</v>
      </c>
    </row>
    <row r="71" spans="2:9" ht="15" customHeight="1" x14ac:dyDescent="0.2">
      <c r="B71" t="s">
        <v>146</v>
      </c>
      <c r="C71" s="12">
        <v>1</v>
      </c>
      <c r="D71" s="8">
        <v>1.0900000000000001</v>
      </c>
      <c r="E71" s="12">
        <v>1</v>
      </c>
      <c r="F71" s="8">
        <v>1.79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163</v>
      </c>
      <c r="C72" s="12">
        <v>1</v>
      </c>
      <c r="D72" s="8">
        <v>1.0900000000000001</v>
      </c>
      <c r="E72" s="12">
        <v>1</v>
      </c>
      <c r="F72" s="8">
        <v>1.79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164</v>
      </c>
      <c r="C73" s="12">
        <v>1</v>
      </c>
      <c r="D73" s="8">
        <v>1.0900000000000001</v>
      </c>
      <c r="E73" s="12">
        <v>0</v>
      </c>
      <c r="F73" s="8">
        <v>0</v>
      </c>
      <c r="G73" s="12">
        <v>1</v>
      </c>
      <c r="H73" s="8">
        <v>4.3499999999999996</v>
      </c>
      <c r="I73" s="12">
        <v>0</v>
      </c>
    </row>
    <row r="74" spans="2:9" ht="15" customHeight="1" x14ac:dyDescent="0.2">
      <c r="B74" t="s">
        <v>165</v>
      </c>
      <c r="C74" s="12">
        <v>1</v>
      </c>
      <c r="D74" s="8">
        <v>1.0900000000000001</v>
      </c>
      <c r="E74" s="12">
        <v>0</v>
      </c>
      <c r="F74" s="8">
        <v>0</v>
      </c>
      <c r="G74" s="12">
        <v>1</v>
      </c>
      <c r="H74" s="8">
        <v>4.3499999999999996</v>
      </c>
      <c r="I74" s="12">
        <v>0</v>
      </c>
    </row>
    <row r="75" spans="2:9" ht="15" customHeight="1" x14ac:dyDescent="0.2">
      <c r="B75" t="s">
        <v>166</v>
      </c>
      <c r="C75" s="12">
        <v>1</v>
      </c>
      <c r="D75" s="8">
        <v>1.0900000000000001</v>
      </c>
      <c r="E75" s="12">
        <v>0</v>
      </c>
      <c r="F75" s="8">
        <v>0</v>
      </c>
      <c r="G75" s="12">
        <v>1</v>
      </c>
      <c r="H75" s="8">
        <v>4.3499999999999996</v>
      </c>
      <c r="I75" s="12">
        <v>0</v>
      </c>
    </row>
    <row r="76" spans="2:9" ht="15" customHeight="1" x14ac:dyDescent="0.2">
      <c r="B76" t="s">
        <v>167</v>
      </c>
      <c r="C76" s="12">
        <v>1</v>
      </c>
      <c r="D76" s="8">
        <v>1.0900000000000001</v>
      </c>
      <c r="E76" s="12">
        <v>1</v>
      </c>
      <c r="F76" s="8">
        <v>1.79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168</v>
      </c>
      <c r="C77" s="12">
        <v>1</v>
      </c>
      <c r="D77" s="8">
        <v>1.0900000000000001</v>
      </c>
      <c r="E77" s="12">
        <v>1</v>
      </c>
      <c r="F77" s="8">
        <v>1.79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169</v>
      </c>
      <c r="C78" s="12">
        <v>1</v>
      </c>
      <c r="D78" s="8">
        <v>1.0900000000000001</v>
      </c>
      <c r="E78" s="12">
        <v>0</v>
      </c>
      <c r="F78" s="8">
        <v>0</v>
      </c>
      <c r="G78" s="12">
        <v>1</v>
      </c>
      <c r="H78" s="8">
        <v>4.3499999999999996</v>
      </c>
      <c r="I78" s="12">
        <v>0</v>
      </c>
    </row>
    <row r="79" spans="2:9" ht="15" customHeight="1" x14ac:dyDescent="0.2">
      <c r="B79" t="s">
        <v>171</v>
      </c>
      <c r="C79" s="12">
        <v>1</v>
      </c>
      <c r="D79" s="8">
        <v>1.0900000000000001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172</v>
      </c>
      <c r="C80" s="12">
        <v>1</v>
      </c>
      <c r="D80" s="8">
        <v>1.0900000000000001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157</v>
      </c>
      <c r="C81" s="12">
        <v>1</v>
      </c>
      <c r="D81" s="8">
        <v>1.0900000000000001</v>
      </c>
      <c r="E81" s="12">
        <v>1</v>
      </c>
      <c r="F81" s="8">
        <v>1.79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174</v>
      </c>
      <c r="C82" s="12">
        <v>1</v>
      </c>
      <c r="D82" s="8">
        <v>1.0900000000000001</v>
      </c>
      <c r="E82" s="12">
        <v>1</v>
      </c>
      <c r="F82" s="8">
        <v>1.79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175</v>
      </c>
      <c r="C83" s="12">
        <v>1</v>
      </c>
      <c r="D83" s="8">
        <v>1.0900000000000001</v>
      </c>
      <c r="E83" s="12">
        <v>1</v>
      </c>
      <c r="F83" s="8">
        <v>1.79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176</v>
      </c>
      <c r="C84" s="12">
        <v>1</v>
      </c>
      <c r="D84" s="8">
        <v>1.0900000000000001</v>
      </c>
      <c r="E84" s="12">
        <v>1</v>
      </c>
      <c r="F84" s="8">
        <v>1.79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160</v>
      </c>
      <c r="C85" s="12">
        <v>1</v>
      </c>
      <c r="D85" s="8">
        <v>1.0900000000000001</v>
      </c>
      <c r="E85" s="12">
        <v>1</v>
      </c>
      <c r="F85" s="8">
        <v>1.79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177</v>
      </c>
      <c r="C86" s="12">
        <v>1</v>
      </c>
      <c r="D86" s="8">
        <v>1.0900000000000001</v>
      </c>
      <c r="E86" s="12">
        <v>1</v>
      </c>
      <c r="F86" s="8">
        <v>1.79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178</v>
      </c>
      <c r="C87" s="12">
        <v>1</v>
      </c>
      <c r="D87" s="8">
        <v>1.0900000000000001</v>
      </c>
      <c r="E87" s="12">
        <v>1</v>
      </c>
      <c r="F87" s="8">
        <v>1.79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129</v>
      </c>
      <c r="C88" s="12">
        <v>1</v>
      </c>
      <c r="D88" s="8">
        <v>1.0900000000000001</v>
      </c>
      <c r="E88" s="12">
        <v>0</v>
      </c>
      <c r="F88" s="8">
        <v>0</v>
      </c>
      <c r="G88" s="12">
        <v>1</v>
      </c>
      <c r="H88" s="8">
        <v>4.3499999999999996</v>
      </c>
      <c r="I88" s="12">
        <v>0</v>
      </c>
    </row>
    <row r="89" spans="2:9" ht="15" customHeight="1" x14ac:dyDescent="0.2">
      <c r="B89" t="s">
        <v>179</v>
      </c>
      <c r="C89" s="12">
        <v>1</v>
      </c>
      <c r="D89" s="8">
        <v>1.0900000000000001</v>
      </c>
      <c r="E89" s="12">
        <v>0</v>
      </c>
      <c r="F89" s="8">
        <v>0</v>
      </c>
      <c r="G89" s="12">
        <v>1</v>
      </c>
      <c r="H89" s="8">
        <v>4.3499999999999996</v>
      </c>
      <c r="I89" s="12">
        <v>0</v>
      </c>
    </row>
    <row r="90" spans="2:9" ht="15" customHeight="1" x14ac:dyDescent="0.2">
      <c r="B90" t="s">
        <v>149</v>
      </c>
      <c r="C90" s="12">
        <v>1</v>
      </c>
      <c r="D90" s="8">
        <v>1.0900000000000001</v>
      </c>
      <c r="E90" s="12">
        <v>1</v>
      </c>
      <c r="F90" s="8">
        <v>1.79</v>
      </c>
      <c r="G90" s="12">
        <v>0</v>
      </c>
      <c r="H90" s="8">
        <v>0</v>
      </c>
      <c r="I90" s="12">
        <v>0</v>
      </c>
    </row>
    <row r="91" spans="2:9" ht="15" customHeight="1" x14ac:dyDescent="0.2">
      <c r="B91" t="s">
        <v>180</v>
      </c>
      <c r="C91" s="12">
        <v>1</v>
      </c>
      <c r="D91" s="8">
        <v>1.0900000000000001</v>
      </c>
      <c r="E91" s="12">
        <v>0</v>
      </c>
      <c r="F91" s="8">
        <v>0</v>
      </c>
      <c r="G91" s="12">
        <v>1</v>
      </c>
      <c r="H91" s="8">
        <v>4.3499999999999996</v>
      </c>
      <c r="I91" s="12">
        <v>0</v>
      </c>
    </row>
    <row r="92" spans="2:9" ht="15" customHeight="1" x14ac:dyDescent="0.2">
      <c r="B92" t="s">
        <v>181</v>
      </c>
      <c r="C92" s="12">
        <v>1</v>
      </c>
      <c r="D92" s="8">
        <v>1.0900000000000001</v>
      </c>
      <c r="E92" s="12">
        <v>0</v>
      </c>
      <c r="F92" s="8">
        <v>0</v>
      </c>
      <c r="G92" s="12">
        <v>1</v>
      </c>
      <c r="H92" s="8">
        <v>4.3499999999999996</v>
      </c>
      <c r="I92" s="12">
        <v>0</v>
      </c>
    </row>
    <row r="93" spans="2:9" ht="15" customHeight="1" x14ac:dyDescent="0.2">
      <c r="B93" t="s">
        <v>150</v>
      </c>
      <c r="C93" s="12">
        <v>1</v>
      </c>
      <c r="D93" s="8">
        <v>1.0900000000000001</v>
      </c>
      <c r="E93" s="12">
        <v>1</v>
      </c>
      <c r="F93" s="8">
        <v>1.79</v>
      </c>
      <c r="G93" s="12">
        <v>0</v>
      </c>
      <c r="H93" s="8">
        <v>0</v>
      </c>
      <c r="I93" s="12">
        <v>0</v>
      </c>
    </row>
    <row r="94" spans="2:9" ht="15" customHeight="1" x14ac:dyDescent="0.2">
      <c r="B94" t="s">
        <v>139</v>
      </c>
      <c r="C94" s="12">
        <v>1</v>
      </c>
      <c r="D94" s="8">
        <v>1.0900000000000001</v>
      </c>
      <c r="E94" s="12">
        <v>0</v>
      </c>
      <c r="F94" s="8">
        <v>0</v>
      </c>
      <c r="G94" s="12">
        <v>1</v>
      </c>
      <c r="H94" s="8">
        <v>4.3499999999999996</v>
      </c>
      <c r="I94" s="12">
        <v>0</v>
      </c>
    </row>
    <row r="95" spans="2:9" ht="15" customHeight="1" x14ac:dyDescent="0.2">
      <c r="B95" t="s">
        <v>184</v>
      </c>
      <c r="C95" s="12">
        <v>1</v>
      </c>
      <c r="D95" s="8">
        <v>1.0900000000000001</v>
      </c>
      <c r="E95" s="12">
        <v>0</v>
      </c>
      <c r="F95" s="8">
        <v>0</v>
      </c>
      <c r="G95" s="12">
        <v>1</v>
      </c>
      <c r="H95" s="8">
        <v>4.3499999999999996</v>
      </c>
      <c r="I95" s="12">
        <v>0</v>
      </c>
    </row>
    <row r="97" spans="2:2" ht="15" customHeight="1" x14ac:dyDescent="0.2">
      <c r="B97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5BE53-78FD-4F5C-BBE5-B32D26A585A6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277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4</v>
      </c>
      <c r="D6" s="8">
        <v>8.6999999999999993</v>
      </c>
      <c r="E6" s="12">
        <v>1</v>
      </c>
      <c r="F6" s="8">
        <v>3.45</v>
      </c>
      <c r="G6" s="12">
        <v>3</v>
      </c>
      <c r="H6" s="8">
        <v>23.08</v>
      </c>
      <c r="I6" s="12">
        <v>0</v>
      </c>
    </row>
    <row r="7" spans="2:9" ht="15" customHeight="1" x14ac:dyDescent="0.2">
      <c r="B7" t="s">
        <v>44</v>
      </c>
      <c r="C7" s="12">
        <v>6</v>
      </c>
      <c r="D7" s="8">
        <v>13.04</v>
      </c>
      <c r="E7" s="12">
        <v>5</v>
      </c>
      <c r="F7" s="8">
        <v>17.239999999999998</v>
      </c>
      <c r="G7" s="12">
        <v>1</v>
      </c>
      <c r="H7" s="8">
        <v>7.69</v>
      </c>
      <c r="I7" s="12">
        <v>0</v>
      </c>
    </row>
    <row r="8" spans="2:9" ht="15" customHeight="1" x14ac:dyDescent="0.2">
      <c r="B8" t="s">
        <v>45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47</v>
      </c>
      <c r="C10" s="12">
        <v>1</v>
      </c>
      <c r="D10" s="8">
        <v>2.17</v>
      </c>
      <c r="E10" s="12">
        <v>1</v>
      </c>
      <c r="F10" s="8">
        <v>3.45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48</v>
      </c>
      <c r="C11" s="12">
        <v>19</v>
      </c>
      <c r="D11" s="8">
        <v>41.3</v>
      </c>
      <c r="E11" s="12">
        <v>15</v>
      </c>
      <c r="F11" s="8">
        <v>51.72</v>
      </c>
      <c r="G11" s="12">
        <v>2</v>
      </c>
      <c r="H11" s="8">
        <v>15.38</v>
      </c>
      <c r="I11" s="12">
        <v>2</v>
      </c>
    </row>
    <row r="12" spans="2:9" ht="15" customHeight="1" x14ac:dyDescent="0.2">
      <c r="B12" t="s">
        <v>49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50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51</v>
      </c>
      <c r="C14" s="12">
        <v>1</v>
      </c>
      <c r="D14" s="8">
        <v>2.17</v>
      </c>
      <c r="E14" s="12">
        <v>0</v>
      </c>
      <c r="F14" s="8">
        <v>0</v>
      </c>
      <c r="G14" s="12">
        <v>1</v>
      </c>
      <c r="H14" s="8">
        <v>7.69</v>
      </c>
      <c r="I14" s="12">
        <v>0</v>
      </c>
    </row>
    <row r="15" spans="2:9" ht="15" customHeight="1" x14ac:dyDescent="0.2">
      <c r="B15" t="s">
        <v>52</v>
      </c>
      <c r="C15" s="12">
        <v>9</v>
      </c>
      <c r="D15" s="8">
        <v>19.57</v>
      </c>
      <c r="E15" s="12">
        <v>6</v>
      </c>
      <c r="F15" s="8">
        <v>20.69</v>
      </c>
      <c r="G15" s="12">
        <v>3</v>
      </c>
      <c r="H15" s="8">
        <v>23.08</v>
      </c>
      <c r="I15" s="12">
        <v>0</v>
      </c>
    </row>
    <row r="16" spans="2:9" ht="15" customHeight="1" x14ac:dyDescent="0.2">
      <c r="B16" t="s">
        <v>53</v>
      </c>
      <c r="C16" s="12">
        <v>3</v>
      </c>
      <c r="D16" s="8">
        <v>6.52</v>
      </c>
      <c r="E16" s="12">
        <v>0</v>
      </c>
      <c r="F16" s="8">
        <v>0</v>
      </c>
      <c r="G16" s="12">
        <v>3</v>
      </c>
      <c r="H16" s="8">
        <v>23.08</v>
      </c>
      <c r="I16" s="12">
        <v>0</v>
      </c>
    </row>
    <row r="17" spans="2:9" ht="15" customHeight="1" x14ac:dyDescent="0.2">
      <c r="B17" t="s">
        <v>54</v>
      </c>
      <c r="C17" s="12">
        <v>1</v>
      </c>
      <c r="D17" s="8">
        <v>2.17</v>
      </c>
      <c r="E17" s="12">
        <v>0</v>
      </c>
      <c r="F17" s="8">
        <v>0</v>
      </c>
      <c r="G17" s="12">
        <v>0</v>
      </c>
      <c r="H17" s="8">
        <v>0</v>
      </c>
      <c r="I17" s="12">
        <v>1</v>
      </c>
    </row>
    <row r="18" spans="2:9" ht="15" customHeight="1" x14ac:dyDescent="0.2">
      <c r="B18" t="s">
        <v>55</v>
      </c>
      <c r="C18" s="12">
        <v>1</v>
      </c>
      <c r="D18" s="8">
        <v>2.17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56</v>
      </c>
      <c r="C19" s="12">
        <v>1</v>
      </c>
      <c r="D19" s="8">
        <v>2.17</v>
      </c>
      <c r="E19" s="12">
        <v>1</v>
      </c>
      <c r="F19" s="8">
        <v>3.45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260</v>
      </c>
      <c r="C20" s="12">
        <f>SUM(LTBL_47303[総数／事業所数])</f>
        <v>46</v>
      </c>
      <c r="E20" s="12">
        <f>SUBTOTAL(109,LTBL_47303[個人／事業所数])</f>
        <v>29</v>
      </c>
      <c r="G20" s="12">
        <f>SUBTOTAL(109,LTBL_47303[法人／事業所数])</f>
        <v>13</v>
      </c>
      <c r="I20" s="12">
        <f>SUBTOTAL(109,LTBL_47303[法人以外の団体／事業所数])</f>
        <v>3</v>
      </c>
    </row>
    <row r="21" spans="2:9" ht="15" customHeight="1" x14ac:dyDescent="0.2">
      <c r="E21" s="11">
        <f>LTBL_47303[[#Totals],[個人／事業所数]]/LTBL_47303[[#Totals],[総数／事業所数]]</f>
        <v>0.63043478260869568</v>
      </c>
      <c r="G21" s="11">
        <f>LTBL_47303[[#Totals],[法人／事業所数]]/LTBL_47303[[#Totals],[総数／事業所数]]</f>
        <v>0.28260869565217389</v>
      </c>
      <c r="I21" s="11">
        <f>LTBL_47303[[#Totals],[法人以外の団体／事業所数]]/LTBL_47303[[#Totals],[総数／事業所数]]</f>
        <v>6.5217391304347824E-2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71</v>
      </c>
      <c r="C24" s="12">
        <v>11</v>
      </c>
      <c r="D24" s="8">
        <v>23.91</v>
      </c>
      <c r="E24" s="12">
        <v>9</v>
      </c>
      <c r="F24" s="8">
        <v>31.03</v>
      </c>
      <c r="G24" s="12">
        <v>1</v>
      </c>
      <c r="H24" s="8">
        <v>7.69</v>
      </c>
      <c r="I24" s="12">
        <v>1</v>
      </c>
    </row>
    <row r="25" spans="2:9" ht="15" customHeight="1" x14ac:dyDescent="0.2">
      <c r="B25" t="s">
        <v>69</v>
      </c>
      <c r="C25" s="12">
        <v>6</v>
      </c>
      <c r="D25" s="8">
        <v>13.04</v>
      </c>
      <c r="E25" s="12">
        <v>5</v>
      </c>
      <c r="F25" s="8">
        <v>17.239999999999998</v>
      </c>
      <c r="G25" s="12">
        <v>0</v>
      </c>
      <c r="H25" s="8">
        <v>0</v>
      </c>
      <c r="I25" s="12">
        <v>1</v>
      </c>
    </row>
    <row r="26" spans="2:9" ht="15" customHeight="1" x14ac:dyDescent="0.2">
      <c r="B26" t="s">
        <v>77</v>
      </c>
      <c r="C26" s="12">
        <v>5</v>
      </c>
      <c r="D26" s="8">
        <v>10.87</v>
      </c>
      <c r="E26" s="12">
        <v>5</v>
      </c>
      <c r="F26" s="8">
        <v>17.239999999999998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76</v>
      </c>
      <c r="C27" s="12">
        <v>4</v>
      </c>
      <c r="D27" s="8">
        <v>8.6999999999999993</v>
      </c>
      <c r="E27" s="12">
        <v>1</v>
      </c>
      <c r="F27" s="8">
        <v>3.45</v>
      </c>
      <c r="G27" s="12">
        <v>3</v>
      </c>
      <c r="H27" s="8">
        <v>23.08</v>
      </c>
      <c r="I27" s="12">
        <v>0</v>
      </c>
    </row>
    <row r="28" spans="2:9" ht="15" customHeight="1" x14ac:dyDescent="0.2">
      <c r="B28" t="s">
        <v>65</v>
      </c>
      <c r="C28" s="12">
        <v>3</v>
      </c>
      <c r="D28" s="8">
        <v>6.52</v>
      </c>
      <c r="E28" s="12">
        <v>1</v>
      </c>
      <c r="F28" s="8">
        <v>3.45</v>
      </c>
      <c r="G28" s="12">
        <v>2</v>
      </c>
      <c r="H28" s="8">
        <v>15.38</v>
      </c>
      <c r="I28" s="12">
        <v>0</v>
      </c>
    </row>
    <row r="29" spans="2:9" ht="15" customHeight="1" x14ac:dyDescent="0.2">
      <c r="B29" t="s">
        <v>88</v>
      </c>
      <c r="C29" s="12">
        <v>2</v>
      </c>
      <c r="D29" s="8">
        <v>4.3499999999999996</v>
      </c>
      <c r="E29" s="12">
        <v>2</v>
      </c>
      <c r="F29" s="8">
        <v>6.9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99</v>
      </c>
      <c r="C30" s="12">
        <v>2</v>
      </c>
      <c r="D30" s="8">
        <v>4.3499999999999996</v>
      </c>
      <c r="E30" s="12">
        <v>2</v>
      </c>
      <c r="F30" s="8">
        <v>6.9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80</v>
      </c>
      <c r="C31" s="12">
        <v>2</v>
      </c>
      <c r="D31" s="8">
        <v>4.3499999999999996</v>
      </c>
      <c r="E31" s="12">
        <v>0</v>
      </c>
      <c r="F31" s="8">
        <v>0</v>
      </c>
      <c r="G31" s="12">
        <v>2</v>
      </c>
      <c r="H31" s="8">
        <v>15.38</v>
      </c>
      <c r="I31" s="12">
        <v>0</v>
      </c>
    </row>
    <row r="32" spans="2:9" ht="15" customHeight="1" x14ac:dyDescent="0.2">
      <c r="B32" t="s">
        <v>66</v>
      </c>
      <c r="C32" s="12">
        <v>1</v>
      </c>
      <c r="D32" s="8">
        <v>2.17</v>
      </c>
      <c r="E32" s="12">
        <v>0</v>
      </c>
      <c r="F32" s="8">
        <v>0</v>
      </c>
      <c r="G32" s="12">
        <v>1</v>
      </c>
      <c r="H32" s="8">
        <v>7.69</v>
      </c>
      <c r="I32" s="12">
        <v>0</v>
      </c>
    </row>
    <row r="33" spans="2:9" ht="15" customHeight="1" x14ac:dyDescent="0.2">
      <c r="B33" t="s">
        <v>98</v>
      </c>
      <c r="C33" s="12">
        <v>1</v>
      </c>
      <c r="D33" s="8">
        <v>2.17</v>
      </c>
      <c r="E33" s="12">
        <v>1</v>
      </c>
      <c r="F33" s="8">
        <v>3.45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100</v>
      </c>
      <c r="C34" s="12">
        <v>1</v>
      </c>
      <c r="D34" s="8">
        <v>2.17</v>
      </c>
      <c r="E34" s="12">
        <v>0</v>
      </c>
      <c r="F34" s="8">
        <v>0</v>
      </c>
      <c r="G34" s="12">
        <v>1</v>
      </c>
      <c r="H34" s="8">
        <v>7.69</v>
      </c>
      <c r="I34" s="12">
        <v>0</v>
      </c>
    </row>
    <row r="35" spans="2:9" ht="15" customHeight="1" x14ac:dyDescent="0.2">
      <c r="B35" t="s">
        <v>93</v>
      </c>
      <c r="C35" s="12">
        <v>1</v>
      </c>
      <c r="D35" s="8">
        <v>2.17</v>
      </c>
      <c r="E35" s="12">
        <v>1</v>
      </c>
      <c r="F35" s="8">
        <v>3.45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86</v>
      </c>
      <c r="C36" s="12">
        <v>1</v>
      </c>
      <c r="D36" s="8">
        <v>2.17</v>
      </c>
      <c r="E36" s="12">
        <v>0</v>
      </c>
      <c r="F36" s="8">
        <v>0</v>
      </c>
      <c r="G36" s="12">
        <v>1</v>
      </c>
      <c r="H36" s="8">
        <v>7.69</v>
      </c>
      <c r="I36" s="12">
        <v>0</v>
      </c>
    </row>
    <row r="37" spans="2:9" ht="15" customHeight="1" x14ac:dyDescent="0.2">
      <c r="B37" t="s">
        <v>70</v>
      </c>
      <c r="C37" s="12">
        <v>1</v>
      </c>
      <c r="D37" s="8">
        <v>2.17</v>
      </c>
      <c r="E37" s="12">
        <v>1</v>
      </c>
      <c r="F37" s="8">
        <v>3.45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74</v>
      </c>
      <c r="C38" s="12">
        <v>1</v>
      </c>
      <c r="D38" s="8">
        <v>2.17</v>
      </c>
      <c r="E38" s="12">
        <v>0</v>
      </c>
      <c r="F38" s="8">
        <v>0</v>
      </c>
      <c r="G38" s="12">
        <v>1</v>
      </c>
      <c r="H38" s="8">
        <v>7.69</v>
      </c>
      <c r="I38" s="12">
        <v>0</v>
      </c>
    </row>
    <row r="39" spans="2:9" ht="15" customHeight="1" x14ac:dyDescent="0.2">
      <c r="B39" t="s">
        <v>79</v>
      </c>
      <c r="C39" s="12">
        <v>1</v>
      </c>
      <c r="D39" s="8">
        <v>2.17</v>
      </c>
      <c r="E39" s="12">
        <v>0</v>
      </c>
      <c r="F39" s="8">
        <v>0</v>
      </c>
      <c r="G39" s="12">
        <v>1</v>
      </c>
      <c r="H39" s="8">
        <v>7.69</v>
      </c>
      <c r="I39" s="12">
        <v>0</v>
      </c>
    </row>
    <row r="40" spans="2:9" ht="15" customHeight="1" x14ac:dyDescent="0.2">
      <c r="B40" t="s">
        <v>81</v>
      </c>
      <c r="C40" s="12">
        <v>1</v>
      </c>
      <c r="D40" s="8">
        <v>2.17</v>
      </c>
      <c r="E40" s="12">
        <v>0</v>
      </c>
      <c r="F40" s="8">
        <v>0</v>
      </c>
      <c r="G40" s="12">
        <v>0</v>
      </c>
      <c r="H40" s="8">
        <v>0</v>
      </c>
      <c r="I40" s="12">
        <v>1</v>
      </c>
    </row>
    <row r="41" spans="2:9" ht="15" customHeight="1" x14ac:dyDescent="0.2">
      <c r="B41" t="s">
        <v>82</v>
      </c>
      <c r="C41" s="12">
        <v>1</v>
      </c>
      <c r="D41" s="8">
        <v>2.17</v>
      </c>
      <c r="E41" s="12">
        <v>0</v>
      </c>
      <c r="F41" s="8">
        <v>0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84</v>
      </c>
      <c r="C42" s="12">
        <v>1</v>
      </c>
      <c r="D42" s="8">
        <v>2.17</v>
      </c>
      <c r="E42" s="12">
        <v>1</v>
      </c>
      <c r="F42" s="8">
        <v>3.45</v>
      </c>
      <c r="G42" s="12">
        <v>0</v>
      </c>
      <c r="H42" s="8">
        <v>0</v>
      </c>
      <c r="I42" s="12">
        <v>0</v>
      </c>
    </row>
    <row r="45" spans="2:9" ht="33" customHeight="1" x14ac:dyDescent="0.2">
      <c r="B45" t="s">
        <v>262</v>
      </c>
      <c r="C45" s="10" t="s">
        <v>58</v>
      </c>
      <c r="D45" s="10" t="s">
        <v>59</v>
      </c>
      <c r="E45" s="10" t="s">
        <v>60</v>
      </c>
      <c r="F45" s="10" t="s">
        <v>61</v>
      </c>
      <c r="G45" s="10" t="s">
        <v>62</v>
      </c>
      <c r="H45" s="10" t="s">
        <v>63</v>
      </c>
      <c r="I45" s="10" t="s">
        <v>64</v>
      </c>
    </row>
    <row r="46" spans="2:9" ht="15" customHeight="1" x14ac:dyDescent="0.2">
      <c r="B46" t="s">
        <v>153</v>
      </c>
      <c r="C46" s="12">
        <v>8</v>
      </c>
      <c r="D46" s="8">
        <v>17.39</v>
      </c>
      <c r="E46" s="12">
        <v>8</v>
      </c>
      <c r="F46" s="8">
        <v>27.59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156</v>
      </c>
      <c r="C47" s="12">
        <v>5</v>
      </c>
      <c r="D47" s="8">
        <v>10.87</v>
      </c>
      <c r="E47" s="12">
        <v>4</v>
      </c>
      <c r="F47" s="8">
        <v>13.79</v>
      </c>
      <c r="G47" s="12">
        <v>0</v>
      </c>
      <c r="H47" s="8">
        <v>0</v>
      </c>
      <c r="I47" s="12">
        <v>1</v>
      </c>
    </row>
    <row r="48" spans="2:9" ht="15" customHeight="1" x14ac:dyDescent="0.2">
      <c r="B48" t="s">
        <v>130</v>
      </c>
      <c r="C48" s="12">
        <v>3</v>
      </c>
      <c r="D48" s="8">
        <v>6.52</v>
      </c>
      <c r="E48" s="12">
        <v>1</v>
      </c>
      <c r="F48" s="8">
        <v>3.45</v>
      </c>
      <c r="G48" s="12">
        <v>2</v>
      </c>
      <c r="H48" s="8">
        <v>15.38</v>
      </c>
      <c r="I48" s="12">
        <v>0</v>
      </c>
    </row>
    <row r="49" spans="2:9" ht="15" customHeight="1" x14ac:dyDescent="0.2">
      <c r="B49" t="s">
        <v>122</v>
      </c>
      <c r="C49" s="12">
        <v>2</v>
      </c>
      <c r="D49" s="8">
        <v>4.3499999999999996</v>
      </c>
      <c r="E49" s="12">
        <v>0</v>
      </c>
      <c r="F49" s="8">
        <v>0</v>
      </c>
      <c r="G49" s="12">
        <v>2</v>
      </c>
      <c r="H49" s="8">
        <v>15.38</v>
      </c>
      <c r="I49" s="12">
        <v>0</v>
      </c>
    </row>
    <row r="50" spans="2:9" ht="15" customHeight="1" x14ac:dyDescent="0.2">
      <c r="B50" t="s">
        <v>188</v>
      </c>
      <c r="C50" s="12">
        <v>2</v>
      </c>
      <c r="D50" s="8">
        <v>4.3499999999999996</v>
      </c>
      <c r="E50" s="12">
        <v>2</v>
      </c>
      <c r="F50" s="8">
        <v>6.9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168</v>
      </c>
      <c r="C51" s="12">
        <v>2</v>
      </c>
      <c r="D51" s="8">
        <v>4.3499999999999996</v>
      </c>
      <c r="E51" s="12">
        <v>2</v>
      </c>
      <c r="F51" s="8">
        <v>6.9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126</v>
      </c>
      <c r="C52" s="12">
        <v>2</v>
      </c>
      <c r="D52" s="8">
        <v>4.3499999999999996</v>
      </c>
      <c r="E52" s="12">
        <v>1</v>
      </c>
      <c r="F52" s="8">
        <v>3.45</v>
      </c>
      <c r="G52" s="12">
        <v>0</v>
      </c>
      <c r="H52" s="8">
        <v>0</v>
      </c>
      <c r="I52" s="12">
        <v>1</v>
      </c>
    </row>
    <row r="53" spans="2:9" ht="15" customHeight="1" x14ac:dyDescent="0.2">
      <c r="B53" t="s">
        <v>134</v>
      </c>
      <c r="C53" s="12">
        <v>2</v>
      </c>
      <c r="D53" s="8">
        <v>4.3499999999999996</v>
      </c>
      <c r="E53" s="12">
        <v>2</v>
      </c>
      <c r="F53" s="8">
        <v>6.9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186</v>
      </c>
      <c r="C54" s="12">
        <v>1</v>
      </c>
      <c r="D54" s="8">
        <v>2.17</v>
      </c>
      <c r="E54" s="12">
        <v>1</v>
      </c>
      <c r="F54" s="8">
        <v>3.45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187</v>
      </c>
      <c r="C55" s="12">
        <v>1</v>
      </c>
      <c r="D55" s="8">
        <v>2.17</v>
      </c>
      <c r="E55" s="12">
        <v>0</v>
      </c>
      <c r="F55" s="8">
        <v>0</v>
      </c>
      <c r="G55" s="12">
        <v>1</v>
      </c>
      <c r="H55" s="8">
        <v>7.69</v>
      </c>
      <c r="I55" s="12">
        <v>0</v>
      </c>
    </row>
    <row r="56" spans="2:9" ht="15" customHeight="1" x14ac:dyDescent="0.2">
      <c r="B56" t="s">
        <v>189</v>
      </c>
      <c r="C56" s="12">
        <v>1</v>
      </c>
      <c r="D56" s="8">
        <v>2.17</v>
      </c>
      <c r="E56" s="12">
        <v>1</v>
      </c>
      <c r="F56" s="8">
        <v>3.45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190</v>
      </c>
      <c r="C57" s="12">
        <v>1</v>
      </c>
      <c r="D57" s="8">
        <v>2.17</v>
      </c>
      <c r="E57" s="12">
        <v>0</v>
      </c>
      <c r="F57" s="8">
        <v>0</v>
      </c>
      <c r="G57" s="12">
        <v>1</v>
      </c>
      <c r="H57" s="8">
        <v>7.69</v>
      </c>
      <c r="I57" s="12">
        <v>0</v>
      </c>
    </row>
    <row r="58" spans="2:9" ht="15" customHeight="1" x14ac:dyDescent="0.2">
      <c r="B58" t="s">
        <v>155</v>
      </c>
      <c r="C58" s="12">
        <v>1</v>
      </c>
      <c r="D58" s="8">
        <v>2.17</v>
      </c>
      <c r="E58" s="12">
        <v>1</v>
      </c>
      <c r="F58" s="8">
        <v>3.45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191</v>
      </c>
      <c r="C59" s="12">
        <v>1</v>
      </c>
      <c r="D59" s="8">
        <v>2.17</v>
      </c>
      <c r="E59" s="12">
        <v>0</v>
      </c>
      <c r="F59" s="8">
        <v>0</v>
      </c>
      <c r="G59" s="12">
        <v>1</v>
      </c>
      <c r="H59" s="8">
        <v>7.69</v>
      </c>
      <c r="I59" s="12">
        <v>0</v>
      </c>
    </row>
    <row r="60" spans="2:9" ht="15" customHeight="1" x14ac:dyDescent="0.2">
      <c r="B60" t="s">
        <v>123</v>
      </c>
      <c r="C60" s="12">
        <v>1</v>
      </c>
      <c r="D60" s="8">
        <v>2.17</v>
      </c>
      <c r="E60" s="12">
        <v>1</v>
      </c>
      <c r="F60" s="8">
        <v>3.45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124</v>
      </c>
      <c r="C61" s="12">
        <v>1</v>
      </c>
      <c r="D61" s="8">
        <v>2.17</v>
      </c>
      <c r="E61" s="12">
        <v>1</v>
      </c>
      <c r="F61" s="8">
        <v>3.45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160</v>
      </c>
      <c r="C62" s="12">
        <v>1</v>
      </c>
      <c r="D62" s="8">
        <v>2.17</v>
      </c>
      <c r="E62" s="12">
        <v>0</v>
      </c>
      <c r="F62" s="8">
        <v>0</v>
      </c>
      <c r="G62" s="12">
        <v>1</v>
      </c>
      <c r="H62" s="8">
        <v>7.69</v>
      </c>
      <c r="I62" s="12">
        <v>0</v>
      </c>
    </row>
    <row r="63" spans="2:9" ht="15" customHeight="1" x14ac:dyDescent="0.2">
      <c r="B63" t="s">
        <v>192</v>
      </c>
      <c r="C63" s="12">
        <v>1</v>
      </c>
      <c r="D63" s="8">
        <v>2.17</v>
      </c>
      <c r="E63" s="12">
        <v>0</v>
      </c>
      <c r="F63" s="8">
        <v>0</v>
      </c>
      <c r="G63" s="12">
        <v>1</v>
      </c>
      <c r="H63" s="8">
        <v>7.69</v>
      </c>
      <c r="I63" s="12">
        <v>0</v>
      </c>
    </row>
    <row r="64" spans="2:9" ht="15" customHeight="1" x14ac:dyDescent="0.2">
      <c r="B64" t="s">
        <v>193</v>
      </c>
      <c r="C64" s="12">
        <v>1</v>
      </c>
      <c r="D64" s="8">
        <v>2.17</v>
      </c>
      <c r="E64" s="12">
        <v>0</v>
      </c>
      <c r="F64" s="8">
        <v>0</v>
      </c>
      <c r="G64" s="12">
        <v>1</v>
      </c>
      <c r="H64" s="8">
        <v>7.69</v>
      </c>
      <c r="I64" s="12">
        <v>0</v>
      </c>
    </row>
    <row r="65" spans="2:9" ht="15" customHeight="1" x14ac:dyDescent="0.2">
      <c r="B65" t="s">
        <v>149</v>
      </c>
      <c r="C65" s="12">
        <v>1</v>
      </c>
      <c r="D65" s="8">
        <v>2.17</v>
      </c>
      <c r="E65" s="12">
        <v>1</v>
      </c>
      <c r="F65" s="8">
        <v>3.45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131</v>
      </c>
      <c r="C66" s="12">
        <v>1</v>
      </c>
      <c r="D66" s="8">
        <v>2.17</v>
      </c>
      <c r="E66" s="12">
        <v>1</v>
      </c>
      <c r="F66" s="8">
        <v>3.45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132</v>
      </c>
      <c r="C67" s="12">
        <v>1</v>
      </c>
      <c r="D67" s="8">
        <v>2.17</v>
      </c>
      <c r="E67" s="12">
        <v>1</v>
      </c>
      <c r="F67" s="8">
        <v>3.45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194</v>
      </c>
      <c r="C68" s="12">
        <v>1</v>
      </c>
      <c r="D68" s="8">
        <v>2.17</v>
      </c>
      <c r="E68" s="12">
        <v>0</v>
      </c>
      <c r="F68" s="8">
        <v>0</v>
      </c>
      <c r="G68" s="12">
        <v>1</v>
      </c>
      <c r="H68" s="8">
        <v>7.69</v>
      </c>
      <c r="I68" s="12">
        <v>0</v>
      </c>
    </row>
    <row r="69" spans="2:9" ht="15" customHeight="1" x14ac:dyDescent="0.2">
      <c r="B69" t="s">
        <v>195</v>
      </c>
      <c r="C69" s="12">
        <v>1</v>
      </c>
      <c r="D69" s="8">
        <v>2.17</v>
      </c>
      <c r="E69" s="12">
        <v>0</v>
      </c>
      <c r="F69" s="8">
        <v>0</v>
      </c>
      <c r="G69" s="12">
        <v>1</v>
      </c>
      <c r="H69" s="8">
        <v>7.69</v>
      </c>
      <c r="I69" s="12">
        <v>0</v>
      </c>
    </row>
    <row r="70" spans="2:9" ht="15" customHeight="1" x14ac:dyDescent="0.2">
      <c r="B70" t="s">
        <v>150</v>
      </c>
      <c r="C70" s="12">
        <v>1</v>
      </c>
      <c r="D70" s="8">
        <v>2.17</v>
      </c>
      <c r="E70" s="12">
        <v>0</v>
      </c>
      <c r="F70" s="8">
        <v>0</v>
      </c>
      <c r="G70" s="12">
        <v>1</v>
      </c>
      <c r="H70" s="8">
        <v>7.69</v>
      </c>
      <c r="I70" s="12">
        <v>0</v>
      </c>
    </row>
    <row r="71" spans="2:9" ht="15" customHeight="1" x14ac:dyDescent="0.2">
      <c r="B71" t="s">
        <v>182</v>
      </c>
      <c r="C71" s="12">
        <v>1</v>
      </c>
      <c r="D71" s="8">
        <v>2.17</v>
      </c>
      <c r="E71" s="12">
        <v>0</v>
      </c>
      <c r="F71" s="8">
        <v>0</v>
      </c>
      <c r="G71" s="12">
        <v>0</v>
      </c>
      <c r="H71" s="8">
        <v>0</v>
      </c>
      <c r="I71" s="12">
        <v>1</v>
      </c>
    </row>
    <row r="72" spans="2:9" ht="15" customHeight="1" x14ac:dyDescent="0.2">
      <c r="B72" t="s">
        <v>196</v>
      </c>
      <c r="C72" s="12">
        <v>1</v>
      </c>
      <c r="D72" s="8">
        <v>2.17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141</v>
      </c>
      <c r="C73" s="12">
        <v>1</v>
      </c>
      <c r="D73" s="8">
        <v>2.17</v>
      </c>
      <c r="E73" s="12">
        <v>1</v>
      </c>
      <c r="F73" s="8">
        <v>3.45</v>
      </c>
      <c r="G73" s="12">
        <v>0</v>
      </c>
      <c r="H73" s="8">
        <v>0</v>
      </c>
      <c r="I73" s="12">
        <v>0</v>
      </c>
    </row>
    <row r="75" spans="2:9" ht="15" customHeight="1" x14ac:dyDescent="0.2">
      <c r="B75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8139C-D036-4CA7-9BDC-34C55D4CAE6D}">
  <sheetPr>
    <pageSetUpPr fitToPage="1"/>
  </sheetPr>
  <dimension ref="A1:H673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57</v>
      </c>
      <c r="B1" s="7" t="s">
        <v>58</v>
      </c>
      <c r="C1" s="7" t="s">
        <v>59</v>
      </c>
      <c r="D1" s="7" t="s">
        <v>60</v>
      </c>
      <c r="E1" s="7" t="s">
        <v>61</v>
      </c>
      <c r="F1" s="7" t="s">
        <v>62</v>
      </c>
      <c r="G1" s="7" t="s">
        <v>63</v>
      </c>
      <c r="H1" s="7" t="s">
        <v>64</v>
      </c>
    </row>
    <row r="2" spans="1:8" x14ac:dyDescent="0.2">
      <c r="A2" s="1" t="s">
        <v>0</v>
      </c>
      <c r="B2" s="4">
        <v>38239</v>
      </c>
      <c r="C2" s="5">
        <v>100</v>
      </c>
      <c r="D2" s="4">
        <v>24983</v>
      </c>
      <c r="E2" s="5">
        <v>99.99</v>
      </c>
      <c r="F2" s="4">
        <v>12868</v>
      </c>
      <c r="G2" s="5">
        <v>100.02</v>
      </c>
      <c r="H2" s="4">
        <v>157</v>
      </c>
    </row>
    <row r="3" spans="1:8" x14ac:dyDescent="0.2">
      <c r="A3" s="2" t="s">
        <v>42</v>
      </c>
      <c r="B3" s="4">
        <v>15</v>
      </c>
      <c r="C3" s="5">
        <v>0.04</v>
      </c>
      <c r="D3" s="4">
        <v>1</v>
      </c>
      <c r="E3" s="5">
        <v>0</v>
      </c>
      <c r="F3" s="4">
        <v>14</v>
      </c>
      <c r="G3" s="5">
        <v>0.11</v>
      </c>
      <c r="H3" s="4">
        <v>0</v>
      </c>
    </row>
    <row r="4" spans="1:8" x14ac:dyDescent="0.2">
      <c r="A4" s="2" t="s">
        <v>43</v>
      </c>
      <c r="B4" s="4">
        <v>3307</v>
      </c>
      <c r="C4" s="5">
        <v>8.65</v>
      </c>
      <c r="D4" s="4">
        <v>1056</v>
      </c>
      <c r="E4" s="5">
        <v>4.2300000000000004</v>
      </c>
      <c r="F4" s="4">
        <v>2250</v>
      </c>
      <c r="G4" s="5">
        <v>17.489999999999998</v>
      </c>
      <c r="H4" s="4">
        <v>1</v>
      </c>
    </row>
    <row r="5" spans="1:8" x14ac:dyDescent="0.2">
      <c r="A5" s="2" t="s">
        <v>44</v>
      </c>
      <c r="B5" s="4">
        <v>2006</v>
      </c>
      <c r="C5" s="5">
        <v>5.25</v>
      </c>
      <c r="D5" s="4">
        <v>1261</v>
      </c>
      <c r="E5" s="5">
        <v>5.05</v>
      </c>
      <c r="F5" s="4">
        <v>741</v>
      </c>
      <c r="G5" s="5">
        <v>5.76</v>
      </c>
      <c r="H5" s="4">
        <v>3</v>
      </c>
    </row>
    <row r="6" spans="1:8" x14ac:dyDescent="0.2">
      <c r="A6" s="2" t="s">
        <v>45</v>
      </c>
      <c r="B6" s="4">
        <v>46</v>
      </c>
      <c r="C6" s="5">
        <v>0.12</v>
      </c>
      <c r="D6" s="4">
        <v>0</v>
      </c>
      <c r="E6" s="5">
        <v>0</v>
      </c>
      <c r="F6" s="4">
        <v>32</v>
      </c>
      <c r="G6" s="5">
        <v>0.25</v>
      </c>
      <c r="H6" s="4">
        <v>0</v>
      </c>
    </row>
    <row r="7" spans="1:8" x14ac:dyDescent="0.2">
      <c r="A7" s="2" t="s">
        <v>46</v>
      </c>
      <c r="B7" s="4">
        <v>369</v>
      </c>
      <c r="C7" s="5">
        <v>0.96</v>
      </c>
      <c r="D7" s="4">
        <v>42</v>
      </c>
      <c r="E7" s="5">
        <v>0.17</v>
      </c>
      <c r="F7" s="4">
        <v>324</v>
      </c>
      <c r="G7" s="5">
        <v>2.52</v>
      </c>
      <c r="H7" s="4">
        <v>2</v>
      </c>
    </row>
    <row r="8" spans="1:8" x14ac:dyDescent="0.2">
      <c r="A8" s="2" t="s">
        <v>47</v>
      </c>
      <c r="B8" s="4">
        <v>482</v>
      </c>
      <c r="C8" s="5">
        <v>1.26</v>
      </c>
      <c r="D8" s="4">
        <v>273</v>
      </c>
      <c r="E8" s="5">
        <v>1.0900000000000001</v>
      </c>
      <c r="F8" s="4">
        <v>195</v>
      </c>
      <c r="G8" s="5">
        <v>1.52</v>
      </c>
      <c r="H8" s="4">
        <v>3</v>
      </c>
    </row>
    <row r="9" spans="1:8" x14ac:dyDescent="0.2">
      <c r="A9" s="2" t="s">
        <v>48</v>
      </c>
      <c r="B9" s="4">
        <v>8480</v>
      </c>
      <c r="C9" s="5">
        <v>22.18</v>
      </c>
      <c r="D9" s="4">
        <v>5434</v>
      </c>
      <c r="E9" s="5">
        <v>21.75</v>
      </c>
      <c r="F9" s="4">
        <v>3027</v>
      </c>
      <c r="G9" s="5">
        <v>23.52</v>
      </c>
      <c r="H9" s="4">
        <v>19</v>
      </c>
    </row>
    <row r="10" spans="1:8" x14ac:dyDescent="0.2">
      <c r="A10" s="2" t="s">
        <v>49</v>
      </c>
      <c r="B10" s="4">
        <v>247</v>
      </c>
      <c r="C10" s="5">
        <v>0.65</v>
      </c>
      <c r="D10" s="4">
        <v>82</v>
      </c>
      <c r="E10" s="5">
        <v>0.33</v>
      </c>
      <c r="F10" s="4">
        <v>165</v>
      </c>
      <c r="G10" s="5">
        <v>1.28</v>
      </c>
      <c r="H10" s="4">
        <v>0</v>
      </c>
    </row>
    <row r="11" spans="1:8" x14ac:dyDescent="0.2">
      <c r="A11" s="2" t="s">
        <v>50</v>
      </c>
      <c r="B11" s="4">
        <v>4784</v>
      </c>
      <c r="C11" s="5">
        <v>12.51</v>
      </c>
      <c r="D11" s="4">
        <v>2494</v>
      </c>
      <c r="E11" s="5">
        <v>9.98</v>
      </c>
      <c r="F11" s="4">
        <v>2277</v>
      </c>
      <c r="G11" s="5">
        <v>17.7</v>
      </c>
      <c r="H11" s="4">
        <v>5</v>
      </c>
    </row>
    <row r="12" spans="1:8" x14ac:dyDescent="0.2">
      <c r="A12" s="2" t="s">
        <v>51</v>
      </c>
      <c r="B12" s="4">
        <v>1808</v>
      </c>
      <c r="C12" s="5">
        <v>4.7300000000000004</v>
      </c>
      <c r="D12" s="4">
        <v>977</v>
      </c>
      <c r="E12" s="5">
        <v>3.91</v>
      </c>
      <c r="F12" s="4">
        <v>812</v>
      </c>
      <c r="G12" s="5">
        <v>6.31</v>
      </c>
      <c r="H12" s="4">
        <v>8</v>
      </c>
    </row>
    <row r="13" spans="1:8" x14ac:dyDescent="0.2">
      <c r="A13" s="2" t="s">
        <v>52</v>
      </c>
      <c r="B13" s="4">
        <v>6957</v>
      </c>
      <c r="C13" s="5">
        <v>18.190000000000001</v>
      </c>
      <c r="D13" s="4">
        <v>6187</v>
      </c>
      <c r="E13" s="5">
        <v>24.76</v>
      </c>
      <c r="F13" s="4">
        <v>750</v>
      </c>
      <c r="G13" s="5">
        <v>5.83</v>
      </c>
      <c r="H13" s="4">
        <v>5</v>
      </c>
    </row>
    <row r="14" spans="1:8" x14ac:dyDescent="0.2">
      <c r="A14" s="2" t="s">
        <v>53</v>
      </c>
      <c r="B14" s="4">
        <v>4686</v>
      </c>
      <c r="C14" s="5">
        <v>12.25</v>
      </c>
      <c r="D14" s="4">
        <v>3846</v>
      </c>
      <c r="E14" s="5">
        <v>15.39</v>
      </c>
      <c r="F14" s="4">
        <v>796</v>
      </c>
      <c r="G14" s="5">
        <v>6.19</v>
      </c>
      <c r="H14" s="4">
        <v>12</v>
      </c>
    </row>
    <row r="15" spans="1:8" x14ac:dyDescent="0.2">
      <c r="A15" s="2" t="s">
        <v>54</v>
      </c>
      <c r="B15" s="4">
        <v>2018</v>
      </c>
      <c r="C15" s="5">
        <v>5.28</v>
      </c>
      <c r="D15" s="4">
        <v>1678</v>
      </c>
      <c r="E15" s="5">
        <v>6.72</v>
      </c>
      <c r="F15" s="4">
        <v>247</v>
      </c>
      <c r="G15" s="5">
        <v>1.92</v>
      </c>
      <c r="H15" s="4">
        <v>40</v>
      </c>
    </row>
    <row r="16" spans="1:8" x14ac:dyDescent="0.2">
      <c r="A16" s="2" t="s">
        <v>55</v>
      </c>
      <c r="B16" s="4">
        <v>1512</v>
      </c>
      <c r="C16" s="5">
        <v>3.95</v>
      </c>
      <c r="D16" s="4">
        <v>780</v>
      </c>
      <c r="E16" s="5">
        <v>3.12</v>
      </c>
      <c r="F16" s="4">
        <v>660</v>
      </c>
      <c r="G16" s="5">
        <v>5.13</v>
      </c>
      <c r="H16" s="4">
        <v>20</v>
      </c>
    </row>
    <row r="17" spans="1:8" x14ac:dyDescent="0.2">
      <c r="A17" s="2" t="s">
        <v>56</v>
      </c>
      <c r="B17" s="4">
        <v>1522</v>
      </c>
      <c r="C17" s="5">
        <v>3.98</v>
      </c>
      <c r="D17" s="4">
        <v>872</v>
      </c>
      <c r="E17" s="5">
        <v>3.49</v>
      </c>
      <c r="F17" s="4">
        <v>578</v>
      </c>
      <c r="G17" s="5">
        <v>4.49</v>
      </c>
      <c r="H17" s="4">
        <v>39</v>
      </c>
    </row>
    <row r="18" spans="1:8" x14ac:dyDescent="0.2">
      <c r="A18" s="1" t="s">
        <v>1</v>
      </c>
      <c r="B18" s="4">
        <v>10032</v>
      </c>
      <c r="C18" s="5">
        <v>100</v>
      </c>
      <c r="D18" s="4">
        <v>5983</v>
      </c>
      <c r="E18" s="5">
        <v>100.01</v>
      </c>
      <c r="F18" s="4">
        <v>4010</v>
      </c>
      <c r="G18" s="5">
        <v>99.99</v>
      </c>
      <c r="H18" s="4">
        <v>25</v>
      </c>
    </row>
    <row r="19" spans="1:8" x14ac:dyDescent="0.2">
      <c r="A19" s="2" t="s">
        <v>42</v>
      </c>
      <c r="B19" s="4">
        <v>5</v>
      </c>
      <c r="C19" s="5">
        <v>0.05</v>
      </c>
      <c r="D19" s="4">
        <v>0</v>
      </c>
      <c r="E19" s="5">
        <v>0</v>
      </c>
      <c r="F19" s="4">
        <v>5</v>
      </c>
      <c r="G19" s="5">
        <v>0.12</v>
      </c>
      <c r="H19" s="4">
        <v>0</v>
      </c>
    </row>
    <row r="20" spans="1:8" x14ac:dyDescent="0.2">
      <c r="A20" s="2" t="s">
        <v>43</v>
      </c>
      <c r="B20" s="4">
        <v>604</v>
      </c>
      <c r="C20" s="5">
        <v>6.02</v>
      </c>
      <c r="D20" s="4">
        <v>122</v>
      </c>
      <c r="E20" s="5">
        <v>2.04</v>
      </c>
      <c r="F20" s="4">
        <v>482</v>
      </c>
      <c r="G20" s="5">
        <v>12.02</v>
      </c>
      <c r="H20" s="4">
        <v>0</v>
      </c>
    </row>
    <row r="21" spans="1:8" x14ac:dyDescent="0.2">
      <c r="A21" s="2" t="s">
        <v>44</v>
      </c>
      <c r="B21" s="4">
        <v>262</v>
      </c>
      <c r="C21" s="5">
        <v>2.61</v>
      </c>
      <c r="D21" s="4">
        <v>159</v>
      </c>
      <c r="E21" s="5">
        <v>2.66</v>
      </c>
      <c r="F21" s="4">
        <v>103</v>
      </c>
      <c r="G21" s="5">
        <v>2.57</v>
      </c>
      <c r="H21" s="4">
        <v>0</v>
      </c>
    </row>
    <row r="22" spans="1:8" x14ac:dyDescent="0.2">
      <c r="A22" s="2" t="s">
        <v>45</v>
      </c>
      <c r="B22" s="4">
        <v>4</v>
      </c>
      <c r="C22" s="5">
        <v>0.04</v>
      </c>
      <c r="D22" s="4">
        <v>0</v>
      </c>
      <c r="E22" s="5">
        <v>0</v>
      </c>
      <c r="F22" s="4">
        <v>4</v>
      </c>
      <c r="G22" s="5">
        <v>0.1</v>
      </c>
      <c r="H22" s="4">
        <v>0</v>
      </c>
    </row>
    <row r="23" spans="1:8" x14ac:dyDescent="0.2">
      <c r="A23" s="2" t="s">
        <v>46</v>
      </c>
      <c r="B23" s="4">
        <v>171</v>
      </c>
      <c r="C23" s="5">
        <v>1.7</v>
      </c>
      <c r="D23" s="4">
        <v>16</v>
      </c>
      <c r="E23" s="5">
        <v>0.27</v>
      </c>
      <c r="F23" s="4">
        <v>154</v>
      </c>
      <c r="G23" s="5">
        <v>3.84</v>
      </c>
      <c r="H23" s="4">
        <v>1</v>
      </c>
    </row>
    <row r="24" spans="1:8" x14ac:dyDescent="0.2">
      <c r="A24" s="2" t="s">
        <v>47</v>
      </c>
      <c r="B24" s="4">
        <v>81</v>
      </c>
      <c r="C24" s="5">
        <v>0.81</v>
      </c>
      <c r="D24" s="4">
        <v>9</v>
      </c>
      <c r="E24" s="5">
        <v>0.15</v>
      </c>
      <c r="F24" s="4">
        <v>70</v>
      </c>
      <c r="G24" s="5">
        <v>1.75</v>
      </c>
      <c r="H24" s="4">
        <v>0</v>
      </c>
    </row>
    <row r="25" spans="1:8" x14ac:dyDescent="0.2">
      <c r="A25" s="2" t="s">
        <v>48</v>
      </c>
      <c r="B25" s="4">
        <v>2286</v>
      </c>
      <c r="C25" s="5">
        <v>22.79</v>
      </c>
      <c r="D25" s="4">
        <v>1260</v>
      </c>
      <c r="E25" s="5">
        <v>21.06</v>
      </c>
      <c r="F25" s="4">
        <v>1025</v>
      </c>
      <c r="G25" s="5">
        <v>25.56</v>
      </c>
      <c r="H25" s="4">
        <v>1</v>
      </c>
    </row>
    <row r="26" spans="1:8" x14ac:dyDescent="0.2">
      <c r="A26" s="2" t="s">
        <v>49</v>
      </c>
      <c r="B26" s="4">
        <v>77</v>
      </c>
      <c r="C26" s="5">
        <v>0.77</v>
      </c>
      <c r="D26" s="4">
        <v>15</v>
      </c>
      <c r="E26" s="5">
        <v>0.25</v>
      </c>
      <c r="F26" s="4">
        <v>62</v>
      </c>
      <c r="G26" s="5">
        <v>1.55</v>
      </c>
      <c r="H26" s="4">
        <v>0</v>
      </c>
    </row>
    <row r="27" spans="1:8" x14ac:dyDescent="0.2">
      <c r="A27" s="2" t="s">
        <v>50</v>
      </c>
      <c r="B27" s="4">
        <v>1618</v>
      </c>
      <c r="C27" s="5">
        <v>16.13</v>
      </c>
      <c r="D27" s="4">
        <v>767</v>
      </c>
      <c r="E27" s="5">
        <v>12.82</v>
      </c>
      <c r="F27" s="4">
        <v>849</v>
      </c>
      <c r="G27" s="5">
        <v>21.17</v>
      </c>
      <c r="H27" s="4">
        <v>2</v>
      </c>
    </row>
    <row r="28" spans="1:8" x14ac:dyDescent="0.2">
      <c r="A28" s="2" t="s">
        <v>51</v>
      </c>
      <c r="B28" s="4">
        <v>603</v>
      </c>
      <c r="C28" s="5">
        <v>6.01</v>
      </c>
      <c r="D28" s="4">
        <v>284</v>
      </c>
      <c r="E28" s="5">
        <v>4.75</v>
      </c>
      <c r="F28" s="4">
        <v>318</v>
      </c>
      <c r="G28" s="5">
        <v>7.93</v>
      </c>
      <c r="H28" s="4">
        <v>1</v>
      </c>
    </row>
    <row r="29" spans="1:8" x14ac:dyDescent="0.2">
      <c r="A29" s="2" t="s">
        <v>52</v>
      </c>
      <c r="B29" s="4">
        <v>2044</v>
      </c>
      <c r="C29" s="5">
        <v>20.37</v>
      </c>
      <c r="D29" s="4">
        <v>1792</v>
      </c>
      <c r="E29" s="5">
        <v>29.95</v>
      </c>
      <c r="F29" s="4">
        <v>250</v>
      </c>
      <c r="G29" s="5">
        <v>6.23</v>
      </c>
      <c r="H29" s="4">
        <v>1</v>
      </c>
    </row>
    <row r="30" spans="1:8" x14ac:dyDescent="0.2">
      <c r="A30" s="2" t="s">
        <v>53</v>
      </c>
      <c r="B30" s="4">
        <v>1083</v>
      </c>
      <c r="C30" s="5">
        <v>10.8</v>
      </c>
      <c r="D30" s="4">
        <v>847</v>
      </c>
      <c r="E30" s="5">
        <v>14.16</v>
      </c>
      <c r="F30" s="4">
        <v>231</v>
      </c>
      <c r="G30" s="5">
        <v>5.76</v>
      </c>
      <c r="H30" s="4">
        <v>1</v>
      </c>
    </row>
    <row r="31" spans="1:8" x14ac:dyDescent="0.2">
      <c r="A31" s="2" t="s">
        <v>54</v>
      </c>
      <c r="B31" s="4">
        <v>510</v>
      </c>
      <c r="C31" s="5">
        <v>5.08</v>
      </c>
      <c r="D31" s="4">
        <v>419</v>
      </c>
      <c r="E31" s="5">
        <v>7</v>
      </c>
      <c r="F31" s="4">
        <v>86</v>
      </c>
      <c r="G31" s="5">
        <v>2.14</v>
      </c>
      <c r="H31" s="4">
        <v>2</v>
      </c>
    </row>
    <row r="32" spans="1:8" x14ac:dyDescent="0.2">
      <c r="A32" s="2" t="s">
        <v>55</v>
      </c>
      <c r="B32" s="4">
        <v>391</v>
      </c>
      <c r="C32" s="5">
        <v>3.9</v>
      </c>
      <c r="D32" s="4">
        <v>223</v>
      </c>
      <c r="E32" s="5">
        <v>3.73</v>
      </c>
      <c r="F32" s="4">
        <v>158</v>
      </c>
      <c r="G32" s="5">
        <v>3.94</v>
      </c>
      <c r="H32" s="4">
        <v>10</v>
      </c>
    </row>
    <row r="33" spans="1:8" x14ac:dyDescent="0.2">
      <c r="A33" s="2" t="s">
        <v>56</v>
      </c>
      <c r="B33" s="4">
        <v>293</v>
      </c>
      <c r="C33" s="5">
        <v>2.92</v>
      </c>
      <c r="D33" s="4">
        <v>70</v>
      </c>
      <c r="E33" s="5">
        <v>1.17</v>
      </c>
      <c r="F33" s="4">
        <v>213</v>
      </c>
      <c r="G33" s="5">
        <v>5.31</v>
      </c>
      <c r="H33" s="4">
        <v>6</v>
      </c>
    </row>
    <row r="34" spans="1:8" x14ac:dyDescent="0.2">
      <c r="A34" s="1" t="s">
        <v>2</v>
      </c>
      <c r="B34" s="4">
        <v>2174</v>
      </c>
      <c r="C34" s="5">
        <v>100.03</v>
      </c>
      <c r="D34" s="4">
        <v>1391</v>
      </c>
      <c r="E34" s="5">
        <v>99.98</v>
      </c>
      <c r="F34" s="4">
        <v>773</v>
      </c>
      <c r="G34" s="5">
        <v>99.999999999999986</v>
      </c>
      <c r="H34" s="4">
        <v>7</v>
      </c>
    </row>
    <row r="35" spans="1:8" x14ac:dyDescent="0.2">
      <c r="A35" s="2" t="s">
        <v>42</v>
      </c>
      <c r="B35" s="4">
        <v>1</v>
      </c>
      <c r="C35" s="5">
        <v>0.05</v>
      </c>
      <c r="D35" s="4">
        <v>0</v>
      </c>
      <c r="E35" s="5">
        <v>0</v>
      </c>
      <c r="F35" s="4">
        <v>1</v>
      </c>
      <c r="G35" s="5">
        <v>0.13</v>
      </c>
      <c r="H35" s="4">
        <v>0</v>
      </c>
    </row>
    <row r="36" spans="1:8" x14ac:dyDescent="0.2">
      <c r="A36" s="2" t="s">
        <v>43</v>
      </c>
      <c r="B36" s="4">
        <v>202</v>
      </c>
      <c r="C36" s="5">
        <v>9.2899999999999991</v>
      </c>
      <c r="D36" s="4">
        <v>54</v>
      </c>
      <c r="E36" s="5">
        <v>3.88</v>
      </c>
      <c r="F36" s="4">
        <v>148</v>
      </c>
      <c r="G36" s="5">
        <v>19.149999999999999</v>
      </c>
      <c r="H36" s="4">
        <v>0</v>
      </c>
    </row>
    <row r="37" spans="1:8" x14ac:dyDescent="0.2">
      <c r="A37" s="2" t="s">
        <v>44</v>
      </c>
      <c r="B37" s="4">
        <v>76</v>
      </c>
      <c r="C37" s="5">
        <v>3.5</v>
      </c>
      <c r="D37" s="4">
        <v>54</v>
      </c>
      <c r="E37" s="5">
        <v>3.88</v>
      </c>
      <c r="F37" s="4">
        <v>22</v>
      </c>
      <c r="G37" s="5">
        <v>2.85</v>
      </c>
      <c r="H37" s="4">
        <v>0</v>
      </c>
    </row>
    <row r="38" spans="1:8" x14ac:dyDescent="0.2">
      <c r="A38" s="2" t="s">
        <v>45</v>
      </c>
      <c r="B38" s="4">
        <v>1</v>
      </c>
      <c r="C38" s="5">
        <v>0.05</v>
      </c>
      <c r="D38" s="4">
        <v>0</v>
      </c>
      <c r="E38" s="5">
        <v>0</v>
      </c>
      <c r="F38" s="4">
        <v>1</v>
      </c>
      <c r="G38" s="5">
        <v>0.13</v>
      </c>
      <c r="H38" s="4">
        <v>0</v>
      </c>
    </row>
    <row r="39" spans="1:8" x14ac:dyDescent="0.2">
      <c r="A39" s="2" t="s">
        <v>46</v>
      </c>
      <c r="B39" s="4">
        <v>22</v>
      </c>
      <c r="C39" s="5">
        <v>1.01</v>
      </c>
      <c r="D39" s="4">
        <v>1</v>
      </c>
      <c r="E39" s="5">
        <v>7.0000000000000007E-2</v>
      </c>
      <c r="F39" s="4">
        <v>21</v>
      </c>
      <c r="G39" s="5">
        <v>2.72</v>
      </c>
      <c r="H39" s="4">
        <v>0</v>
      </c>
    </row>
    <row r="40" spans="1:8" x14ac:dyDescent="0.2">
      <c r="A40" s="2" t="s">
        <v>47</v>
      </c>
      <c r="B40" s="4">
        <v>21</v>
      </c>
      <c r="C40" s="5">
        <v>0.97</v>
      </c>
      <c r="D40" s="4">
        <v>13</v>
      </c>
      <c r="E40" s="5">
        <v>0.93</v>
      </c>
      <c r="F40" s="4">
        <v>8</v>
      </c>
      <c r="G40" s="5">
        <v>1.03</v>
      </c>
      <c r="H40" s="4">
        <v>0</v>
      </c>
    </row>
    <row r="41" spans="1:8" x14ac:dyDescent="0.2">
      <c r="A41" s="2" t="s">
        <v>48</v>
      </c>
      <c r="B41" s="4">
        <v>500</v>
      </c>
      <c r="C41" s="5">
        <v>23</v>
      </c>
      <c r="D41" s="4">
        <v>314</v>
      </c>
      <c r="E41" s="5">
        <v>22.57</v>
      </c>
      <c r="F41" s="4">
        <v>186</v>
      </c>
      <c r="G41" s="5">
        <v>24.06</v>
      </c>
      <c r="H41" s="4">
        <v>0</v>
      </c>
    </row>
    <row r="42" spans="1:8" x14ac:dyDescent="0.2">
      <c r="A42" s="2" t="s">
        <v>49</v>
      </c>
      <c r="B42" s="4">
        <v>14</v>
      </c>
      <c r="C42" s="5">
        <v>0.64</v>
      </c>
      <c r="D42" s="4">
        <v>5</v>
      </c>
      <c r="E42" s="5">
        <v>0.36</v>
      </c>
      <c r="F42" s="4">
        <v>9</v>
      </c>
      <c r="G42" s="5">
        <v>1.1599999999999999</v>
      </c>
      <c r="H42" s="4">
        <v>0</v>
      </c>
    </row>
    <row r="43" spans="1:8" x14ac:dyDescent="0.2">
      <c r="A43" s="2" t="s">
        <v>50</v>
      </c>
      <c r="B43" s="4">
        <v>257</v>
      </c>
      <c r="C43" s="5">
        <v>11.82</v>
      </c>
      <c r="D43" s="4">
        <v>96</v>
      </c>
      <c r="E43" s="5">
        <v>6.9</v>
      </c>
      <c r="F43" s="4">
        <v>160</v>
      </c>
      <c r="G43" s="5">
        <v>20.7</v>
      </c>
      <c r="H43" s="4">
        <v>1</v>
      </c>
    </row>
    <row r="44" spans="1:8" x14ac:dyDescent="0.2">
      <c r="A44" s="2" t="s">
        <v>51</v>
      </c>
      <c r="B44" s="4">
        <v>133</v>
      </c>
      <c r="C44" s="5">
        <v>6.12</v>
      </c>
      <c r="D44" s="4">
        <v>73</v>
      </c>
      <c r="E44" s="5">
        <v>5.25</v>
      </c>
      <c r="F44" s="4">
        <v>59</v>
      </c>
      <c r="G44" s="5">
        <v>7.63</v>
      </c>
      <c r="H44" s="4">
        <v>1</v>
      </c>
    </row>
    <row r="45" spans="1:8" x14ac:dyDescent="0.2">
      <c r="A45" s="2" t="s">
        <v>52</v>
      </c>
      <c r="B45" s="4">
        <v>336</v>
      </c>
      <c r="C45" s="5">
        <v>15.46</v>
      </c>
      <c r="D45" s="4">
        <v>307</v>
      </c>
      <c r="E45" s="5">
        <v>22.07</v>
      </c>
      <c r="F45" s="4">
        <v>29</v>
      </c>
      <c r="G45" s="5">
        <v>3.75</v>
      </c>
      <c r="H45" s="4">
        <v>0</v>
      </c>
    </row>
    <row r="46" spans="1:8" x14ac:dyDescent="0.2">
      <c r="A46" s="2" t="s">
        <v>53</v>
      </c>
      <c r="B46" s="4">
        <v>291</v>
      </c>
      <c r="C46" s="5">
        <v>13.39</v>
      </c>
      <c r="D46" s="4">
        <v>239</v>
      </c>
      <c r="E46" s="5">
        <v>17.18</v>
      </c>
      <c r="F46" s="4">
        <v>52</v>
      </c>
      <c r="G46" s="5">
        <v>6.73</v>
      </c>
      <c r="H46" s="4">
        <v>0</v>
      </c>
    </row>
    <row r="47" spans="1:8" x14ac:dyDescent="0.2">
      <c r="A47" s="2" t="s">
        <v>54</v>
      </c>
      <c r="B47" s="4">
        <v>141</v>
      </c>
      <c r="C47" s="5">
        <v>6.49</v>
      </c>
      <c r="D47" s="4">
        <v>125</v>
      </c>
      <c r="E47" s="5">
        <v>8.99</v>
      </c>
      <c r="F47" s="4">
        <v>10</v>
      </c>
      <c r="G47" s="5">
        <v>1.29</v>
      </c>
      <c r="H47" s="4">
        <v>4</v>
      </c>
    </row>
    <row r="48" spans="1:8" x14ac:dyDescent="0.2">
      <c r="A48" s="2" t="s">
        <v>55</v>
      </c>
      <c r="B48" s="4">
        <v>98</v>
      </c>
      <c r="C48" s="5">
        <v>4.51</v>
      </c>
      <c r="D48" s="4">
        <v>50</v>
      </c>
      <c r="E48" s="5">
        <v>3.59</v>
      </c>
      <c r="F48" s="4">
        <v>48</v>
      </c>
      <c r="G48" s="5">
        <v>6.21</v>
      </c>
      <c r="H48" s="4">
        <v>0</v>
      </c>
    </row>
    <row r="49" spans="1:8" x14ac:dyDescent="0.2">
      <c r="A49" s="2" t="s">
        <v>56</v>
      </c>
      <c r="B49" s="4">
        <v>81</v>
      </c>
      <c r="C49" s="5">
        <v>3.73</v>
      </c>
      <c r="D49" s="4">
        <v>60</v>
      </c>
      <c r="E49" s="5">
        <v>4.3099999999999996</v>
      </c>
      <c r="F49" s="4">
        <v>19</v>
      </c>
      <c r="G49" s="5">
        <v>2.46</v>
      </c>
      <c r="H49" s="4">
        <v>1</v>
      </c>
    </row>
    <row r="50" spans="1:8" x14ac:dyDescent="0.2">
      <c r="A50" s="1" t="s">
        <v>3</v>
      </c>
      <c r="B50" s="4">
        <v>1906</v>
      </c>
      <c r="C50" s="5">
        <v>99.99</v>
      </c>
      <c r="D50" s="4">
        <v>1327</v>
      </c>
      <c r="E50" s="5">
        <v>99.990000000000009</v>
      </c>
      <c r="F50" s="4">
        <v>569</v>
      </c>
      <c r="G50" s="5">
        <v>100.01</v>
      </c>
      <c r="H50" s="4">
        <v>3</v>
      </c>
    </row>
    <row r="51" spans="1:8" x14ac:dyDescent="0.2">
      <c r="A51" s="2" t="s">
        <v>42</v>
      </c>
      <c r="B51" s="4">
        <v>2</v>
      </c>
      <c r="C51" s="5">
        <v>0.1</v>
      </c>
      <c r="D51" s="4">
        <v>0</v>
      </c>
      <c r="E51" s="5">
        <v>0</v>
      </c>
      <c r="F51" s="4">
        <v>2</v>
      </c>
      <c r="G51" s="5">
        <v>0.35</v>
      </c>
      <c r="H51" s="4">
        <v>0</v>
      </c>
    </row>
    <row r="52" spans="1:8" x14ac:dyDescent="0.2">
      <c r="A52" s="2" t="s">
        <v>43</v>
      </c>
      <c r="B52" s="4">
        <v>146</v>
      </c>
      <c r="C52" s="5">
        <v>7.66</v>
      </c>
      <c r="D52" s="4">
        <v>53</v>
      </c>
      <c r="E52" s="5">
        <v>3.99</v>
      </c>
      <c r="F52" s="4">
        <v>93</v>
      </c>
      <c r="G52" s="5">
        <v>16.34</v>
      </c>
      <c r="H52" s="4">
        <v>0</v>
      </c>
    </row>
    <row r="53" spans="1:8" x14ac:dyDescent="0.2">
      <c r="A53" s="2" t="s">
        <v>44</v>
      </c>
      <c r="B53" s="4">
        <v>129</v>
      </c>
      <c r="C53" s="5">
        <v>6.77</v>
      </c>
      <c r="D53" s="4">
        <v>81</v>
      </c>
      <c r="E53" s="5">
        <v>6.1</v>
      </c>
      <c r="F53" s="4">
        <v>48</v>
      </c>
      <c r="G53" s="5">
        <v>8.44</v>
      </c>
      <c r="H53" s="4">
        <v>0</v>
      </c>
    </row>
    <row r="54" spans="1:8" x14ac:dyDescent="0.2">
      <c r="A54" s="2" t="s">
        <v>45</v>
      </c>
      <c r="B54" s="4">
        <v>1</v>
      </c>
      <c r="C54" s="5">
        <v>0.05</v>
      </c>
      <c r="D54" s="4">
        <v>0</v>
      </c>
      <c r="E54" s="5">
        <v>0</v>
      </c>
      <c r="F54" s="4">
        <v>1</v>
      </c>
      <c r="G54" s="5">
        <v>0.18</v>
      </c>
      <c r="H54" s="4">
        <v>0</v>
      </c>
    </row>
    <row r="55" spans="1:8" x14ac:dyDescent="0.2">
      <c r="A55" s="2" t="s">
        <v>46</v>
      </c>
      <c r="B55" s="4">
        <v>13</v>
      </c>
      <c r="C55" s="5">
        <v>0.68</v>
      </c>
      <c r="D55" s="4">
        <v>4</v>
      </c>
      <c r="E55" s="5">
        <v>0.3</v>
      </c>
      <c r="F55" s="4">
        <v>9</v>
      </c>
      <c r="G55" s="5">
        <v>1.58</v>
      </c>
      <c r="H55" s="4">
        <v>0</v>
      </c>
    </row>
    <row r="56" spans="1:8" x14ac:dyDescent="0.2">
      <c r="A56" s="2" t="s">
        <v>47</v>
      </c>
      <c r="B56" s="4">
        <v>26</v>
      </c>
      <c r="C56" s="5">
        <v>1.36</v>
      </c>
      <c r="D56" s="4">
        <v>10</v>
      </c>
      <c r="E56" s="5">
        <v>0.75</v>
      </c>
      <c r="F56" s="4">
        <v>15</v>
      </c>
      <c r="G56" s="5">
        <v>2.64</v>
      </c>
      <c r="H56" s="4">
        <v>1</v>
      </c>
    </row>
    <row r="57" spans="1:8" x14ac:dyDescent="0.2">
      <c r="A57" s="2" t="s">
        <v>48</v>
      </c>
      <c r="B57" s="4">
        <v>455</v>
      </c>
      <c r="C57" s="5">
        <v>23.87</v>
      </c>
      <c r="D57" s="4">
        <v>318</v>
      </c>
      <c r="E57" s="5">
        <v>23.96</v>
      </c>
      <c r="F57" s="4">
        <v>137</v>
      </c>
      <c r="G57" s="5">
        <v>24.08</v>
      </c>
      <c r="H57" s="4">
        <v>0</v>
      </c>
    </row>
    <row r="58" spans="1:8" x14ac:dyDescent="0.2">
      <c r="A58" s="2" t="s">
        <v>49</v>
      </c>
      <c r="B58" s="4">
        <v>8</v>
      </c>
      <c r="C58" s="5">
        <v>0.42</v>
      </c>
      <c r="D58" s="4">
        <v>3</v>
      </c>
      <c r="E58" s="5">
        <v>0.23</v>
      </c>
      <c r="F58" s="4">
        <v>5</v>
      </c>
      <c r="G58" s="5">
        <v>0.88</v>
      </c>
      <c r="H58" s="4">
        <v>0</v>
      </c>
    </row>
    <row r="59" spans="1:8" x14ac:dyDescent="0.2">
      <c r="A59" s="2" t="s">
        <v>50</v>
      </c>
      <c r="B59" s="4">
        <v>159</v>
      </c>
      <c r="C59" s="5">
        <v>8.34</v>
      </c>
      <c r="D59" s="4">
        <v>86</v>
      </c>
      <c r="E59" s="5">
        <v>6.48</v>
      </c>
      <c r="F59" s="4">
        <v>73</v>
      </c>
      <c r="G59" s="5">
        <v>12.83</v>
      </c>
      <c r="H59" s="4">
        <v>0</v>
      </c>
    </row>
    <row r="60" spans="1:8" x14ac:dyDescent="0.2">
      <c r="A60" s="2" t="s">
        <v>51</v>
      </c>
      <c r="B60" s="4">
        <v>80</v>
      </c>
      <c r="C60" s="5">
        <v>4.2</v>
      </c>
      <c r="D60" s="4">
        <v>45</v>
      </c>
      <c r="E60" s="5">
        <v>3.39</v>
      </c>
      <c r="F60" s="4">
        <v>34</v>
      </c>
      <c r="G60" s="5">
        <v>5.98</v>
      </c>
      <c r="H60" s="4">
        <v>0</v>
      </c>
    </row>
    <row r="61" spans="1:8" x14ac:dyDescent="0.2">
      <c r="A61" s="2" t="s">
        <v>52</v>
      </c>
      <c r="B61" s="4">
        <v>432</v>
      </c>
      <c r="C61" s="5">
        <v>22.67</v>
      </c>
      <c r="D61" s="4">
        <v>378</v>
      </c>
      <c r="E61" s="5">
        <v>28.49</v>
      </c>
      <c r="F61" s="4">
        <v>54</v>
      </c>
      <c r="G61" s="5">
        <v>9.49</v>
      </c>
      <c r="H61" s="4">
        <v>0</v>
      </c>
    </row>
    <row r="62" spans="1:8" x14ac:dyDescent="0.2">
      <c r="A62" s="2" t="s">
        <v>53</v>
      </c>
      <c r="B62" s="4">
        <v>258</v>
      </c>
      <c r="C62" s="5">
        <v>13.54</v>
      </c>
      <c r="D62" s="4">
        <v>223</v>
      </c>
      <c r="E62" s="5">
        <v>16.8</v>
      </c>
      <c r="F62" s="4">
        <v>34</v>
      </c>
      <c r="G62" s="5">
        <v>5.98</v>
      </c>
      <c r="H62" s="4">
        <v>1</v>
      </c>
    </row>
    <row r="63" spans="1:8" x14ac:dyDescent="0.2">
      <c r="A63" s="2" t="s">
        <v>54</v>
      </c>
      <c r="B63" s="4">
        <v>69</v>
      </c>
      <c r="C63" s="5">
        <v>3.62</v>
      </c>
      <c r="D63" s="4">
        <v>59</v>
      </c>
      <c r="E63" s="5">
        <v>4.45</v>
      </c>
      <c r="F63" s="4">
        <v>9</v>
      </c>
      <c r="G63" s="5">
        <v>1.58</v>
      </c>
      <c r="H63" s="4">
        <v>0</v>
      </c>
    </row>
    <row r="64" spans="1:8" x14ac:dyDescent="0.2">
      <c r="A64" s="2" t="s">
        <v>55</v>
      </c>
      <c r="B64" s="4">
        <v>62</v>
      </c>
      <c r="C64" s="5">
        <v>3.25</v>
      </c>
      <c r="D64" s="4">
        <v>30</v>
      </c>
      <c r="E64" s="5">
        <v>2.2599999999999998</v>
      </c>
      <c r="F64" s="4">
        <v>30</v>
      </c>
      <c r="G64" s="5">
        <v>5.27</v>
      </c>
      <c r="H64" s="4">
        <v>0</v>
      </c>
    </row>
    <row r="65" spans="1:8" x14ac:dyDescent="0.2">
      <c r="A65" s="2" t="s">
        <v>56</v>
      </c>
      <c r="B65" s="4">
        <v>66</v>
      </c>
      <c r="C65" s="5">
        <v>3.46</v>
      </c>
      <c r="D65" s="4">
        <v>37</v>
      </c>
      <c r="E65" s="5">
        <v>2.79</v>
      </c>
      <c r="F65" s="4">
        <v>25</v>
      </c>
      <c r="G65" s="5">
        <v>4.3899999999999997</v>
      </c>
      <c r="H65" s="4">
        <v>1</v>
      </c>
    </row>
    <row r="66" spans="1:8" x14ac:dyDescent="0.2">
      <c r="A66" s="1" t="s">
        <v>4</v>
      </c>
      <c r="B66" s="4">
        <v>3055</v>
      </c>
      <c r="C66" s="5">
        <v>99.97</v>
      </c>
      <c r="D66" s="4">
        <v>1842</v>
      </c>
      <c r="E66" s="5">
        <v>100</v>
      </c>
      <c r="F66" s="4">
        <v>1198</v>
      </c>
      <c r="G66" s="5">
        <v>100.00999999999998</v>
      </c>
      <c r="H66" s="4">
        <v>12</v>
      </c>
    </row>
    <row r="67" spans="1:8" x14ac:dyDescent="0.2">
      <c r="A67" s="2" t="s">
        <v>42</v>
      </c>
      <c r="B67" s="4">
        <v>1</v>
      </c>
      <c r="C67" s="5">
        <v>0.03</v>
      </c>
      <c r="D67" s="4">
        <v>0</v>
      </c>
      <c r="E67" s="5">
        <v>0</v>
      </c>
      <c r="F67" s="4">
        <v>1</v>
      </c>
      <c r="G67" s="5">
        <v>0.08</v>
      </c>
      <c r="H67" s="4">
        <v>0</v>
      </c>
    </row>
    <row r="68" spans="1:8" x14ac:dyDescent="0.2">
      <c r="A68" s="2" t="s">
        <v>43</v>
      </c>
      <c r="B68" s="4">
        <v>301</v>
      </c>
      <c r="C68" s="5">
        <v>9.85</v>
      </c>
      <c r="D68" s="4">
        <v>96</v>
      </c>
      <c r="E68" s="5">
        <v>5.21</v>
      </c>
      <c r="F68" s="4">
        <v>205</v>
      </c>
      <c r="G68" s="5">
        <v>17.11</v>
      </c>
      <c r="H68" s="4">
        <v>0</v>
      </c>
    </row>
    <row r="69" spans="1:8" x14ac:dyDescent="0.2">
      <c r="A69" s="2" t="s">
        <v>44</v>
      </c>
      <c r="B69" s="4">
        <v>79</v>
      </c>
      <c r="C69" s="5">
        <v>2.59</v>
      </c>
      <c r="D69" s="4">
        <v>37</v>
      </c>
      <c r="E69" s="5">
        <v>2.0099999999999998</v>
      </c>
      <c r="F69" s="4">
        <v>42</v>
      </c>
      <c r="G69" s="5">
        <v>3.51</v>
      </c>
      <c r="H69" s="4">
        <v>0</v>
      </c>
    </row>
    <row r="70" spans="1:8" x14ac:dyDescent="0.2">
      <c r="A70" s="2" t="s">
        <v>45</v>
      </c>
      <c r="B70" s="4">
        <v>3</v>
      </c>
      <c r="C70" s="5">
        <v>0.1</v>
      </c>
      <c r="D70" s="4">
        <v>0</v>
      </c>
      <c r="E70" s="5">
        <v>0</v>
      </c>
      <c r="F70" s="4">
        <v>3</v>
      </c>
      <c r="G70" s="5">
        <v>0.25</v>
      </c>
      <c r="H70" s="4">
        <v>0</v>
      </c>
    </row>
    <row r="71" spans="1:8" x14ac:dyDescent="0.2">
      <c r="A71" s="2" t="s">
        <v>46</v>
      </c>
      <c r="B71" s="4">
        <v>41</v>
      </c>
      <c r="C71" s="5">
        <v>1.34</v>
      </c>
      <c r="D71" s="4">
        <v>7</v>
      </c>
      <c r="E71" s="5">
        <v>0.38</v>
      </c>
      <c r="F71" s="4">
        <v>34</v>
      </c>
      <c r="G71" s="5">
        <v>2.84</v>
      </c>
      <c r="H71" s="4">
        <v>0</v>
      </c>
    </row>
    <row r="72" spans="1:8" x14ac:dyDescent="0.2">
      <c r="A72" s="2" t="s">
        <v>47</v>
      </c>
      <c r="B72" s="4">
        <v>31</v>
      </c>
      <c r="C72" s="5">
        <v>1.01</v>
      </c>
      <c r="D72" s="4">
        <v>11</v>
      </c>
      <c r="E72" s="5">
        <v>0.6</v>
      </c>
      <c r="F72" s="4">
        <v>20</v>
      </c>
      <c r="G72" s="5">
        <v>1.67</v>
      </c>
      <c r="H72" s="4">
        <v>0</v>
      </c>
    </row>
    <row r="73" spans="1:8" x14ac:dyDescent="0.2">
      <c r="A73" s="2" t="s">
        <v>48</v>
      </c>
      <c r="B73" s="4">
        <v>587</v>
      </c>
      <c r="C73" s="5">
        <v>19.21</v>
      </c>
      <c r="D73" s="4">
        <v>268</v>
      </c>
      <c r="E73" s="5">
        <v>14.55</v>
      </c>
      <c r="F73" s="4">
        <v>318</v>
      </c>
      <c r="G73" s="5">
        <v>26.54</v>
      </c>
      <c r="H73" s="4">
        <v>1</v>
      </c>
    </row>
    <row r="74" spans="1:8" x14ac:dyDescent="0.2">
      <c r="A74" s="2" t="s">
        <v>49</v>
      </c>
      <c r="B74" s="4">
        <v>30</v>
      </c>
      <c r="C74" s="5">
        <v>0.98</v>
      </c>
      <c r="D74" s="4">
        <v>12</v>
      </c>
      <c r="E74" s="5">
        <v>0.65</v>
      </c>
      <c r="F74" s="4">
        <v>18</v>
      </c>
      <c r="G74" s="5">
        <v>1.5</v>
      </c>
      <c r="H74" s="4">
        <v>0</v>
      </c>
    </row>
    <row r="75" spans="1:8" x14ac:dyDescent="0.2">
      <c r="A75" s="2" t="s">
        <v>50</v>
      </c>
      <c r="B75" s="4">
        <v>593</v>
      </c>
      <c r="C75" s="5">
        <v>19.41</v>
      </c>
      <c r="D75" s="4">
        <v>386</v>
      </c>
      <c r="E75" s="5">
        <v>20.96</v>
      </c>
      <c r="F75" s="4">
        <v>206</v>
      </c>
      <c r="G75" s="5">
        <v>17.2</v>
      </c>
      <c r="H75" s="4">
        <v>1</v>
      </c>
    </row>
    <row r="76" spans="1:8" x14ac:dyDescent="0.2">
      <c r="A76" s="2" t="s">
        <v>51</v>
      </c>
      <c r="B76" s="4">
        <v>194</v>
      </c>
      <c r="C76" s="5">
        <v>6.35</v>
      </c>
      <c r="D76" s="4">
        <v>97</v>
      </c>
      <c r="E76" s="5">
        <v>5.27</v>
      </c>
      <c r="F76" s="4">
        <v>97</v>
      </c>
      <c r="G76" s="5">
        <v>8.1</v>
      </c>
      <c r="H76" s="4">
        <v>0</v>
      </c>
    </row>
    <row r="77" spans="1:8" x14ac:dyDescent="0.2">
      <c r="A77" s="2" t="s">
        <v>52</v>
      </c>
      <c r="B77" s="4">
        <v>470</v>
      </c>
      <c r="C77" s="5">
        <v>15.38</v>
      </c>
      <c r="D77" s="4">
        <v>423</v>
      </c>
      <c r="E77" s="5">
        <v>22.96</v>
      </c>
      <c r="F77" s="4">
        <v>47</v>
      </c>
      <c r="G77" s="5">
        <v>3.92</v>
      </c>
      <c r="H77" s="4">
        <v>0</v>
      </c>
    </row>
    <row r="78" spans="1:8" x14ac:dyDescent="0.2">
      <c r="A78" s="2" t="s">
        <v>53</v>
      </c>
      <c r="B78" s="4">
        <v>316</v>
      </c>
      <c r="C78" s="5">
        <v>10.34</v>
      </c>
      <c r="D78" s="4">
        <v>241</v>
      </c>
      <c r="E78" s="5">
        <v>13.08</v>
      </c>
      <c r="F78" s="4">
        <v>74</v>
      </c>
      <c r="G78" s="5">
        <v>6.18</v>
      </c>
      <c r="H78" s="4">
        <v>1</v>
      </c>
    </row>
    <row r="79" spans="1:8" x14ac:dyDescent="0.2">
      <c r="A79" s="2" t="s">
        <v>54</v>
      </c>
      <c r="B79" s="4">
        <v>159</v>
      </c>
      <c r="C79" s="5">
        <v>5.2</v>
      </c>
      <c r="D79" s="4">
        <v>129</v>
      </c>
      <c r="E79" s="5">
        <v>7</v>
      </c>
      <c r="F79" s="4">
        <v>23</v>
      </c>
      <c r="G79" s="5">
        <v>1.92</v>
      </c>
      <c r="H79" s="4">
        <v>5</v>
      </c>
    </row>
    <row r="80" spans="1:8" x14ac:dyDescent="0.2">
      <c r="A80" s="2" t="s">
        <v>55</v>
      </c>
      <c r="B80" s="4">
        <v>150</v>
      </c>
      <c r="C80" s="5">
        <v>4.91</v>
      </c>
      <c r="D80" s="4">
        <v>83</v>
      </c>
      <c r="E80" s="5">
        <v>4.51</v>
      </c>
      <c r="F80" s="4">
        <v>65</v>
      </c>
      <c r="G80" s="5">
        <v>5.43</v>
      </c>
      <c r="H80" s="4">
        <v>2</v>
      </c>
    </row>
    <row r="81" spans="1:8" x14ac:dyDescent="0.2">
      <c r="A81" s="2" t="s">
        <v>56</v>
      </c>
      <c r="B81" s="4">
        <v>100</v>
      </c>
      <c r="C81" s="5">
        <v>3.27</v>
      </c>
      <c r="D81" s="4">
        <v>52</v>
      </c>
      <c r="E81" s="5">
        <v>2.82</v>
      </c>
      <c r="F81" s="4">
        <v>45</v>
      </c>
      <c r="G81" s="5">
        <v>3.76</v>
      </c>
      <c r="H81" s="4">
        <v>2</v>
      </c>
    </row>
    <row r="82" spans="1:8" x14ac:dyDescent="0.2">
      <c r="A82" s="1" t="s">
        <v>5</v>
      </c>
      <c r="B82" s="4">
        <v>1488</v>
      </c>
      <c r="C82" s="5">
        <v>100.00000000000001</v>
      </c>
      <c r="D82" s="4">
        <v>1064</v>
      </c>
      <c r="E82" s="5">
        <v>100.00000000000001</v>
      </c>
      <c r="F82" s="4">
        <v>405</v>
      </c>
      <c r="G82" s="5">
        <v>100.00999999999998</v>
      </c>
      <c r="H82" s="4">
        <v>15</v>
      </c>
    </row>
    <row r="83" spans="1:8" x14ac:dyDescent="0.2">
      <c r="A83" s="2" t="s">
        <v>42</v>
      </c>
      <c r="B83" s="4">
        <v>1</v>
      </c>
      <c r="C83" s="5">
        <v>7.0000000000000007E-2</v>
      </c>
      <c r="D83" s="4">
        <v>0</v>
      </c>
      <c r="E83" s="5">
        <v>0</v>
      </c>
      <c r="F83" s="4">
        <v>1</v>
      </c>
      <c r="G83" s="5">
        <v>0.25</v>
      </c>
      <c r="H83" s="4">
        <v>0</v>
      </c>
    </row>
    <row r="84" spans="1:8" x14ac:dyDescent="0.2">
      <c r="A84" s="2" t="s">
        <v>43</v>
      </c>
      <c r="B84" s="4">
        <v>105</v>
      </c>
      <c r="C84" s="5">
        <v>7.06</v>
      </c>
      <c r="D84" s="4">
        <v>41</v>
      </c>
      <c r="E84" s="5">
        <v>3.85</v>
      </c>
      <c r="F84" s="4">
        <v>64</v>
      </c>
      <c r="G84" s="5">
        <v>15.8</v>
      </c>
      <c r="H84" s="4">
        <v>0</v>
      </c>
    </row>
    <row r="85" spans="1:8" x14ac:dyDescent="0.2">
      <c r="A85" s="2" t="s">
        <v>44</v>
      </c>
      <c r="B85" s="4">
        <v>74</v>
      </c>
      <c r="C85" s="5">
        <v>4.97</v>
      </c>
      <c r="D85" s="4">
        <v>48</v>
      </c>
      <c r="E85" s="5">
        <v>4.51</v>
      </c>
      <c r="F85" s="4">
        <v>26</v>
      </c>
      <c r="G85" s="5">
        <v>6.42</v>
      </c>
      <c r="H85" s="4">
        <v>0</v>
      </c>
    </row>
    <row r="86" spans="1:8" x14ac:dyDescent="0.2">
      <c r="A86" s="2" t="s">
        <v>45</v>
      </c>
      <c r="B86" s="4">
        <v>0</v>
      </c>
      <c r="C86" s="5">
        <v>0</v>
      </c>
      <c r="D86" s="4">
        <v>0</v>
      </c>
      <c r="E86" s="5">
        <v>0</v>
      </c>
      <c r="F86" s="4">
        <v>0</v>
      </c>
      <c r="G86" s="5">
        <v>0</v>
      </c>
      <c r="H86" s="4">
        <v>0</v>
      </c>
    </row>
    <row r="87" spans="1:8" x14ac:dyDescent="0.2">
      <c r="A87" s="2" t="s">
        <v>46</v>
      </c>
      <c r="B87" s="4">
        <v>11</v>
      </c>
      <c r="C87" s="5">
        <v>0.74</v>
      </c>
      <c r="D87" s="4">
        <v>0</v>
      </c>
      <c r="E87" s="5">
        <v>0</v>
      </c>
      <c r="F87" s="4">
        <v>11</v>
      </c>
      <c r="G87" s="5">
        <v>2.72</v>
      </c>
      <c r="H87" s="4">
        <v>0</v>
      </c>
    </row>
    <row r="88" spans="1:8" x14ac:dyDescent="0.2">
      <c r="A88" s="2" t="s">
        <v>47</v>
      </c>
      <c r="B88" s="4">
        <v>6</v>
      </c>
      <c r="C88" s="5">
        <v>0.4</v>
      </c>
      <c r="D88" s="4">
        <v>3</v>
      </c>
      <c r="E88" s="5">
        <v>0.28000000000000003</v>
      </c>
      <c r="F88" s="4">
        <v>3</v>
      </c>
      <c r="G88" s="5">
        <v>0.74</v>
      </c>
      <c r="H88" s="4">
        <v>0</v>
      </c>
    </row>
    <row r="89" spans="1:8" x14ac:dyDescent="0.2">
      <c r="A89" s="2" t="s">
        <v>48</v>
      </c>
      <c r="B89" s="4">
        <v>382</v>
      </c>
      <c r="C89" s="5">
        <v>25.67</v>
      </c>
      <c r="D89" s="4">
        <v>289</v>
      </c>
      <c r="E89" s="5">
        <v>27.16</v>
      </c>
      <c r="F89" s="4">
        <v>91</v>
      </c>
      <c r="G89" s="5">
        <v>22.47</v>
      </c>
      <c r="H89" s="4">
        <v>2</v>
      </c>
    </row>
    <row r="90" spans="1:8" x14ac:dyDescent="0.2">
      <c r="A90" s="2" t="s">
        <v>49</v>
      </c>
      <c r="B90" s="4">
        <v>8</v>
      </c>
      <c r="C90" s="5">
        <v>0.54</v>
      </c>
      <c r="D90" s="4">
        <v>1</v>
      </c>
      <c r="E90" s="5">
        <v>0.09</v>
      </c>
      <c r="F90" s="4">
        <v>7</v>
      </c>
      <c r="G90" s="5">
        <v>1.73</v>
      </c>
      <c r="H90" s="4">
        <v>0</v>
      </c>
    </row>
    <row r="91" spans="1:8" x14ac:dyDescent="0.2">
      <c r="A91" s="2" t="s">
        <v>50</v>
      </c>
      <c r="B91" s="4">
        <v>115</v>
      </c>
      <c r="C91" s="5">
        <v>7.73</v>
      </c>
      <c r="D91" s="4">
        <v>47</v>
      </c>
      <c r="E91" s="5">
        <v>4.42</v>
      </c>
      <c r="F91" s="4">
        <v>68</v>
      </c>
      <c r="G91" s="5">
        <v>16.79</v>
      </c>
      <c r="H91" s="4">
        <v>0</v>
      </c>
    </row>
    <row r="92" spans="1:8" x14ac:dyDescent="0.2">
      <c r="A92" s="2" t="s">
        <v>51</v>
      </c>
      <c r="B92" s="4">
        <v>60</v>
      </c>
      <c r="C92" s="5">
        <v>4.03</v>
      </c>
      <c r="D92" s="4">
        <v>29</v>
      </c>
      <c r="E92" s="5">
        <v>2.73</v>
      </c>
      <c r="F92" s="4">
        <v>28</v>
      </c>
      <c r="G92" s="5">
        <v>6.91</v>
      </c>
      <c r="H92" s="4">
        <v>0</v>
      </c>
    </row>
    <row r="93" spans="1:8" x14ac:dyDescent="0.2">
      <c r="A93" s="2" t="s">
        <v>52</v>
      </c>
      <c r="B93" s="4">
        <v>323</v>
      </c>
      <c r="C93" s="5">
        <v>21.71</v>
      </c>
      <c r="D93" s="4">
        <v>301</v>
      </c>
      <c r="E93" s="5">
        <v>28.29</v>
      </c>
      <c r="F93" s="4">
        <v>21</v>
      </c>
      <c r="G93" s="5">
        <v>5.19</v>
      </c>
      <c r="H93" s="4">
        <v>1</v>
      </c>
    </row>
    <row r="94" spans="1:8" x14ac:dyDescent="0.2">
      <c r="A94" s="2" t="s">
        <v>53</v>
      </c>
      <c r="B94" s="4">
        <v>221</v>
      </c>
      <c r="C94" s="5">
        <v>14.85</v>
      </c>
      <c r="D94" s="4">
        <v>193</v>
      </c>
      <c r="E94" s="5">
        <v>18.14</v>
      </c>
      <c r="F94" s="4">
        <v>27</v>
      </c>
      <c r="G94" s="5">
        <v>6.67</v>
      </c>
      <c r="H94" s="4">
        <v>0</v>
      </c>
    </row>
    <row r="95" spans="1:8" x14ac:dyDescent="0.2">
      <c r="A95" s="2" t="s">
        <v>54</v>
      </c>
      <c r="B95" s="4">
        <v>70</v>
      </c>
      <c r="C95" s="5">
        <v>4.7</v>
      </c>
      <c r="D95" s="4">
        <v>51</v>
      </c>
      <c r="E95" s="5">
        <v>4.79</v>
      </c>
      <c r="F95" s="4">
        <v>10</v>
      </c>
      <c r="G95" s="5">
        <v>2.4700000000000002</v>
      </c>
      <c r="H95" s="4">
        <v>9</v>
      </c>
    </row>
    <row r="96" spans="1:8" x14ac:dyDescent="0.2">
      <c r="A96" s="2" t="s">
        <v>55</v>
      </c>
      <c r="B96" s="4">
        <v>58</v>
      </c>
      <c r="C96" s="5">
        <v>3.9</v>
      </c>
      <c r="D96" s="4">
        <v>29</v>
      </c>
      <c r="E96" s="5">
        <v>2.73</v>
      </c>
      <c r="F96" s="4">
        <v>28</v>
      </c>
      <c r="G96" s="5">
        <v>6.91</v>
      </c>
      <c r="H96" s="4">
        <v>1</v>
      </c>
    </row>
    <row r="97" spans="1:8" x14ac:dyDescent="0.2">
      <c r="A97" s="2" t="s">
        <v>56</v>
      </c>
      <c r="B97" s="4">
        <v>54</v>
      </c>
      <c r="C97" s="5">
        <v>3.63</v>
      </c>
      <c r="D97" s="4">
        <v>32</v>
      </c>
      <c r="E97" s="5">
        <v>3.01</v>
      </c>
      <c r="F97" s="4">
        <v>20</v>
      </c>
      <c r="G97" s="5">
        <v>4.9400000000000004</v>
      </c>
      <c r="H97" s="4">
        <v>2</v>
      </c>
    </row>
    <row r="98" spans="1:8" x14ac:dyDescent="0.2">
      <c r="A98" s="1" t="s">
        <v>6</v>
      </c>
      <c r="B98" s="4">
        <v>1473</v>
      </c>
      <c r="C98" s="5">
        <v>100.01999999999998</v>
      </c>
      <c r="D98" s="4">
        <v>992</v>
      </c>
      <c r="E98" s="5">
        <v>99.989999999999981</v>
      </c>
      <c r="F98" s="4">
        <v>467</v>
      </c>
      <c r="G98" s="5">
        <v>100.00999999999999</v>
      </c>
      <c r="H98" s="4">
        <v>4</v>
      </c>
    </row>
    <row r="99" spans="1:8" x14ac:dyDescent="0.2">
      <c r="A99" s="2" t="s">
        <v>42</v>
      </c>
      <c r="B99" s="4">
        <v>1</v>
      </c>
      <c r="C99" s="5">
        <v>7.0000000000000007E-2</v>
      </c>
      <c r="D99" s="4">
        <v>0</v>
      </c>
      <c r="E99" s="5">
        <v>0</v>
      </c>
      <c r="F99" s="4">
        <v>1</v>
      </c>
      <c r="G99" s="5">
        <v>0.21</v>
      </c>
      <c r="H99" s="4">
        <v>0</v>
      </c>
    </row>
    <row r="100" spans="1:8" x14ac:dyDescent="0.2">
      <c r="A100" s="2" t="s">
        <v>43</v>
      </c>
      <c r="B100" s="4">
        <v>156</v>
      </c>
      <c r="C100" s="5">
        <v>10.59</v>
      </c>
      <c r="D100" s="4">
        <v>52</v>
      </c>
      <c r="E100" s="5">
        <v>5.24</v>
      </c>
      <c r="F100" s="4">
        <v>104</v>
      </c>
      <c r="G100" s="5">
        <v>22.27</v>
      </c>
      <c r="H100" s="4">
        <v>0</v>
      </c>
    </row>
    <row r="101" spans="1:8" x14ac:dyDescent="0.2">
      <c r="A101" s="2" t="s">
        <v>44</v>
      </c>
      <c r="B101" s="4">
        <v>99</v>
      </c>
      <c r="C101" s="5">
        <v>6.72</v>
      </c>
      <c r="D101" s="4">
        <v>39</v>
      </c>
      <c r="E101" s="5">
        <v>3.93</v>
      </c>
      <c r="F101" s="4">
        <v>60</v>
      </c>
      <c r="G101" s="5">
        <v>12.85</v>
      </c>
      <c r="H101" s="4">
        <v>0</v>
      </c>
    </row>
    <row r="102" spans="1:8" x14ac:dyDescent="0.2">
      <c r="A102" s="2" t="s">
        <v>45</v>
      </c>
      <c r="B102" s="4">
        <v>0</v>
      </c>
      <c r="C102" s="5">
        <v>0</v>
      </c>
      <c r="D102" s="4">
        <v>0</v>
      </c>
      <c r="E102" s="5">
        <v>0</v>
      </c>
      <c r="F102" s="4">
        <v>0</v>
      </c>
      <c r="G102" s="5">
        <v>0</v>
      </c>
      <c r="H102" s="4">
        <v>0</v>
      </c>
    </row>
    <row r="103" spans="1:8" x14ac:dyDescent="0.2">
      <c r="A103" s="2" t="s">
        <v>46</v>
      </c>
      <c r="B103" s="4">
        <v>6</v>
      </c>
      <c r="C103" s="5">
        <v>0.41</v>
      </c>
      <c r="D103" s="4">
        <v>1</v>
      </c>
      <c r="E103" s="5">
        <v>0.1</v>
      </c>
      <c r="F103" s="4">
        <v>5</v>
      </c>
      <c r="G103" s="5">
        <v>1.07</v>
      </c>
      <c r="H103" s="4">
        <v>0</v>
      </c>
    </row>
    <row r="104" spans="1:8" x14ac:dyDescent="0.2">
      <c r="A104" s="2" t="s">
        <v>47</v>
      </c>
      <c r="B104" s="4">
        <v>34</v>
      </c>
      <c r="C104" s="5">
        <v>2.31</v>
      </c>
      <c r="D104" s="4">
        <v>25</v>
      </c>
      <c r="E104" s="5">
        <v>2.52</v>
      </c>
      <c r="F104" s="4">
        <v>9</v>
      </c>
      <c r="G104" s="5">
        <v>1.93</v>
      </c>
      <c r="H104" s="4">
        <v>0</v>
      </c>
    </row>
    <row r="105" spans="1:8" x14ac:dyDescent="0.2">
      <c r="A105" s="2" t="s">
        <v>48</v>
      </c>
      <c r="B105" s="4">
        <v>337</v>
      </c>
      <c r="C105" s="5">
        <v>22.88</v>
      </c>
      <c r="D105" s="4">
        <v>244</v>
      </c>
      <c r="E105" s="5">
        <v>24.6</v>
      </c>
      <c r="F105" s="4">
        <v>93</v>
      </c>
      <c r="G105" s="5">
        <v>19.91</v>
      </c>
      <c r="H105" s="4">
        <v>0</v>
      </c>
    </row>
    <row r="106" spans="1:8" x14ac:dyDescent="0.2">
      <c r="A106" s="2" t="s">
        <v>49</v>
      </c>
      <c r="B106" s="4">
        <v>7</v>
      </c>
      <c r="C106" s="5">
        <v>0.48</v>
      </c>
      <c r="D106" s="4">
        <v>5</v>
      </c>
      <c r="E106" s="5">
        <v>0.5</v>
      </c>
      <c r="F106" s="4">
        <v>2</v>
      </c>
      <c r="G106" s="5">
        <v>0.43</v>
      </c>
      <c r="H106" s="4">
        <v>0</v>
      </c>
    </row>
    <row r="107" spans="1:8" x14ac:dyDescent="0.2">
      <c r="A107" s="2" t="s">
        <v>50</v>
      </c>
      <c r="B107" s="4">
        <v>148</v>
      </c>
      <c r="C107" s="5">
        <v>10.050000000000001</v>
      </c>
      <c r="D107" s="4">
        <v>73</v>
      </c>
      <c r="E107" s="5">
        <v>7.36</v>
      </c>
      <c r="F107" s="4">
        <v>74</v>
      </c>
      <c r="G107" s="5">
        <v>15.85</v>
      </c>
      <c r="H107" s="4">
        <v>0</v>
      </c>
    </row>
    <row r="108" spans="1:8" x14ac:dyDescent="0.2">
      <c r="A108" s="2" t="s">
        <v>51</v>
      </c>
      <c r="B108" s="4">
        <v>60</v>
      </c>
      <c r="C108" s="5">
        <v>4.07</v>
      </c>
      <c r="D108" s="4">
        <v>38</v>
      </c>
      <c r="E108" s="5">
        <v>3.83</v>
      </c>
      <c r="F108" s="4">
        <v>20</v>
      </c>
      <c r="G108" s="5">
        <v>4.28</v>
      </c>
      <c r="H108" s="4">
        <v>2</v>
      </c>
    </row>
    <row r="109" spans="1:8" x14ac:dyDescent="0.2">
      <c r="A109" s="2" t="s">
        <v>52</v>
      </c>
      <c r="B109" s="4">
        <v>220</v>
      </c>
      <c r="C109" s="5">
        <v>14.94</v>
      </c>
      <c r="D109" s="4">
        <v>198</v>
      </c>
      <c r="E109" s="5">
        <v>19.96</v>
      </c>
      <c r="F109" s="4">
        <v>21</v>
      </c>
      <c r="G109" s="5">
        <v>4.5</v>
      </c>
      <c r="H109" s="4">
        <v>0</v>
      </c>
    </row>
    <row r="110" spans="1:8" x14ac:dyDescent="0.2">
      <c r="A110" s="2" t="s">
        <v>53</v>
      </c>
      <c r="B110" s="4">
        <v>180</v>
      </c>
      <c r="C110" s="5">
        <v>12.22</v>
      </c>
      <c r="D110" s="4">
        <v>152</v>
      </c>
      <c r="E110" s="5">
        <v>15.32</v>
      </c>
      <c r="F110" s="4">
        <v>28</v>
      </c>
      <c r="G110" s="5">
        <v>6</v>
      </c>
      <c r="H110" s="4">
        <v>0</v>
      </c>
    </row>
    <row r="111" spans="1:8" x14ac:dyDescent="0.2">
      <c r="A111" s="2" t="s">
        <v>54</v>
      </c>
      <c r="B111" s="4">
        <v>85</v>
      </c>
      <c r="C111" s="5">
        <v>5.77</v>
      </c>
      <c r="D111" s="4">
        <v>78</v>
      </c>
      <c r="E111" s="5">
        <v>7.86</v>
      </c>
      <c r="F111" s="4">
        <v>4</v>
      </c>
      <c r="G111" s="5">
        <v>0.86</v>
      </c>
      <c r="H111" s="4">
        <v>0</v>
      </c>
    </row>
    <row r="112" spans="1:8" x14ac:dyDescent="0.2">
      <c r="A112" s="2" t="s">
        <v>55</v>
      </c>
      <c r="B112" s="4">
        <v>58</v>
      </c>
      <c r="C112" s="5">
        <v>3.94</v>
      </c>
      <c r="D112" s="4">
        <v>25</v>
      </c>
      <c r="E112" s="5">
        <v>2.52</v>
      </c>
      <c r="F112" s="4">
        <v>28</v>
      </c>
      <c r="G112" s="5">
        <v>6</v>
      </c>
      <c r="H112" s="4">
        <v>0</v>
      </c>
    </row>
    <row r="113" spans="1:8" x14ac:dyDescent="0.2">
      <c r="A113" s="2" t="s">
        <v>56</v>
      </c>
      <c r="B113" s="4">
        <v>82</v>
      </c>
      <c r="C113" s="5">
        <v>5.57</v>
      </c>
      <c r="D113" s="4">
        <v>62</v>
      </c>
      <c r="E113" s="5">
        <v>6.25</v>
      </c>
      <c r="F113" s="4">
        <v>18</v>
      </c>
      <c r="G113" s="5">
        <v>3.85</v>
      </c>
      <c r="H113" s="4">
        <v>2</v>
      </c>
    </row>
    <row r="114" spans="1:8" x14ac:dyDescent="0.2">
      <c r="A114" s="1" t="s">
        <v>7</v>
      </c>
      <c r="B114" s="4">
        <v>3023</v>
      </c>
      <c r="C114" s="5">
        <v>100.00000000000001</v>
      </c>
      <c r="D114" s="4">
        <v>2027</v>
      </c>
      <c r="E114" s="5">
        <v>99.999999999999986</v>
      </c>
      <c r="F114" s="4">
        <v>985</v>
      </c>
      <c r="G114" s="5">
        <v>100</v>
      </c>
      <c r="H114" s="4">
        <v>3</v>
      </c>
    </row>
    <row r="115" spans="1:8" x14ac:dyDescent="0.2">
      <c r="A115" s="2" t="s">
        <v>42</v>
      </c>
      <c r="B115" s="4">
        <v>2</v>
      </c>
      <c r="C115" s="5">
        <v>7.0000000000000007E-2</v>
      </c>
      <c r="D115" s="4">
        <v>0</v>
      </c>
      <c r="E115" s="5">
        <v>0</v>
      </c>
      <c r="F115" s="4">
        <v>2</v>
      </c>
      <c r="G115" s="5">
        <v>0.2</v>
      </c>
      <c r="H115" s="4">
        <v>0</v>
      </c>
    </row>
    <row r="116" spans="1:8" x14ac:dyDescent="0.2">
      <c r="A116" s="2" t="s">
        <v>43</v>
      </c>
      <c r="B116" s="4">
        <v>238</v>
      </c>
      <c r="C116" s="5">
        <v>7.87</v>
      </c>
      <c r="D116" s="4">
        <v>61</v>
      </c>
      <c r="E116" s="5">
        <v>3.01</v>
      </c>
      <c r="F116" s="4">
        <v>177</v>
      </c>
      <c r="G116" s="5">
        <v>17.97</v>
      </c>
      <c r="H116" s="4">
        <v>0</v>
      </c>
    </row>
    <row r="117" spans="1:8" x14ac:dyDescent="0.2">
      <c r="A117" s="2" t="s">
        <v>44</v>
      </c>
      <c r="B117" s="4">
        <v>126</v>
      </c>
      <c r="C117" s="5">
        <v>4.17</v>
      </c>
      <c r="D117" s="4">
        <v>82</v>
      </c>
      <c r="E117" s="5">
        <v>4.05</v>
      </c>
      <c r="F117" s="4">
        <v>44</v>
      </c>
      <c r="G117" s="5">
        <v>4.47</v>
      </c>
      <c r="H117" s="4">
        <v>0</v>
      </c>
    </row>
    <row r="118" spans="1:8" x14ac:dyDescent="0.2">
      <c r="A118" s="2" t="s">
        <v>45</v>
      </c>
      <c r="B118" s="4">
        <v>2</v>
      </c>
      <c r="C118" s="5">
        <v>7.0000000000000007E-2</v>
      </c>
      <c r="D118" s="4">
        <v>0</v>
      </c>
      <c r="E118" s="5">
        <v>0</v>
      </c>
      <c r="F118" s="4">
        <v>2</v>
      </c>
      <c r="G118" s="5">
        <v>0.2</v>
      </c>
      <c r="H118" s="4">
        <v>0</v>
      </c>
    </row>
    <row r="119" spans="1:8" x14ac:dyDescent="0.2">
      <c r="A119" s="2" t="s">
        <v>46</v>
      </c>
      <c r="B119" s="4">
        <v>20</v>
      </c>
      <c r="C119" s="5">
        <v>0.66</v>
      </c>
      <c r="D119" s="4">
        <v>3</v>
      </c>
      <c r="E119" s="5">
        <v>0.15</v>
      </c>
      <c r="F119" s="4">
        <v>17</v>
      </c>
      <c r="G119" s="5">
        <v>1.73</v>
      </c>
      <c r="H119" s="4">
        <v>0</v>
      </c>
    </row>
    <row r="120" spans="1:8" x14ac:dyDescent="0.2">
      <c r="A120" s="2" t="s">
        <v>47</v>
      </c>
      <c r="B120" s="4">
        <v>20</v>
      </c>
      <c r="C120" s="5">
        <v>0.66</v>
      </c>
      <c r="D120" s="4">
        <v>12</v>
      </c>
      <c r="E120" s="5">
        <v>0.59</v>
      </c>
      <c r="F120" s="4">
        <v>8</v>
      </c>
      <c r="G120" s="5">
        <v>0.81</v>
      </c>
      <c r="H120" s="4">
        <v>0</v>
      </c>
    </row>
    <row r="121" spans="1:8" x14ac:dyDescent="0.2">
      <c r="A121" s="2" t="s">
        <v>48</v>
      </c>
      <c r="B121" s="4">
        <v>677</v>
      </c>
      <c r="C121" s="5">
        <v>22.39</v>
      </c>
      <c r="D121" s="4">
        <v>468</v>
      </c>
      <c r="E121" s="5">
        <v>23.09</v>
      </c>
      <c r="F121" s="4">
        <v>209</v>
      </c>
      <c r="G121" s="5">
        <v>21.22</v>
      </c>
      <c r="H121" s="4">
        <v>0</v>
      </c>
    </row>
    <row r="122" spans="1:8" x14ac:dyDescent="0.2">
      <c r="A122" s="2" t="s">
        <v>49</v>
      </c>
      <c r="B122" s="4">
        <v>24</v>
      </c>
      <c r="C122" s="5">
        <v>0.79</v>
      </c>
      <c r="D122" s="4">
        <v>5</v>
      </c>
      <c r="E122" s="5">
        <v>0.25</v>
      </c>
      <c r="F122" s="4">
        <v>19</v>
      </c>
      <c r="G122" s="5">
        <v>1.93</v>
      </c>
      <c r="H122" s="4">
        <v>0</v>
      </c>
    </row>
    <row r="123" spans="1:8" x14ac:dyDescent="0.2">
      <c r="A123" s="2" t="s">
        <v>50</v>
      </c>
      <c r="B123" s="4">
        <v>355</v>
      </c>
      <c r="C123" s="5">
        <v>11.74</v>
      </c>
      <c r="D123" s="4">
        <v>128</v>
      </c>
      <c r="E123" s="5">
        <v>6.31</v>
      </c>
      <c r="F123" s="4">
        <v>226</v>
      </c>
      <c r="G123" s="5">
        <v>22.94</v>
      </c>
      <c r="H123" s="4">
        <v>0</v>
      </c>
    </row>
    <row r="124" spans="1:8" x14ac:dyDescent="0.2">
      <c r="A124" s="2" t="s">
        <v>51</v>
      </c>
      <c r="B124" s="4">
        <v>127</v>
      </c>
      <c r="C124" s="5">
        <v>4.2</v>
      </c>
      <c r="D124" s="4">
        <v>76</v>
      </c>
      <c r="E124" s="5">
        <v>3.75</v>
      </c>
      <c r="F124" s="4">
        <v>50</v>
      </c>
      <c r="G124" s="5">
        <v>5.08</v>
      </c>
      <c r="H124" s="4">
        <v>1</v>
      </c>
    </row>
    <row r="125" spans="1:8" x14ac:dyDescent="0.2">
      <c r="A125" s="2" t="s">
        <v>52</v>
      </c>
      <c r="B125" s="4">
        <v>570</v>
      </c>
      <c r="C125" s="5">
        <v>18.86</v>
      </c>
      <c r="D125" s="4">
        <v>520</v>
      </c>
      <c r="E125" s="5">
        <v>25.65</v>
      </c>
      <c r="F125" s="4">
        <v>49</v>
      </c>
      <c r="G125" s="5">
        <v>4.97</v>
      </c>
      <c r="H125" s="4">
        <v>0</v>
      </c>
    </row>
    <row r="126" spans="1:8" x14ac:dyDescent="0.2">
      <c r="A126" s="2" t="s">
        <v>53</v>
      </c>
      <c r="B126" s="4">
        <v>392</v>
      </c>
      <c r="C126" s="5">
        <v>12.97</v>
      </c>
      <c r="D126" s="4">
        <v>341</v>
      </c>
      <c r="E126" s="5">
        <v>16.82</v>
      </c>
      <c r="F126" s="4">
        <v>50</v>
      </c>
      <c r="G126" s="5">
        <v>5.08</v>
      </c>
      <c r="H126" s="4">
        <v>1</v>
      </c>
    </row>
    <row r="127" spans="1:8" x14ac:dyDescent="0.2">
      <c r="A127" s="2" t="s">
        <v>54</v>
      </c>
      <c r="B127" s="4">
        <v>191</v>
      </c>
      <c r="C127" s="5">
        <v>6.32</v>
      </c>
      <c r="D127" s="4">
        <v>158</v>
      </c>
      <c r="E127" s="5">
        <v>7.79</v>
      </c>
      <c r="F127" s="4">
        <v>31</v>
      </c>
      <c r="G127" s="5">
        <v>3.15</v>
      </c>
      <c r="H127" s="4">
        <v>0</v>
      </c>
    </row>
    <row r="128" spans="1:8" x14ac:dyDescent="0.2">
      <c r="A128" s="2" t="s">
        <v>55</v>
      </c>
      <c r="B128" s="4">
        <v>135</v>
      </c>
      <c r="C128" s="5">
        <v>4.47</v>
      </c>
      <c r="D128" s="4">
        <v>78</v>
      </c>
      <c r="E128" s="5">
        <v>3.85</v>
      </c>
      <c r="F128" s="4">
        <v>53</v>
      </c>
      <c r="G128" s="5">
        <v>5.38</v>
      </c>
      <c r="H128" s="4">
        <v>1</v>
      </c>
    </row>
    <row r="129" spans="1:8" x14ac:dyDescent="0.2">
      <c r="A129" s="2" t="s">
        <v>56</v>
      </c>
      <c r="B129" s="4">
        <v>144</v>
      </c>
      <c r="C129" s="5">
        <v>4.76</v>
      </c>
      <c r="D129" s="4">
        <v>95</v>
      </c>
      <c r="E129" s="5">
        <v>4.6900000000000004</v>
      </c>
      <c r="F129" s="4">
        <v>48</v>
      </c>
      <c r="G129" s="5">
        <v>4.87</v>
      </c>
      <c r="H129" s="4">
        <v>0</v>
      </c>
    </row>
    <row r="130" spans="1:8" x14ac:dyDescent="0.2">
      <c r="A130" s="1" t="s">
        <v>8</v>
      </c>
      <c r="B130" s="4">
        <v>1227</v>
      </c>
      <c r="C130" s="5">
        <v>100.01</v>
      </c>
      <c r="D130" s="4">
        <v>621</v>
      </c>
      <c r="E130" s="5">
        <v>99.99</v>
      </c>
      <c r="F130" s="4">
        <v>601</v>
      </c>
      <c r="G130" s="5">
        <v>99.999999999999986</v>
      </c>
      <c r="H130" s="4">
        <v>3</v>
      </c>
    </row>
    <row r="131" spans="1:8" x14ac:dyDescent="0.2">
      <c r="A131" s="2" t="s">
        <v>42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43</v>
      </c>
      <c r="B132" s="4">
        <v>155</v>
      </c>
      <c r="C132" s="5">
        <v>12.63</v>
      </c>
      <c r="D132" s="4">
        <v>43</v>
      </c>
      <c r="E132" s="5">
        <v>6.92</v>
      </c>
      <c r="F132" s="4">
        <v>112</v>
      </c>
      <c r="G132" s="5">
        <v>18.64</v>
      </c>
      <c r="H132" s="4">
        <v>0</v>
      </c>
    </row>
    <row r="133" spans="1:8" x14ac:dyDescent="0.2">
      <c r="A133" s="2" t="s">
        <v>44</v>
      </c>
      <c r="B133" s="4">
        <v>70</v>
      </c>
      <c r="C133" s="5">
        <v>5.7</v>
      </c>
      <c r="D133" s="4">
        <v>45</v>
      </c>
      <c r="E133" s="5">
        <v>7.25</v>
      </c>
      <c r="F133" s="4">
        <v>25</v>
      </c>
      <c r="G133" s="5">
        <v>4.16</v>
      </c>
      <c r="H133" s="4">
        <v>0</v>
      </c>
    </row>
    <row r="134" spans="1:8" x14ac:dyDescent="0.2">
      <c r="A134" s="2" t="s">
        <v>45</v>
      </c>
      <c r="B134" s="4">
        <v>4</v>
      </c>
      <c r="C134" s="5">
        <v>0.33</v>
      </c>
      <c r="D134" s="4">
        <v>0</v>
      </c>
      <c r="E134" s="5">
        <v>0</v>
      </c>
      <c r="F134" s="4">
        <v>4</v>
      </c>
      <c r="G134" s="5">
        <v>0.67</v>
      </c>
      <c r="H134" s="4">
        <v>0</v>
      </c>
    </row>
    <row r="135" spans="1:8" x14ac:dyDescent="0.2">
      <c r="A135" s="2" t="s">
        <v>46</v>
      </c>
      <c r="B135" s="4">
        <v>9</v>
      </c>
      <c r="C135" s="5">
        <v>0.73</v>
      </c>
      <c r="D135" s="4">
        <v>1</v>
      </c>
      <c r="E135" s="5">
        <v>0.16</v>
      </c>
      <c r="F135" s="4">
        <v>8</v>
      </c>
      <c r="G135" s="5">
        <v>1.33</v>
      </c>
      <c r="H135" s="4">
        <v>0</v>
      </c>
    </row>
    <row r="136" spans="1:8" x14ac:dyDescent="0.2">
      <c r="A136" s="2" t="s">
        <v>47</v>
      </c>
      <c r="B136" s="4">
        <v>22</v>
      </c>
      <c r="C136" s="5">
        <v>1.79</v>
      </c>
      <c r="D136" s="4">
        <v>15</v>
      </c>
      <c r="E136" s="5">
        <v>2.42</v>
      </c>
      <c r="F136" s="4">
        <v>7</v>
      </c>
      <c r="G136" s="5">
        <v>1.1599999999999999</v>
      </c>
      <c r="H136" s="4">
        <v>0</v>
      </c>
    </row>
    <row r="137" spans="1:8" x14ac:dyDescent="0.2">
      <c r="A137" s="2" t="s">
        <v>48</v>
      </c>
      <c r="B137" s="4">
        <v>284</v>
      </c>
      <c r="C137" s="5">
        <v>23.15</v>
      </c>
      <c r="D137" s="4">
        <v>119</v>
      </c>
      <c r="E137" s="5">
        <v>19.16</v>
      </c>
      <c r="F137" s="4">
        <v>165</v>
      </c>
      <c r="G137" s="5">
        <v>27.45</v>
      </c>
      <c r="H137" s="4">
        <v>0</v>
      </c>
    </row>
    <row r="138" spans="1:8" x14ac:dyDescent="0.2">
      <c r="A138" s="2" t="s">
        <v>49</v>
      </c>
      <c r="B138" s="4">
        <v>12</v>
      </c>
      <c r="C138" s="5">
        <v>0.98</v>
      </c>
      <c r="D138" s="4">
        <v>3</v>
      </c>
      <c r="E138" s="5">
        <v>0.48</v>
      </c>
      <c r="F138" s="4">
        <v>9</v>
      </c>
      <c r="G138" s="5">
        <v>1.5</v>
      </c>
      <c r="H138" s="4">
        <v>0</v>
      </c>
    </row>
    <row r="139" spans="1:8" x14ac:dyDescent="0.2">
      <c r="A139" s="2" t="s">
        <v>50</v>
      </c>
      <c r="B139" s="4">
        <v>140</v>
      </c>
      <c r="C139" s="5">
        <v>11.41</v>
      </c>
      <c r="D139" s="4">
        <v>24</v>
      </c>
      <c r="E139" s="5">
        <v>3.86</v>
      </c>
      <c r="F139" s="4">
        <v>116</v>
      </c>
      <c r="G139" s="5">
        <v>19.3</v>
      </c>
      <c r="H139" s="4">
        <v>0</v>
      </c>
    </row>
    <row r="140" spans="1:8" x14ac:dyDescent="0.2">
      <c r="A140" s="2" t="s">
        <v>51</v>
      </c>
      <c r="B140" s="4">
        <v>64</v>
      </c>
      <c r="C140" s="5">
        <v>5.22</v>
      </c>
      <c r="D140" s="4">
        <v>37</v>
      </c>
      <c r="E140" s="5">
        <v>5.96</v>
      </c>
      <c r="F140" s="4">
        <v>27</v>
      </c>
      <c r="G140" s="5">
        <v>4.49</v>
      </c>
      <c r="H140" s="4">
        <v>0</v>
      </c>
    </row>
    <row r="141" spans="1:8" x14ac:dyDescent="0.2">
      <c r="A141" s="2" t="s">
        <v>52</v>
      </c>
      <c r="B141" s="4">
        <v>77</v>
      </c>
      <c r="C141" s="5">
        <v>6.28</v>
      </c>
      <c r="D141" s="4">
        <v>48</v>
      </c>
      <c r="E141" s="5">
        <v>7.73</v>
      </c>
      <c r="F141" s="4">
        <v>28</v>
      </c>
      <c r="G141" s="5">
        <v>4.66</v>
      </c>
      <c r="H141" s="4">
        <v>0</v>
      </c>
    </row>
    <row r="142" spans="1:8" x14ac:dyDescent="0.2">
      <c r="A142" s="2" t="s">
        <v>53</v>
      </c>
      <c r="B142" s="4">
        <v>159</v>
      </c>
      <c r="C142" s="5">
        <v>12.96</v>
      </c>
      <c r="D142" s="4">
        <v>125</v>
      </c>
      <c r="E142" s="5">
        <v>20.13</v>
      </c>
      <c r="F142" s="4">
        <v>34</v>
      </c>
      <c r="G142" s="5">
        <v>5.66</v>
      </c>
      <c r="H142" s="4">
        <v>0</v>
      </c>
    </row>
    <row r="143" spans="1:8" x14ac:dyDescent="0.2">
      <c r="A143" s="2" t="s">
        <v>54</v>
      </c>
      <c r="B143" s="4">
        <v>92</v>
      </c>
      <c r="C143" s="5">
        <v>7.5</v>
      </c>
      <c r="D143" s="4">
        <v>82</v>
      </c>
      <c r="E143" s="5">
        <v>13.2</v>
      </c>
      <c r="F143" s="4">
        <v>10</v>
      </c>
      <c r="G143" s="5">
        <v>1.66</v>
      </c>
      <c r="H143" s="4">
        <v>0</v>
      </c>
    </row>
    <row r="144" spans="1:8" x14ac:dyDescent="0.2">
      <c r="A144" s="2" t="s">
        <v>55</v>
      </c>
      <c r="B144" s="4">
        <v>65</v>
      </c>
      <c r="C144" s="5">
        <v>5.3</v>
      </c>
      <c r="D144" s="4">
        <v>37</v>
      </c>
      <c r="E144" s="5">
        <v>5.96</v>
      </c>
      <c r="F144" s="4">
        <v>25</v>
      </c>
      <c r="G144" s="5">
        <v>4.16</v>
      </c>
      <c r="H144" s="4">
        <v>2</v>
      </c>
    </row>
    <row r="145" spans="1:8" x14ac:dyDescent="0.2">
      <c r="A145" s="2" t="s">
        <v>56</v>
      </c>
      <c r="B145" s="4">
        <v>74</v>
      </c>
      <c r="C145" s="5">
        <v>6.03</v>
      </c>
      <c r="D145" s="4">
        <v>42</v>
      </c>
      <c r="E145" s="5">
        <v>6.76</v>
      </c>
      <c r="F145" s="4">
        <v>31</v>
      </c>
      <c r="G145" s="5">
        <v>5.16</v>
      </c>
      <c r="H145" s="4">
        <v>1</v>
      </c>
    </row>
    <row r="146" spans="1:8" x14ac:dyDescent="0.2">
      <c r="A146" s="1" t="s">
        <v>9</v>
      </c>
      <c r="B146" s="4">
        <v>2580</v>
      </c>
      <c r="C146" s="5">
        <v>100</v>
      </c>
      <c r="D146" s="4">
        <v>1943</v>
      </c>
      <c r="E146" s="5">
        <v>99.97</v>
      </c>
      <c r="F146" s="4">
        <v>612</v>
      </c>
      <c r="G146" s="5">
        <v>100.01</v>
      </c>
      <c r="H146" s="4">
        <v>15</v>
      </c>
    </row>
    <row r="147" spans="1:8" x14ac:dyDescent="0.2">
      <c r="A147" s="2" t="s">
        <v>42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43</v>
      </c>
      <c r="B148" s="4">
        <v>247</v>
      </c>
      <c r="C148" s="5">
        <v>9.57</v>
      </c>
      <c r="D148" s="4">
        <v>112</v>
      </c>
      <c r="E148" s="5">
        <v>5.76</v>
      </c>
      <c r="F148" s="4">
        <v>134</v>
      </c>
      <c r="G148" s="5">
        <v>21.9</v>
      </c>
      <c r="H148" s="4">
        <v>1</v>
      </c>
    </row>
    <row r="149" spans="1:8" x14ac:dyDescent="0.2">
      <c r="A149" s="2" t="s">
        <v>44</v>
      </c>
      <c r="B149" s="4">
        <v>154</v>
      </c>
      <c r="C149" s="5">
        <v>5.97</v>
      </c>
      <c r="D149" s="4">
        <v>84</v>
      </c>
      <c r="E149" s="5">
        <v>4.32</v>
      </c>
      <c r="F149" s="4">
        <v>70</v>
      </c>
      <c r="G149" s="5">
        <v>11.44</v>
      </c>
      <c r="H149" s="4">
        <v>0</v>
      </c>
    </row>
    <row r="150" spans="1:8" x14ac:dyDescent="0.2">
      <c r="A150" s="2" t="s">
        <v>45</v>
      </c>
      <c r="B150" s="4">
        <v>3</v>
      </c>
      <c r="C150" s="5">
        <v>0.12</v>
      </c>
      <c r="D150" s="4">
        <v>0</v>
      </c>
      <c r="E150" s="5">
        <v>0</v>
      </c>
      <c r="F150" s="4">
        <v>1</v>
      </c>
      <c r="G150" s="5">
        <v>0.16</v>
      </c>
      <c r="H150" s="4">
        <v>0</v>
      </c>
    </row>
    <row r="151" spans="1:8" x14ac:dyDescent="0.2">
      <c r="A151" s="2" t="s">
        <v>46</v>
      </c>
      <c r="B151" s="4">
        <v>17</v>
      </c>
      <c r="C151" s="5">
        <v>0.66</v>
      </c>
      <c r="D151" s="4">
        <v>0</v>
      </c>
      <c r="E151" s="5">
        <v>0</v>
      </c>
      <c r="F151" s="4">
        <v>17</v>
      </c>
      <c r="G151" s="5">
        <v>2.78</v>
      </c>
      <c r="H151" s="4">
        <v>0</v>
      </c>
    </row>
    <row r="152" spans="1:8" x14ac:dyDescent="0.2">
      <c r="A152" s="2" t="s">
        <v>47</v>
      </c>
      <c r="B152" s="4">
        <v>25</v>
      </c>
      <c r="C152" s="5">
        <v>0.97</v>
      </c>
      <c r="D152" s="4">
        <v>16</v>
      </c>
      <c r="E152" s="5">
        <v>0.82</v>
      </c>
      <c r="F152" s="4">
        <v>9</v>
      </c>
      <c r="G152" s="5">
        <v>1.47</v>
      </c>
      <c r="H152" s="4">
        <v>0</v>
      </c>
    </row>
    <row r="153" spans="1:8" x14ac:dyDescent="0.2">
      <c r="A153" s="2" t="s">
        <v>48</v>
      </c>
      <c r="B153" s="4">
        <v>524</v>
      </c>
      <c r="C153" s="5">
        <v>20.309999999999999</v>
      </c>
      <c r="D153" s="4">
        <v>398</v>
      </c>
      <c r="E153" s="5">
        <v>20.48</v>
      </c>
      <c r="F153" s="4">
        <v>125</v>
      </c>
      <c r="G153" s="5">
        <v>20.420000000000002</v>
      </c>
      <c r="H153" s="4">
        <v>1</v>
      </c>
    </row>
    <row r="154" spans="1:8" x14ac:dyDescent="0.2">
      <c r="A154" s="2" t="s">
        <v>49</v>
      </c>
      <c r="B154" s="4">
        <v>16</v>
      </c>
      <c r="C154" s="5">
        <v>0.62</v>
      </c>
      <c r="D154" s="4">
        <v>10</v>
      </c>
      <c r="E154" s="5">
        <v>0.51</v>
      </c>
      <c r="F154" s="4">
        <v>6</v>
      </c>
      <c r="G154" s="5">
        <v>0.98</v>
      </c>
      <c r="H154" s="4">
        <v>0</v>
      </c>
    </row>
    <row r="155" spans="1:8" x14ac:dyDescent="0.2">
      <c r="A155" s="2" t="s">
        <v>50</v>
      </c>
      <c r="B155" s="4">
        <v>407</v>
      </c>
      <c r="C155" s="5">
        <v>15.78</v>
      </c>
      <c r="D155" s="4">
        <v>336</v>
      </c>
      <c r="E155" s="5">
        <v>17.29</v>
      </c>
      <c r="F155" s="4">
        <v>71</v>
      </c>
      <c r="G155" s="5">
        <v>11.6</v>
      </c>
      <c r="H155" s="4">
        <v>0</v>
      </c>
    </row>
    <row r="156" spans="1:8" x14ac:dyDescent="0.2">
      <c r="A156" s="2" t="s">
        <v>51</v>
      </c>
      <c r="B156" s="4">
        <v>96</v>
      </c>
      <c r="C156" s="5">
        <v>3.72</v>
      </c>
      <c r="D156" s="4">
        <v>63</v>
      </c>
      <c r="E156" s="5">
        <v>3.24</v>
      </c>
      <c r="F156" s="4">
        <v>31</v>
      </c>
      <c r="G156" s="5">
        <v>5.07</v>
      </c>
      <c r="H156" s="4">
        <v>1</v>
      </c>
    </row>
    <row r="157" spans="1:8" x14ac:dyDescent="0.2">
      <c r="A157" s="2" t="s">
        <v>52</v>
      </c>
      <c r="B157" s="4">
        <v>426</v>
      </c>
      <c r="C157" s="5">
        <v>16.510000000000002</v>
      </c>
      <c r="D157" s="4">
        <v>403</v>
      </c>
      <c r="E157" s="5">
        <v>20.74</v>
      </c>
      <c r="F157" s="4">
        <v>21</v>
      </c>
      <c r="G157" s="5">
        <v>3.43</v>
      </c>
      <c r="H157" s="4">
        <v>0</v>
      </c>
    </row>
    <row r="158" spans="1:8" x14ac:dyDescent="0.2">
      <c r="A158" s="2" t="s">
        <v>53</v>
      </c>
      <c r="B158" s="4">
        <v>327</v>
      </c>
      <c r="C158" s="5">
        <v>12.67</v>
      </c>
      <c r="D158" s="4">
        <v>286</v>
      </c>
      <c r="E158" s="5">
        <v>14.72</v>
      </c>
      <c r="F158" s="4">
        <v>41</v>
      </c>
      <c r="G158" s="5">
        <v>6.7</v>
      </c>
      <c r="H158" s="4">
        <v>0</v>
      </c>
    </row>
    <row r="159" spans="1:8" x14ac:dyDescent="0.2">
      <c r="A159" s="2" t="s">
        <v>54</v>
      </c>
      <c r="B159" s="4">
        <v>120</v>
      </c>
      <c r="C159" s="5">
        <v>4.6500000000000004</v>
      </c>
      <c r="D159" s="4">
        <v>103</v>
      </c>
      <c r="E159" s="5">
        <v>5.3</v>
      </c>
      <c r="F159" s="4">
        <v>11</v>
      </c>
      <c r="G159" s="5">
        <v>1.8</v>
      </c>
      <c r="H159" s="4">
        <v>2</v>
      </c>
    </row>
    <row r="160" spans="1:8" x14ac:dyDescent="0.2">
      <c r="A160" s="2" t="s">
        <v>55</v>
      </c>
      <c r="B160" s="4">
        <v>85</v>
      </c>
      <c r="C160" s="5">
        <v>3.29</v>
      </c>
      <c r="D160" s="4">
        <v>41</v>
      </c>
      <c r="E160" s="5">
        <v>2.11</v>
      </c>
      <c r="F160" s="4">
        <v>40</v>
      </c>
      <c r="G160" s="5">
        <v>6.54</v>
      </c>
      <c r="H160" s="4">
        <v>4</v>
      </c>
    </row>
    <row r="161" spans="1:8" x14ac:dyDescent="0.2">
      <c r="A161" s="2" t="s">
        <v>56</v>
      </c>
      <c r="B161" s="4">
        <v>133</v>
      </c>
      <c r="C161" s="5">
        <v>5.16</v>
      </c>
      <c r="D161" s="4">
        <v>91</v>
      </c>
      <c r="E161" s="5">
        <v>4.68</v>
      </c>
      <c r="F161" s="4">
        <v>35</v>
      </c>
      <c r="G161" s="5">
        <v>5.72</v>
      </c>
      <c r="H161" s="4">
        <v>6</v>
      </c>
    </row>
    <row r="162" spans="1:8" x14ac:dyDescent="0.2">
      <c r="A162" s="1" t="s">
        <v>10</v>
      </c>
      <c r="B162" s="4">
        <v>1913</v>
      </c>
      <c r="C162" s="5">
        <v>100.01</v>
      </c>
      <c r="D162" s="4">
        <v>1387</v>
      </c>
      <c r="E162" s="5">
        <v>100</v>
      </c>
      <c r="F162" s="4">
        <v>508</v>
      </c>
      <c r="G162" s="5">
        <v>99.99</v>
      </c>
      <c r="H162" s="4">
        <v>1</v>
      </c>
    </row>
    <row r="163" spans="1:8" x14ac:dyDescent="0.2">
      <c r="A163" s="2" t="s">
        <v>42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43</v>
      </c>
      <c r="B164" s="4">
        <v>184</v>
      </c>
      <c r="C164" s="5">
        <v>9.6199999999999992</v>
      </c>
      <c r="D164" s="4">
        <v>59</v>
      </c>
      <c r="E164" s="5">
        <v>4.25</v>
      </c>
      <c r="F164" s="4">
        <v>125</v>
      </c>
      <c r="G164" s="5">
        <v>24.61</v>
      </c>
      <c r="H164" s="4">
        <v>0</v>
      </c>
    </row>
    <row r="165" spans="1:8" x14ac:dyDescent="0.2">
      <c r="A165" s="2" t="s">
        <v>44</v>
      </c>
      <c r="B165" s="4">
        <v>128</v>
      </c>
      <c r="C165" s="5">
        <v>6.69</v>
      </c>
      <c r="D165" s="4">
        <v>87</v>
      </c>
      <c r="E165" s="5">
        <v>6.27</v>
      </c>
      <c r="F165" s="4">
        <v>41</v>
      </c>
      <c r="G165" s="5">
        <v>8.07</v>
      </c>
      <c r="H165" s="4">
        <v>0</v>
      </c>
    </row>
    <row r="166" spans="1:8" x14ac:dyDescent="0.2">
      <c r="A166" s="2" t="s">
        <v>45</v>
      </c>
      <c r="B166" s="4">
        <v>3</v>
      </c>
      <c r="C166" s="5">
        <v>0.16</v>
      </c>
      <c r="D166" s="4">
        <v>0</v>
      </c>
      <c r="E166" s="5">
        <v>0</v>
      </c>
      <c r="F166" s="4">
        <v>3</v>
      </c>
      <c r="G166" s="5">
        <v>0.59</v>
      </c>
      <c r="H166" s="4">
        <v>0</v>
      </c>
    </row>
    <row r="167" spans="1:8" x14ac:dyDescent="0.2">
      <c r="A167" s="2" t="s">
        <v>46</v>
      </c>
      <c r="B167" s="4">
        <v>16</v>
      </c>
      <c r="C167" s="5">
        <v>0.84</v>
      </c>
      <c r="D167" s="4">
        <v>1</v>
      </c>
      <c r="E167" s="5">
        <v>7.0000000000000007E-2</v>
      </c>
      <c r="F167" s="4">
        <v>15</v>
      </c>
      <c r="G167" s="5">
        <v>2.95</v>
      </c>
      <c r="H167" s="4">
        <v>0</v>
      </c>
    </row>
    <row r="168" spans="1:8" x14ac:dyDescent="0.2">
      <c r="A168" s="2" t="s">
        <v>47</v>
      </c>
      <c r="B168" s="4">
        <v>41</v>
      </c>
      <c r="C168" s="5">
        <v>2.14</v>
      </c>
      <c r="D168" s="4">
        <v>34</v>
      </c>
      <c r="E168" s="5">
        <v>2.4500000000000002</v>
      </c>
      <c r="F168" s="4">
        <v>7</v>
      </c>
      <c r="G168" s="5">
        <v>1.38</v>
      </c>
      <c r="H168" s="4">
        <v>0</v>
      </c>
    </row>
    <row r="169" spans="1:8" x14ac:dyDescent="0.2">
      <c r="A169" s="2" t="s">
        <v>48</v>
      </c>
      <c r="B169" s="4">
        <v>428</v>
      </c>
      <c r="C169" s="5">
        <v>22.37</v>
      </c>
      <c r="D169" s="4">
        <v>321</v>
      </c>
      <c r="E169" s="5">
        <v>23.14</v>
      </c>
      <c r="F169" s="4">
        <v>107</v>
      </c>
      <c r="G169" s="5">
        <v>21.06</v>
      </c>
      <c r="H169" s="4">
        <v>0</v>
      </c>
    </row>
    <row r="170" spans="1:8" x14ac:dyDescent="0.2">
      <c r="A170" s="2" t="s">
        <v>49</v>
      </c>
      <c r="B170" s="4">
        <v>9</v>
      </c>
      <c r="C170" s="5">
        <v>0.47</v>
      </c>
      <c r="D170" s="4">
        <v>4</v>
      </c>
      <c r="E170" s="5">
        <v>0.28999999999999998</v>
      </c>
      <c r="F170" s="4">
        <v>5</v>
      </c>
      <c r="G170" s="5">
        <v>0.98</v>
      </c>
      <c r="H170" s="4">
        <v>0</v>
      </c>
    </row>
    <row r="171" spans="1:8" x14ac:dyDescent="0.2">
      <c r="A171" s="2" t="s">
        <v>50</v>
      </c>
      <c r="B171" s="4">
        <v>132</v>
      </c>
      <c r="C171" s="5">
        <v>6.9</v>
      </c>
      <c r="D171" s="4">
        <v>72</v>
      </c>
      <c r="E171" s="5">
        <v>5.19</v>
      </c>
      <c r="F171" s="4">
        <v>59</v>
      </c>
      <c r="G171" s="5">
        <v>11.61</v>
      </c>
      <c r="H171" s="4">
        <v>0</v>
      </c>
    </row>
    <row r="172" spans="1:8" x14ac:dyDescent="0.2">
      <c r="A172" s="2" t="s">
        <v>51</v>
      </c>
      <c r="B172" s="4">
        <v>83</v>
      </c>
      <c r="C172" s="5">
        <v>4.34</v>
      </c>
      <c r="D172" s="4">
        <v>55</v>
      </c>
      <c r="E172" s="5">
        <v>3.97</v>
      </c>
      <c r="F172" s="4">
        <v>28</v>
      </c>
      <c r="G172" s="5">
        <v>5.51</v>
      </c>
      <c r="H172" s="4">
        <v>0</v>
      </c>
    </row>
    <row r="173" spans="1:8" x14ac:dyDescent="0.2">
      <c r="A173" s="2" t="s">
        <v>52</v>
      </c>
      <c r="B173" s="4">
        <v>387</v>
      </c>
      <c r="C173" s="5">
        <v>20.23</v>
      </c>
      <c r="D173" s="4">
        <v>351</v>
      </c>
      <c r="E173" s="5">
        <v>25.31</v>
      </c>
      <c r="F173" s="4">
        <v>36</v>
      </c>
      <c r="G173" s="5">
        <v>7.09</v>
      </c>
      <c r="H173" s="4">
        <v>0</v>
      </c>
    </row>
    <row r="174" spans="1:8" x14ac:dyDescent="0.2">
      <c r="A174" s="2" t="s">
        <v>53</v>
      </c>
      <c r="B174" s="4">
        <v>263</v>
      </c>
      <c r="C174" s="5">
        <v>13.75</v>
      </c>
      <c r="D174" s="4">
        <v>231</v>
      </c>
      <c r="E174" s="5">
        <v>16.649999999999999</v>
      </c>
      <c r="F174" s="4">
        <v>29</v>
      </c>
      <c r="G174" s="5">
        <v>5.71</v>
      </c>
      <c r="H174" s="4">
        <v>0</v>
      </c>
    </row>
    <row r="175" spans="1:8" x14ac:dyDescent="0.2">
      <c r="A175" s="2" t="s">
        <v>54</v>
      </c>
      <c r="B175" s="4">
        <v>95</v>
      </c>
      <c r="C175" s="5">
        <v>4.97</v>
      </c>
      <c r="D175" s="4">
        <v>76</v>
      </c>
      <c r="E175" s="5">
        <v>5.48</v>
      </c>
      <c r="F175" s="4">
        <v>9</v>
      </c>
      <c r="G175" s="5">
        <v>1.77</v>
      </c>
      <c r="H175" s="4">
        <v>1</v>
      </c>
    </row>
    <row r="176" spans="1:8" x14ac:dyDescent="0.2">
      <c r="A176" s="2" t="s">
        <v>55</v>
      </c>
      <c r="B176" s="4">
        <v>62</v>
      </c>
      <c r="C176" s="5">
        <v>3.24</v>
      </c>
      <c r="D176" s="4">
        <v>36</v>
      </c>
      <c r="E176" s="5">
        <v>2.6</v>
      </c>
      <c r="F176" s="4">
        <v>25</v>
      </c>
      <c r="G176" s="5">
        <v>4.92</v>
      </c>
      <c r="H176" s="4">
        <v>0</v>
      </c>
    </row>
    <row r="177" spans="1:8" x14ac:dyDescent="0.2">
      <c r="A177" s="2" t="s">
        <v>56</v>
      </c>
      <c r="B177" s="4">
        <v>82</v>
      </c>
      <c r="C177" s="5">
        <v>4.29</v>
      </c>
      <c r="D177" s="4">
        <v>60</v>
      </c>
      <c r="E177" s="5">
        <v>4.33</v>
      </c>
      <c r="F177" s="4">
        <v>19</v>
      </c>
      <c r="G177" s="5">
        <v>3.74</v>
      </c>
      <c r="H177" s="4">
        <v>0</v>
      </c>
    </row>
    <row r="178" spans="1:8" x14ac:dyDescent="0.2">
      <c r="A178" s="1" t="s">
        <v>11</v>
      </c>
      <c r="B178" s="4">
        <v>955</v>
      </c>
      <c r="C178" s="5">
        <v>100</v>
      </c>
      <c r="D178" s="4">
        <v>670</v>
      </c>
      <c r="E178" s="5">
        <v>100.02000000000001</v>
      </c>
      <c r="F178" s="4">
        <v>281</v>
      </c>
      <c r="G178" s="5">
        <v>100.02000000000001</v>
      </c>
      <c r="H178" s="4">
        <v>3</v>
      </c>
    </row>
    <row r="179" spans="1:8" x14ac:dyDescent="0.2">
      <c r="A179" s="2" t="s">
        <v>42</v>
      </c>
      <c r="B179" s="4">
        <v>1</v>
      </c>
      <c r="C179" s="5">
        <v>0.1</v>
      </c>
      <c r="D179" s="4">
        <v>0</v>
      </c>
      <c r="E179" s="5">
        <v>0</v>
      </c>
      <c r="F179" s="4">
        <v>1</v>
      </c>
      <c r="G179" s="5">
        <v>0.36</v>
      </c>
      <c r="H179" s="4">
        <v>0</v>
      </c>
    </row>
    <row r="180" spans="1:8" x14ac:dyDescent="0.2">
      <c r="A180" s="2" t="s">
        <v>43</v>
      </c>
      <c r="B180" s="4">
        <v>127</v>
      </c>
      <c r="C180" s="5">
        <v>13.3</v>
      </c>
      <c r="D180" s="4">
        <v>55</v>
      </c>
      <c r="E180" s="5">
        <v>8.2100000000000009</v>
      </c>
      <c r="F180" s="4">
        <v>72</v>
      </c>
      <c r="G180" s="5">
        <v>25.62</v>
      </c>
      <c r="H180" s="4">
        <v>0</v>
      </c>
    </row>
    <row r="181" spans="1:8" x14ac:dyDescent="0.2">
      <c r="A181" s="2" t="s">
        <v>44</v>
      </c>
      <c r="B181" s="4">
        <v>74</v>
      </c>
      <c r="C181" s="5">
        <v>7.75</v>
      </c>
      <c r="D181" s="4">
        <v>39</v>
      </c>
      <c r="E181" s="5">
        <v>5.82</v>
      </c>
      <c r="F181" s="4">
        <v>35</v>
      </c>
      <c r="G181" s="5">
        <v>12.46</v>
      </c>
      <c r="H181" s="4">
        <v>0</v>
      </c>
    </row>
    <row r="182" spans="1:8" x14ac:dyDescent="0.2">
      <c r="A182" s="2" t="s">
        <v>45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2">
      <c r="A183" s="2" t="s">
        <v>46</v>
      </c>
      <c r="B183" s="4">
        <v>4</v>
      </c>
      <c r="C183" s="5">
        <v>0.42</v>
      </c>
      <c r="D183" s="4">
        <v>1</v>
      </c>
      <c r="E183" s="5">
        <v>0.15</v>
      </c>
      <c r="F183" s="4">
        <v>3</v>
      </c>
      <c r="G183" s="5">
        <v>1.07</v>
      </c>
      <c r="H183" s="4">
        <v>0</v>
      </c>
    </row>
    <row r="184" spans="1:8" x14ac:dyDescent="0.2">
      <c r="A184" s="2" t="s">
        <v>47</v>
      </c>
      <c r="B184" s="4">
        <v>44</v>
      </c>
      <c r="C184" s="5">
        <v>4.6100000000000003</v>
      </c>
      <c r="D184" s="4">
        <v>41</v>
      </c>
      <c r="E184" s="5">
        <v>6.12</v>
      </c>
      <c r="F184" s="4">
        <v>3</v>
      </c>
      <c r="G184" s="5">
        <v>1.07</v>
      </c>
      <c r="H184" s="4">
        <v>0</v>
      </c>
    </row>
    <row r="185" spans="1:8" x14ac:dyDescent="0.2">
      <c r="A185" s="2" t="s">
        <v>48</v>
      </c>
      <c r="B185" s="4">
        <v>221</v>
      </c>
      <c r="C185" s="5">
        <v>23.14</v>
      </c>
      <c r="D185" s="4">
        <v>178</v>
      </c>
      <c r="E185" s="5">
        <v>26.57</v>
      </c>
      <c r="F185" s="4">
        <v>42</v>
      </c>
      <c r="G185" s="5">
        <v>14.95</v>
      </c>
      <c r="H185" s="4">
        <v>1</v>
      </c>
    </row>
    <row r="186" spans="1:8" x14ac:dyDescent="0.2">
      <c r="A186" s="2" t="s">
        <v>49</v>
      </c>
      <c r="B186" s="4">
        <v>2</v>
      </c>
      <c r="C186" s="5">
        <v>0.21</v>
      </c>
      <c r="D186" s="4">
        <v>2</v>
      </c>
      <c r="E186" s="5">
        <v>0.3</v>
      </c>
      <c r="F186" s="4">
        <v>0</v>
      </c>
      <c r="G186" s="5">
        <v>0</v>
      </c>
      <c r="H186" s="4">
        <v>0</v>
      </c>
    </row>
    <row r="187" spans="1:8" x14ac:dyDescent="0.2">
      <c r="A187" s="2" t="s">
        <v>50</v>
      </c>
      <c r="B187" s="4">
        <v>30</v>
      </c>
      <c r="C187" s="5">
        <v>3.14</v>
      </c>
      <c r="D187" s="4">
        <v>16</v>
      </c>
      <c r="E187" s="5">
        <v>2.39</v>
      </c>
      <c r="F187" s="4">
        <v>14</v>
      </c>
      <c r="G187" s="5">
        <v>4.9800000000000004</v>
      </c>
      <c r="H187" s="4">
        <v>0</v>
      </c>
    </row>
    <row r="188" spans="1:8" x14ac:dyDescent="0.2">
      <c r="A188" s="2" t="s">
        <v>51</v>
      </c>
      <c r="B188" s="4">
        <v>32</v>
      </c>
      <c r="C188" s="5">
        <v>3.35</v>
      </c>
      <c r="D188" s="4">
        <v>17</v>
      </c>
      <c r="E188" s="5">
        <v>2.54</v>
      </c>
      <c r="F188" s="4">
        <v>15</v>
      </c>
      <c r="G188" s="5">
        <v>5.34</v>
      </c>
      <c r="H188" s="4">
        <v>0</v>
      </c>
    </row>
    <row r="189" spans="1:8" x14ac:dyDescent="0.2">
      <c r="A189" s="2" t="s">
        <v>52</v>
      </c>
      <c r="B189" s="4">
        <v>136</v>
      </c>
      <c r="C189" s="5">
        <v>14.24</v>
      </c>
      <c r="D189" s="4">
        <v>123</v>
      </c>
      <c r="E189" s="5">
        <v>18.36</v>
      </c>
      <c r="F189" s="4">
        <v>12</v>
      </c>
      <c r="G189" s="5">
        <v>4.2699999999999996</v>
      </c>
      <c r="H189" s="4">
        <v>0</v>
      </c>
    </row>
    <row r="190" spans="1:8" x14ac:dyDescent="0.2">
      <c r="A190" s="2" t="s">
        <v>53</v>
      </c>
      <c r="B190" s="4">
        <v>105</v>
      </c>
      <c r="C190" s="5">
        <v>10.99</v>
      </c>
      <c r="D190" s="4">
        <v>84</v>
      </c>
      <c r="E190" s="5">
        <v>12.54</v>
      </c>
      <c r="F190" s="4">
        <v>21</v>
      </c>
      <c r="G190" s="5">
        <v>7.47</v>
      </c>
      <c r="H190" s="4">
        <v>0</v>
      </c>
    </row>
    <row r="191" spans="1:8" x14ac:dyDescent="0.2">
      <c r="A191" s="2" t="s">
        <v>54</v>
      </c>
      <c r="B191" s="4">
        <v>63</v>
      </c>
      <c r="C191" s="5">
        <v>6.6</v>
      </c>
      <c r="D191" s="4">
        <v>55</v>
      </c>
      <c r="E191" s="5">
        <v>8.2100000000000009</v>
      </c>
      <c r="F191" s="4">
        <v>6</v>
      </c>
      <c r="G191" s="5">
        <v>2.14</v>
      </c>
      <c r="H191" s="4">
        <v>2</v>
      </c>
    </row>
    <row r="192" spans="1:8" x14ac:dyDescent="0.2">
      <c r="A192" s="2" t="s">
        <v>55</v>
      </c>
      <c r="B192" s="4">
        <v>57</v>
      </c>
      <c r="C192" s="5">
        <v>5.97</v>
      </c>
      <c r="D192" s="4">
        <v>20</v>
      </c>
      <c r="E192" s="5">
        <v>2.99</v>
      </c>
      <c r="F192" s="4">
        <v>37</v>
      </c>
      <c r="G192" s="5">
        <v>13.17</v>
      </c>
      <c r="H192" s="4">
        <v>0</v>
      </c>
    </row>
    <row r="193" spans="1:8" x14ac:dyDescent="0.2">
      <c r="A193" s="2" t="s">
        <v>56</v>
      </c>
      <c r="B193" s="4">
        <v>59</v>
      </c>
      <c r="C193" s="5">
        <v>6.18</v>
      </c>
      <c r="D193" s="4">
        <v>39</v>
      </c>
      <c r="E193" s="5">
        <v>5.82</v>
      </c>
      <c r="F193" s="4">
        <v>20</v>
      </c>
      <c r="G193" s="5">
        <v>7.12</v>
      </c>
      <c r="H193" s="4">
        <v>0</v>
      </c>
    </row>
    <row r="194" spans="1:8" x14ac:dyDescent="0.2">
      <c r="A194" s="1" t="s">
        <v>12</v>
      </c>
      <c r="B194" s="4">
        <v>173</v>
      </c>
      <c r="C194" s="5">
        <v>100</v>
      </c>
      <c r="D194" s="4">
        <v>140</v>
      </c>
      <c r="E194" s="5">
        <v>99.99</v>
      </c>
      <c r="F194" s="4">
        <v>26</v>
      </c>
      <c r="G194" s="5">
        <v>99.989999999999981</v>
      </c>
      <c r="H194" s="4">
        <v>5</v>
      </c>
    </row>
    <row r="195" spans="1:8" x14ac:dyDescent="0.2">
      <c r="A195" s="2" t="s">
        <v>42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43</v>
      </c>
      <c r="B196" s="4">
        <v>7</v>
      </c>
      <c r="C196" s="5">
        <v>4.05</v>
      </c>
      <c r="D196" s="4">
        <v>5</v>
      </c>
      <c r="E196" s="5">
        <v>3.57</v>
      </c>
      <c r="F196" s="4">
        <v>2</v>
      </c>
      <c r="G196" s="5">
        <v>7.69</v>
      </c>
      <c r="H196" s="4">
        <v>0</v>
      </c>
    </row>
    <row r="197" spans="1:8" x14ac:dyDescent="0.2">
      <c r="A197" s="2" t="s">
        <v>44</v>
      </c>
      <c r="B197" s="4">
        <v>12</v>
      </c>
      <c r="C197" s="5">
        <v>6.94</v>
      </c>
      <c r="D197" s="4">
        <v>5</v>
      </c>
      <c r="E197" s="5">
        <v>3.57</v>
      </c>
      <c r="F197" s="4">
        <v>7</v>
      </c>
      <c r="G197" s="5">
        <v>26.92</v>
      </c>
      <c r="H197" s="4">
        <v>0</v>
      </c>
    </row>
    <row r="198" spans="1:8" x14ac:dyDescent="0.2">
      <c r="A198" s="2" t="s">
        <v>45</v>
      </c>
      <c r="B198" s="4">
        <v>1</v>
      </c>
      <c r="C198" s="5">
        <v>0.57999999999999996</v>
      </c>
      <c r="D198" s="4">
        <v>0</v>
      </c>
      <c r="E198" s="5">
        <v>0</v>
      </c>
      <c r="F198" s="4">
        <v>1</v>
      </c>
      <c r="G198" s="5">
        <v>3.85</v>
      </c>
      <c r="H198" s="4">
        <v>0</v>
      </c>
    </row>
    <row r="199" spans="1:8" x14ac:dyDescent="0.2">
      <c r="A199" s="2" t="s">
        <v>46</v>
      </c>
      <c r="B199" s="4">
        <v>0</v>
      </c>
      <c r="C199" s="5">
        <v>0</v>
      </c>
      <c r="D199" s="4">
        <v>0</v>
      </c>
      <c r="E199" s="5">
        <v>0</v>
      </c>
      <c r="F199" s="4">
        <v>0</v>
      </c>
      <c r="G199" s="5">
        <v>0</v>
      </c>
      <c r="H199" s="4">
        <v>0</v>
      </c>
    </row>
    <row r="200" spans="1:8" x14ac:dyDescent="0.2">
      <c r="A200" s="2" t="s">
        <v>47</v>
      </c>
      <c r="B200" s="4">
        <v>3</v>
      </c>
      <c r="C200" s="5">
        <v>1.73</v>
      </c>
      <c r="D200" s="4">
        <v>3</v>
      </c>
      <c r="E200" s="5">
        <v>2.14</v>
      </c>
      <c r="F200" s="4">
        <v>0</v>
      </c>
      <c r="G200" s="5">
        <v>0</v>
      </c>
      <c r="H200" s="4">
        <v>0</v>
      </c>
    </row>
    <row r="201" spans="1:8" x14ac:dyDescent="0.2">
      <c r="A201" s="2" t="s">
        <v>48</v>
      </c>
      <c r="B201" s="4">
        <v>49</v>
      </c>
      <c r="C201" s="5">
        <v>28.32</v>
      </c>
      <c r="D201" s="4">
        <v>40</v>
      </c>
      <c r="E201" s="5">
        <v>28.57</v>
      </c>
      <c r="F201" s="4">
        <v>5</v>
      </c>
      <c r="G201" s="5">
        <v>19.23</v>
      </c>
      <c r="H201" s="4">
        <v>4</v>
      </c>
    </row>
    <row r="202" spans="1:8" x14ac:dyDescent="0.2">
      <c r="A202" s="2" t="s">
        <v>49</v>
      </c>
      <c r="B202" s="4">
        <v>0</v>
      </c>
      <c r="C202" s="5">
        <v>0</v>
      </c>
      <c r="D202" s="4">
        <v>0</v>
      </c>
      <c r="E202" s="5">
        <v>0</v>
      </c>
      <c r="F202" s="4">
        <v>0</v>
      </c>
      <c r="G202" s="5">
        <v>0</v>
      </c>
      <c r="H202" s="4">
        <v>0</v>
      </c>
    </row>
    <row r="203" spans="1:8" x14ac:dyDescent="0.2">
      <c r="A203" s="2" t="s">
        <v>50</v>
      </c>
      <c r="B203" s="4">
        <v>11</v>
      </c>
      <c r="C203" s="5">
        <v>6.36</v>
      </c>
      <c r="D203" s="4">
        <v>9</v>
      </c>
      <c r="E203" s="5">
        <v>6.43</v>
      </c>
      <c r="F203" s="4">
        <v>2</v>
      </c>
      <c r="G203" s="5">
        <v>7.69</v>
      </c>
      <c r="H203" s="4">
        <v>0</v>
      </c>
    </row>
    <row r="204" spans="1:8" x14ac:dyDescent="0.2">
      <c r="A204" s="2" t="s">
        <v>51</v>
      </c>
      <c r="B204" s="4">
        <v>3</v>
      </c>
      <c r="C204" s="5">
        <v>1.73</v>
      </c>
      <c r="D204" s="4">
        <v>3</v>
      </c>
      <c r="E204" s="5">
        <v>2.14</v>
      </c>
      <c r="F204" s="4">
        <v>0</v>
      </c>
      <c r="G204" s="5">
        <v>0</v>
      </c>
      <c r="H204" s="4">
        <v>0</v>
      </c>
    </row>
    <row r="205" spans="1:8" x14ac:dyDescent="0.2">
      <c r="A205" s="2" t="s">
        <v>52</v>
      </c>
      <c r="B205" s="4">
        <v>55</v>
      </c>
      <c r="C205" s="5">
        <v>31.79</v>
      </c>
      <c r="D205" s="4">
        <v>50</v>
      </c>
      <c r="E205" s="5">
        <v>35.71</v>
      </c>
      <c r="F205" s="4">
        <v>4</v>
      </c>
      <c r="G205" s="5">
        <v>15.38</v>
      </c>
      <c r="H205" s="4">
        <v>1</v>
      </c>
    </row>
    <row r="206" spans="1:8" x14ac:dyDescent="0.2">
      <c r="A206" s="2" t="s">
        <v>53</v>
      </c>
      <c r="B206" s="4">
        <v>19</v>
      </c>
      <c r="C206" s="5">
        <v>10.98</v>
      </c>
      <c r="D206" s="4">
        <v>14</v>
      </c>
      <c r="E206" s="5">
        <v>10</v>
      </c>
      <c r="F206" s="4">
        <v>4</v>
      </c>
      <c r="G206" s="5">
        <v>15.38</v>
      </c>
      <c r="H206" s="4">
        <v>0</v>
      </c>
    </row>
    <row r="207" spans="1:8" x14ac:dyDescent="0.2">
      <c r="A207" s="2" t="s">
        <v>54</v>
      </c>
      <c r="B207" s="4">
        <v>5</v>
      </c>
      <c r="C207" s="5">
        <v>2.89</v>
      </c>
      <c r="D207" s="4">
        <v>4</v>
      </c>
      <c r="E207" s="5">
        <v>2.86</v>
      </c>
      <c r="F207" s="4">
        <v>1</v>
      </c>
      <c r="G207" s="5">
        <v>3.85</v>
      </c>
      <c r="H207" s="4">
        <v>0</v>
      </c>
    </row>
    <row r="208" spans="1:8" x14ac:dyDescent="0.2">
      <c r="A208" s="2" t="s">
        <v>55</v>
      </c>
      <c r="B208" s="4">
        <v>2</v>
      </c>
      <c r="C208" s="5">
        <v>1.1599999999999999</v>
      </c>
      <c r="D208" s="4">
        <v>2</v>
      </c>
      <c r="E208" s="5">
        <v>1.43</v>
      </c>
      <c r="F208" s="4">
        <v>0</v>
      </c>
      <c r="G208" s="5">
        <v>0</v>
      </c>
      <c r="H208" s="4">
        <v>0</v>
      </c>
    </row>
    <row r="209" spans="1:8" x14ac:dyDescent="0.2">
      <c r="A209" s="2" t="s">
        <v>56</v>
      </c>
      <c r="B209" s="4">
        <v>6</v>
      </c>
      <c r="C209" s="5">
        <v>3.47</v>
      </c>
      <c r="D209" s="4">
        <v>5</v>
      </c>
      <c r="E209" s="5">
        <v>3.57</v>
      </c>
      <c r="F209" s="4">
        <v>0</v>
      </c>
      <c r="G209" s="5">
        <v>0</v>
      </c>
      <c r="H209" s="4">
        <v>0</v>
      </c>
    </row>
    <row r="210" spans="1:8" x14ac:dyDescent="0.2">
      <c r="A210" s="1" t="s">
        <v>13</v>
      </c>
      <c r="B210" s="4">
        <v>92</v>
      </c>
      <c r="C210" s="5">
        <v>100.00999999999999</v>
      </c>
      <c r="D210" s="4">
        <v>56</v>
      </c>
      <c r="E210" s="5">
        <v>99.999999999999986</v>
      </c>
      <c r="F210" s="4">
        <v>23</v>
      </c>
      <c r="G210" s="5">
        <v>100.00999999999999</v>
      </c>
      <c r="H210" s="4">
        <v>9</v>
      </c>
    </row>
    <row r="211" spans="1:8" x14ac:dyDescent="0.2">
      <c r="A211" s="2" t="s">
        <v>42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43</v>
      </c>
      <c r="B212" s="4">
        <v>8</v>
      </c>
      <c r="C212" s="5">
        <v>8.6999999999999993</v>
      </c>
      <c r="D212" s="4">
        <v>2</v>
      </c>
      <c r="E212" s="5">
        <v>3.57</v>
      </c>
      <c r="F212" s="4">
        <v>6</v>
      </c>
      <c r="G212" s="5">
        <v>26.09</v>
      </c>
      <c r="H212" s="4">
        <v>0</v>
      </c>
    </row>
    <row r="213" spans="1:8" x14ac:dyDescent="0.2">
      <c r="A213" s="2" t="s">
        <v>44</v>
      </c>
      <c r="B213" s="4">
        <v>15</v>
      </c>
      <c r="C213" s="5">
        <v>16.3</v>
      </c>
      <c r="D213" s="4">
        <v>10</v>
      </c>
      <c r="E213" s="5">
        <v>17.86</v>
      </c>
      <c r="F213" s="4">
        <v>5</v>
      </c>
      <c r="G213" s="5">
        <v>21.74</v>
      </c>
      <c r="H213" s="4">
        <v>0</v>
      </c>
    </row>
    <row r="214" spans="1:8" x14ac:dyDescent="0.2">
      <c r="A214" s="2" t="s">
        <v>45</v>
      </c>
      <c r="B214" s="4">
        <v>2</v>
      </c>
      <c r="C214" s="5">
        <v>2.17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2">
      <c r="A215" s="2" t="s">
        <v>46</v>
      </c>
      <c r="B215" s="4">
        <v>0</v>
      </c>
      <c r="C215" s="5">
        <v>0</v>
      </c>
      <c r="D215" s="4">
        <v>0</v>
      </c>
      <c r="E215" s="5">
        <v>0</v>
      </c>
      <c r="F215" s="4">
        <v>0</v>
      </c>
      <c r="G215" s="5">
        <v>0</v>
      </c>
      <c r="H215" s="4">
        <v>0</v>
      </c>
    </row>
    <row r="216" spans="1:8" x14ac:dyDescent="0.2">
      <c r="A216" s="2" t="s">
        <v>47</v>
      </c>
      <c r="B216" s="4">
        <v>4</v>
      </c>
      <c r="C216" s="5">
        <v>4.3499999999999996</v>
      </c>
      <c r="D216" s="4">
        <v>4</v>
      </c>
      <c r="E216" s="5">
        <v>7.14</v>
      </c>
      <c r="F216" s="4">
        <v>0</v>
      </c>
      <c r="G216" s="5">
        <v>0</v>
      </c>
      <c r="H216" s="4">
        <v>0</v>
      </c>
    </row>
    <row r="217" spans="1:8" x14ac:dyDescent="0.2">
      <c r="A217" s="2" t="s">
        <v>48</v>
      </c>
      <c r="B217" s="4">
        <v>31</v>
      </c>
      <c r="C217" s="5">
        <v>33.700000000000003</v>
      </c>
      <c r="D217" s="4">
        <v>28</v>
      </c>
      <c r="E217" s="5">
        <v>50</v>
      </c>
      <c r="F217" s="4">
        <v>2</v>
      </c>
      <c r="G217" s="5">
        <v>8.6999999999999993</v>
      </c>
      <c r="H217" s="4">
        <v>1</v>
      </c>
    </row>
    <row r="218" spans="1:8" x14ac:dyDescent="0.2">
      <c r="A218" s="2" t="s">
        <v>49</v>
      </c>
      <c r="B218" s="4">
        <v>0</v>
      </c>
      <c r="C218" s="5">
        <v>0</v>
      </c>
      <c r="D218" s="4">
        <v>0</v>
      </c>
      <c r="E218" s="5">
        <v>0</v>
      </c>
      <c r="F218" s="4">
        <v>0</v>
      </c>
      <c r="G218" s="5">
        <v>0</v>
      </c>
      <c r="H218" s="4">
        <v>0</v>
      </c>
    </row>
    <row r="219" spans="1:8" x14ac:dyDescent="0.2">
      <c r="A219" s="2" t="s">
        <v>50</v>
      </c>
      <c r="B219" s="4">
        <v>0</v>
      </c>
      <c r="C219" s="5">
        <v>0</v>
      </c>
      <c r="D219" s="4">
        <v>0</v>
      </c>
      <c r="E219" s="5">
        <v>0</v>
      </c>
      <c r="F219" s="4">
        <v>0</v>
      </c>
      <c r="G219" s="5">
        <v>0</v>
      </c>
      <c r="H219" s="4">
        <v>0</v>
      </c>
    </row>
    <row r="220" spans="1:8" x14ac:dyDescent="0.2">
      <c r="A220" s="2" t="s">
        <v>51</v>
      </c>
      <c r="B220" s="4">
        <v>4</v>
      </c>
      <c r="C220" s="5">
        <v>4.3499999999999996</v>
      </c>
      <c r="D220" s="4">
        <v>2</v>
      </c>
      <c r="E220" s="5">
        <v>3.57</v>
      </c>
      <c r="F220" s="4">
        <v>2</v>
      </c>
      <c r="G220" s="5">
        <v>8.6999999999999993</v>
      </c>
      <c r="H220" s="4">
        <v>0</v>
      </c>
    </row>
    <row r="221" spans="1:8" x14ac:dyDescent="0.2">
      <c r="A221" s="2" t="s">
        <v>52</v>
      </c>
      <c r="B221" s="4">
        <v>7</v>
      </c>
      <c r="C221" s="5">
        <v>7.61</v>
      </c>
      <c r="D221" s="4">
        <v>3</v>
      </c>
      <c r="E221" s="5">
        <v>5.36</v>
      </c>
      <c r="F221" s="4">
        <v>3</v>
      </c>
      <c r="G221" s="5">
        <v>13.04</v>
      </c>
      <c r="H221" s="4">
        <v>1</v>
      </c>
    </row>
    <row r="222" spans="1:8" x14ac:dyDescent="0.2">
      <c r="A222" s="2" t="s">
        <v>53</v>
      </c>
      <c r="B222" s="4">
        <v>8</v>
      </c>
      <c r="C222" s="5">
        <v>8.6999999999999993</v>
      </c>
      <c r="D222" s="4">
        <v>7</v>
      </c>
      <c r="E222" s="5">
        <v>12.5</v>
      </c>
      <c r="F222" s="4">
        <v>1</v>
      </c>
      <c r="G222" s="5">
        <v>4.3499999999999996</v>
      </c>
      <c r="H222" s="4">
        <v>0</v>
      </c>
    </row>
    <row r="223" spans="1:8" x14ac:dyDescent="0.2">
      <c r="A223" s="2" t="s">
        <v>54</v>
      </c>
      <c r="B223" s="4">
        <v>6</v>
      </c>
      <c r="C223" s="5">
        <v>6.52</v>
      </c>
      <c r="D223" s="4">
        <v>0</v>
      </c>
      <c r="E223" s="5">
        <v>0</v>
      </c>
      <c r="F223" s="4">
        <v>1</v>
      </c>
      <c r="G223" s="5">
        <v>4.3499999999999996</v>
      </c>
      <c r="H223" s="4">
        <v>5</v>
      </c>
    </row>
    <row r="224" spans="1:8" x14ac:dyDescent="0.2">
      <c r="A224" s="2" t="s">
        <v>55</v>
      </c>
      <c r="B224" s="4">
        <v>3</v>
      </c>
      <c r="C224" s="5">
        <v>3.26</v>
      </c>
      <c r="D224" s="4">
        <v>0</v>
      </c>
      <c r="E224" s="5">
        <v>0</v>
      </c>
      <c r="F224" s="4">
        <v>3</v>
      </c>
      <c r="G224" s="5">
        <v>13.04</v>
      </c>
      <c r="H224" s="4">
        <v>0</v>
      </c>
    </row>
    <row r="225" spans="1:8" x14ac:dyDescent="0.2">
      <c r="A225" s="2" t="s">
        <v>56</v>
      </c>
      <c r="B225" s="4">
        <v>4</v>
      </c>
      <c r="C225" s="5">
        <v>4.3499999999999996</v>
      </c>
      <c r="D225" s="4">
        <v>0</v>
      </c>
      <c r="E225" s="5">
        <v>0</v>
      </c>
      <c r="F225" s="4">
        <v>0</v>
      </c>
      <c r="G225" s="5">
        <v>0</v>
      </c>
      <c r="H225" s="4">
        <v>2</v>
      </c>
    </row>
    <row r="226" spans="1:8" x14ac:dyDescent="0.2">
      <c r="A226" s="1" t="s">
        <v>14</v>
      </c>
      <c r="B226" s="4">
        <v>46</v>
      </c>
      <c r="C226" s="5">
        <v>99.97999999999999</v>
      </c>
      <c r="D226" s="4">
        <v>29</v>
      </c>
      <c r="E226" s="5">
        <v>100</v>
      </c>
      <c r="F226" s="4">
        <v>13</v>
      </c>
      <c r="G226" s="5">
        <v>99.999999999999986</v>
      </c>
      <c r="H226" s="4">
        <v>3</v>
      </c>
    </row>
    <row r="227" spans="1:8" x14ac:dyDescent="0.2">
      <c r="A227" s="2" t="s">
        <v>42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43</v>
      </c>
      <c r="B228" s="4">
        <v>4</v>
      </c>
      <c r="C228" s="5">
        <v>8.6999999999999993</v>
      </c>
      <c r="D228" s="4">
        <v>1</v>
      </c>
      <c r="E228" s="5">
        <v>3.45</v>
      </c>
      <c r="F228" s="4">
        <v>3</v>
      </c>
      <c r="G228" s="5">
        <v>23.08</v>
      </c>
      <c r="H228" s="4">
        <v>0</v>
      </c>
    </row>
    <row r="229" spans="1:8" x14ac:dyDescent="0.2">
      <c r="A229" s="2" t="s">
        <v>44</v>
      </c>
      <c r="B229" s="4">
        <v>6</v>
      </c>
      <c r="C229" s="5">
        <v>13.04</v>
      </c>
      <c r="D229" s="4">
        <v>5</v>
      </c>
      <c r="E229" s="5">
        <v>17.239999999999998</v>
      </c>
      <c r="F229" s="4">
        <v>1</v>
      </c>
      <c r="G229" s="5">
        <v>7.69</v>
      </c>
      <c r="H229" s="4">
        <v>0</v>
      </c>
    </row>
    <row r="230" spans="1:8" x14ac:dyDescent="0.2">
      <c r="A230" s="2" t="s">
        <v>45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2">
      <c r="A231" s="2" t="s">
        <v>46</v>
      </c>
      <c r="B231" s="4">
        <v>0</v>
      </c>
      <c r="C231" s="5">
        <v>0</v>
      </c>
      <c r="D231" s="4">
        <v>0</v>
      </c>
      <c r="E231" s="5">
        <v>0</v>
      </c>
      <c r="F231" s="4">
        <v>0</v>
      </c>
      <c r="G231" s="5">
        <v>0</v>
      </c>
      <c r="H231" s="4">
        <v>0</v>
      </c>
    </row>
    <row r="232" spans="1:8" x14ac:dyDescent="0.2">
      <c r="A232" s="2" t="s">
        <v>47</v>
      </c>
      <c r="B232" s="4">
        <v>1</v>
      </c>
      <c r="C232" s="5">
        <v>2.17</v>
      </c>
      <c r="D232" s="4">
        <v>1</v>
      </c>
      <c r="E232" s="5">
        <v>3.45</v>
      </c>
      <c r="F232" s="4">
        <v>0</v>
      </c>
      <c r="G232" s="5">
        <v>0</v>
      </c>
      <c r="H232" s="4">
        <v>0</v>
      </c>
    </row>
    <row r="233" spans="1:8" x14ac:dyDescent="0.2">
      <c r="A233" s="2" t="s">
        <v>48</v>
      </c>
      <c r="B233" s="4">
        <v>19</v>
      </c>
      <c r="C233" s="5">
        <v>41.3</v>
      </c>
      <c r="D233" s="4">
        <v>15</v>
      </c>
      <c r="E233" s="5">
        <v>51.72</v>
      </c>
      <c r="F233" s="4">
        <v>2</v>
      </c>
      <c r="G233" s="5">
        <v>15.38</v>
      </c>
      <c r="H233" s="4">
        <v>2</v>
      </c>
    </row>
    <row r="234" spans="1:8" x14ac:dyDescent="0.2">
      <c r="A234" s="2" t="s">
        <v>49</v>
      </c>
      <c r="B234" s="4">
        <v>0</v>
      </c>
      <c r="C234" s="5">
        <v>0</v>
      </c>
      <c r="D234" s="4">
        <v>0</v>
      </c>
      <c r="E234" s="5">
        <v>0</v>
      </c>
      <c r="F234" s="4">
        <v>0</v>
      </c>
      <c r="G234" s="5">
        <v>0</v>
      </c>
      <c r="H234" s="4">
        <v>0</v>
      </c>
    </row>
    <row r="235" spans="1:8" x14ac:dyDescent="0.2">
      <c r="A235" s="2" t="s">
        <v>50</v>
      </c>
      <c r="B235" s="4">
        <v>0</v>
      </c>
      <c r="C235" s="5">
        <v>0</v>
      </c>
      <c r="D235" s="4">
        <v>0</v>
      </c>
      <c r="E235" s="5">
        <v>0</v>
      </c>
      <c r="F235" s="4">
        <v>0</v>
      </c>
      <c r="G235" s="5">
        <v>0</v>
      </c>
      <c r="H235" s="4">
        <v>0</v>
      </c>
    </row>
    <row r="236" spans="1:8" x14ac:dyDescent="0.2">
      <c r="A236" s="2" t="s">
        <v>51</v>
      </c>
      <c r="B236" s="4">
        <v>1</v>
      </c>
      <c r="C236" s="5">
        <v>2.17</v>
      </c>
      <c r="D236" s="4">
        <v>0</v>
      </c>
      <c r="E236" s="5">
        <v>0</v>
      </c>
      <c r="F236" s="4">
        <v>1</v>
      </c>
      <c r="G236" s="5">
        <v>7.69</v>
      </c>
      <c r="H236" s="4">
        <v>0</v>
      </c>
    </row>
    <row r="237" spans="1:8" x14ac:dyDescent="0.2">
      <c r="A237" s="2" t="s">
        <v>52</v>
      </c>
      <c r="B237" s="4">
        <v>9</v>
      </c>
      <c r="C237" s="5">
        <v>19.57</v>
      </c>
      <c r="D237" s="4">
        <v>6</v>
      </c>
      <c r="E237" s="5">
        <v>20.69</v>
      </c>
      <c r="F237" s="4">
        <v>3</v>
      </c>
      <c r="G237" s="5">
        <v>23.08</v>
      </c>
      <c r="H237" s="4">
        <v>0</v>
      </c>
    </row>
    <row r="238" spans="1:8" x14ac:dyDescent="0.2">
      <c r="A238" s="2" t="s">
        <v>53</v>
      </c>
      <c r="B238" s="4">
        <v>3</v>
      </c>
      <c r="C238" s="5">
        <v>6.52</v>
      </c>
      <c r="D238" s="4">
        <v>0</v>
      </c>
      <c r="E238" s="5">
        <v>0</v>
      </c>
      <c r="F238" s="4">
        <v>3</v>
      </c>
      <c r="G238" s="5">
        <v>23.08</v>
      </c>
      <c r="H238" s="4">
        <v>0</v>
      </c>
    </row>
    <row r="239" spans="1:8" x14ac:dyDescent="0.2">
      <c r="A239" s="2" t="s">
        <v>54</v>
      </c>
      <c r="B239" s="4">
        <v>1</v>
      </c>
      <c r="C239" s="5">
        <v>2.17</v>
      </c>
      <c r="D239" s="4">
        <v>0</v>
      </c>
      <c r="E239" s="5">
        <v>0</v>
      </c>
      <c r="F239" s="4">
        <v>0</v>
      </c>
      <c r="G239" s="5">
        <v>0</v>
      </c>
      <c r="H239" s="4">
        <v>1</v>
      </c>
    </row>
    <row r="240" spans="1:8" x14ac:dyDescent="0.2">
      <c r="A240" s="2" t="s">
        <v>55</v>
      </c>
      <c r="B240" s="4">
        <v>1</v>
      </c>
      <c r="C240" s="5">
        <v>2.17</v>
      </c>
      <c r="D240" s="4">
        <v>0</v>
      </c>
      <c r="E240" s="5">
        <v>0</v>
      </c>
      <c r="F240" s="4">
        <v>0</v>
      </c>
      <c r="G240" s="5">
        <v>0</v>
      </c>
      <c r="H240" s="4">
        <v>0</v>
      </c>
    </row>
    <row r="241" spans="1:8" x14ac:dyDescent="0.2">
      <c r="A241" s="2" t="s">
        <v>56</v>
      </c>
      <c r="B241" s="4">
        <v>1</v>
      </c>
      <c r="C241" s="5">
        <v>2.17</v>
      </c>
      <c r="D241" s="4">
        <v>1</v>
      </c>
      <c r="E241" s="5">
        <v>3.45</v>
      </c>
      <c r="F241" s="4">
        <v>0</v>
      </c>
      <c r="G241" s="5">
        <v>0</v>
      </c>
      <c r="H241" s="4">
        <v>0</v>
      </c>
    </row>
    <row r="242" spans="1:8" x14ac:dyDescent="0.2">
      <c r="A242" s="1" t="s">
        <v>15</v>
      </c>
      <c r="B242" s="4">
        <v>286</v>
      </c>
      <c r="C242" s="5">
        <v>100</v>
      </c>
      <c r="D242" s="4">
        <v>217</v>
      </c>
      <c r="E242" s="5">
        <v>100</v>
      </c>
      <c r="F242" s="4">
        <v>60</v>
      </c>
      <c r="G242" s="5">
        <v>100</v>
      </c>
      <c r="H242" s="4">
        <v>6</v>
      </c>
    </row>
    <row r="243" spans="1:8" x14ac:dyDescent="0.2">
      <c r="A243" s="2" t="s">
        <v>42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43</v>
      </c>
      <c r="B244" s="4">
        <v>26</v>
      </c>
      <c r="C244" s="5">
        <v>9.09</v>
      </c>
      <c r="D244" s="4">
        <v>12</v>
      </c>
      <c r="E244" s="5">
        <v>5.53</v>
      </c>
      <c r="F244" s="4">
        <v>14</v>
      </c>
      <c r="G244" s="5">
        <v>23.33</v>
      </c>
      <c r="H244" s="4">
        <v>0</v>
      </c>
    </row>
    <row r="245" spans="1:8" x14ac:dyDescent="0.2">
      <c r="A245" s="2" t="s">
        <v>44</v>
      </c>
      <c r="B245" s="4">
        <v>16</v>
      </c>
      <c r="C245" s="5">
        <v>5.59</v>
      </c>
      <c r="D245" s="4">
        <v>9</v>
      </c>
      <c r="E245" s="5">
        <v>4.1500000000000004</v>
      </c>
      <c r="F245" s="4">
        <v>7</v>
      </c>
      <c r="G245" s="5">
        <v>11.67</v>
      </c>
      <c r="H245" s="4">
        <v>0</v>
      </c>
    </row>
    <row r="246" spans="1:8" x14ac:dyDescent="0.2">
      <c r="A246" s="2" t="s">
        <v>45</v>
      </c>
      <c r="B246" s="4">
        <v>1</v>
      </c>
      <c r="C246" s="5">
        <v>0.35</v>
      </c>
      <c r="D246" s="4">
        <v>0</v>
      </c>
      <c r="E246" s="5">
        <v>0</v>
      </c>
      <c r="F246" s="4">
        <v>1</v>
      </c>
      <c r="G246" s="5">
        <v>1.67</v>
      </c>
      <c r="H246" s="4">
        <v>0</v>
      </c>
    </row>
    <row r="247" spans="1:8" x14ac:dyDescent="0.2">
      <c r="A247" s="2" t="s">
        <v>46</v>
      </c>
      <c r="B247" s="4">
        <v>1</v>
      </c>
      <c r="C247" s="5">
        <v>0.35</v>
      </c>
      <c r="D247" s="4">
        <v>0</v>
      </c>
      <c r="E247" s="5">
        <v>0</v>
      </c>
      <c r="F247" s="4">
        <v>1</v>
      </c>
      <c r="G247" s="5">
        <v>1.67</v>
      </c>
      <c r="H247" s="4">
        <v>0</v>
      </c>
    </row>
    <row r="248" spans="1:8" x14ac:dyDescent="0.2">
      <c r="A248" s="2" t="s">
        <v>47</v>
      </c>
      <c r="B248" s="4">
        <v>3</v>
      </c>
      <c r="C248" s="5">
        <v>1.05</v>
      </c>
      <c r="D248" s="4">
        <v>1</v>
      </c>
      <c r="E248" s="5">
        <v>0.46</v>
      </c>
      <c r="F248" s="4">
        <v>0</v>
      </c>
      <c r="G248" s="5">
        <v>0</v>
      </c>
      <c r="H248" s="4">
        <v>0</v>
      </c>
    </row>
    <row r="249" spans="1:8" x14ac:dyDescent="0.2">
      <c r="A249" s="2" t="s">
        <v>48</v>
      </c>
      <c r="B249" s="4">
        <v>68</v>
      </c>
      <c r="C249" s="5">
        <v>23.78</v>
      </c>
      <c r="D249" s="4">
        <v>60</v>
      </c>
      <c r="E249" s="5">
        <v>27.65</v>
      </c>
      <c r="F249" s="4">
        <v>8</v>
      </c>
      <c r="G249" s="5">
        <v>13.33</v>
      </c>
      <c r="H249" s="4">
        <v>0</v>
      </c>
    </row>
    <row r="250" spans="1:8" x14ac:dyDescent="0.2">
      <c r="A250" s="2" t="s">
        <v>49</v>
      </c>
      <c r="B250" s="4">
        <v>0</v>
      </c>
      <c r="C250" s="5">
        <v>0</v>
      </c>
      <c r="D250" s="4">
        <v>0</v>
      </c>
      <c r="E250" s="5">
        <v>0</v>
      </c>
      <c r="F250" s="4">
        <v>0</v>
      </c>
      <c r="G250" s="5">
        <v>0</v>
      </c>
      <c r="H250" s="4">
        <v>0</v>
      </c>
    </row>
    <row r="251" spans="1:8" x14ac:dyDescent="0.2">
      <c r="A251" s="2" t="s">
        <v>50</v>
      </c>
      <c r="B251" s="4">
        <v>18</v>
      </c>
      <c r="C251" s="5">
        <v>6.29</v>
      </c>
      <c r="D251" s="4">
        <v>13</v>
      </c>
      <c r="E251" s="5">
        <v>5.99</v>
      </c>
      <c r="F251" s="4">
        <v>5</v>
      </c>
      <c r="G251" s="5">
        <v>8.33</v>
      </c>
      <c r="H251" s="4">
        <v>0</v>
      </c>
    </row>
    <row r="252" spans="1:8" x14ac:dyDescent="0.2">
      <c r="A252" s="2" t="s">
        <v>51</v>
      </c>
      <c r="B252" s="4">
        <v>4</v>
      </c>
      <c r="C252" s="5">
        <v>1.4</v>
      </c>
      <c r="D252" s="4">
        <v>4</v>
      </c>
      <c r="E252" s="5">
        <v>1.84</v>
      </c>
      <c r="F252" s="4">
        <v>0</v>
      </c>
      <c r="G252" s="5">
        <v>0</v>
      </c>
      <c r="H252" s="4">
        <v>0</v>
      </c>
    </row>
    <row r="253" spans="1:8" x14ac:dyDescent="0.2">
      <c r="A253" s="2" t="s">
        <v>52</v>
      </c>
      <c r="B253" s="4">
        <v>91</v>
      </c>
      <c r="C253" s="5">
        <v>31.82</v>
      </c>
      <c r="D253" s="4">
        <v>73</v>
      </c>
      <c r="E253" s="5">
        <v>33.64</v>
      </c>
      <c r="F253" s="4">
        <v>18</v>
      </c>
      <c r="G253" s="5">
        <v>30</v>
      </c>
      <c r="H253" s="4">
        <v>0</v>
      </c>
    </row>
    <row r="254" spans="1:8" x14ac:dyDescent="0.2">
      <c r="A254" s="2" t="s">
        <v>53</v>
      </c>
      <c r="B254" s="4">
        <v>29</v>
      </c>
      <c r="C254" s="5">
        <v>10.14</v>
      </c>
      <c r="D254" s="4">
        <v>27</v>
      </c>
      <c r="E254" s="5">
        <v>12.44</v>
      </c>
      <c r="F254" s="4">
        <v>2</v>
      </c>
      <c r="G254" s="5">
        <v>3.33</v>
      </c>
      <c r="H254" s="4">
        <v>0</v>
      </c>
    </row>
    <row r="255" spans="1:8" x14ac:dyDescent="0.2">
      <c r="A255" s="2" t="s">
        <v>54</v>
      </c>
      <c r="B255" s="4">
        <v>9</v>
      </c>
      <c r="C255" s="5">
        <v>3.15</v>
      </c>
      <c r="D255" s="4">
        <v>8</v>
      </c>
      <c r="E255" s="5">
        <v>3.69</v>
      </c>
      <c r="F255" s="4">
        <v>0</v>
      </c>
      <c r="G255" s="5">
        <v>0</v>
      </c>
      <c r="H255" s="4">
        <v>1</v>
      </c>
    </row>
    <row r="256" spans="1:8" x14ac:dyDescent="0.2">
      <c r="A256" s="2" t="s">
        <v>55</v>
      </c>
      <c r="B256" s="4">
        <v>5</v>
      </c>
      <c r="C256" s="5">
        <v>1.75</v>
      </c>
      <c r="D256" s="4">
        <v>1</v>
      </c>
      <c r="E256" s="5">
        <v>0.46</v>
      </c>
      <c r="F256" s="4">
        <v>3</v>
      </c>
      <c r="G256" s="5">
        <v>5</v>
      </c>
      <c r="H256" s="4">
        <v>0</v>
      </c>
    </row>
    <row r="257" spans="1:8" x14ac:dyDescent="0.2">
      <c r="A257" s="2" t="s">
        <v>56</v>
      </c>
      <c r="B257" s="4">
        <v>15</v>
      </c>
      <c r="C257" s="5">
        <v>5.24</v>
      </c>
      <c r="D257" s="4">
        <v>9</v>
      </c>
      <c r="E257" s="5">
        <v>4.1500000000000004</v>
      </c>
      <c r="F257" s="4">
        <v>1</v>
      </c>
      <c r="G257" s="5">
        <v>1.67</v>
      </c>
      <c r="H257" s="4">
        <v>5</v>
      </c>
    </row>
    <row r="258" spans="1:8" x14ac:dyDescent="0.2">
      <c r="A258" s="1" t="s">
        <v>16</v>
      </c>
      <c r="B258" s="4">
        <v>471</v>
      </c>
      <c r="C258" s="5">
        <v>99.98</v>
      </c>
      <c r="D258" s="4">
        <v>375</v>
      </c>
      <c r="E258" s="5">
        <v>100</v>
      </c>
      <c r="F258" s="4">
        <v>90</v>
      </c>
      <c r="G258" s="5">
        <v>99.99</v>
      </c>
      <c r="H258" s="4">
        <v>4</v>
      </c>
    </row>
    <row r="259" spans="1:8" x14ac:dyDescent="0.2">
      <c r="A259" s="2" t="s">
        <v>42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43</v>
      </c>
      <c r="B260" s="4">
        <v>29</v>
      </c>
      <c r="C260" s="5">
        <v>6.16</v>
      </c>
      <c r="D260" s="4">
        <v>11</v>
      </c>
      <c r="E260" s="5">
        <v>2.93</v>
      </c>
      <c r="F260" s="4">
        <v>18</v>
      </c>
      <c r="G260" s="5">
        <v>20</v>
      </c>
      <c r="H260" s="4">
        <v>0</v>
      </c>
    </row>
    <row r="261" spans="1:8" x14ac:dyDescent="0.2">
      <c r="A261" s="2" t="s">
        <v>44</v>
      </c>
      <c r="B261" s="4">
        <v>31</v>
      </c>
      <c r="C261" s="5">
        <v>6.58</v>
      </c>
      <c r="D261" s="4">
        <v>22</v>
      </c>
      <c r="E261" s="5">
        <v>5.87</v>
      </c>
      <c r="F261" s="4">
        <v>9</v>
      </c>
      <c r="G261" s="5">
        <v>10</v>
      </c>
      <c r="H261" s="4">
        <v>0</v>
      </c>
    </row>
    <row r="262" spans="1:8" x14ac:dyDescent="0.2">
      <c r="A262" s="2" t="s">
        <v>45</v>
      </c>
      <c r="B262" s="4">
        <v>1</v>
      </c>
      <c r="C262" s="5">
        <v>0.21</v>
      </c>
      <c r="D262" s="4">
        <v>0</v>
      </c>
      <c r="E262" s="5">
        <v>0</v>
      </c>
      <c r="F262" s="4">
        <v>1</v>
      </c>
      <c r="G262" s="5">
        <v>1.1100000000000001</v>
      </c>
      <c r="H262" s="4">
        <v>0</v>
      </c>
    </row>
    <row r="263" spans="1:8" x14ac:dyDescent="0.2">
      <c r="A263" s="2" t="s">
        <v>46</v>
      </c>
      <c r="B263" s="4">
        <v>1</v>
      </c>
      <c r="C263" s="5">
        <v>0.21</v>
      </c>
      <c r="D263" s="4">
        <v>0</v>
      </c>
      <c r="E263" s="5">
        <v>0</v>
      </c>
      <c r="F263" s="4">
        <v>1</v>
      </c>
      <c r="G263" s="5">
        <v>1.1100000000000001</v>
      </c>
      <c r="H263" s="4">
        <v>0</v>
      </c>
    </row>
    <row r="264" spans="1:8" x14ac:dyDescent="0.2">
      <c r="A264" s="2" t="s">
        <v>47</v>
      </c>
      <c r="B264" s="4">
        <v>2</v>
      </c>
      <c r="C264" s="5">
        <v>0.42</v>
      </c>
      <c r="D264" s="4">
        <v>1</v>
      </c>
      <c r="E264" s="5">
        <v>0.27</v>
      </c>
      <c r="F264" s="4">
        <v>0</v>
      </c>
      <c r="G264" s="5">
        <v>0</v>
      </c>
      <c r="H264" s="4">
        <v>0</v>
      </c>
    </row>
    <row r="265" spans="1:8" x14ac:dyDescent="0.2">
      <c r="A265" s="2" t="s">
        <v>48</v>
      </c>
      <c r="B265" s="4">
        <v>130</v>
      </c>
      <c r="C265" s="5">
        <v>27.6</v>
      </c>
      <c r="D265" s="4">
        <v>116</v>
      </c>
      <c r="E265" s="5">
        <v>30.93</v>
      </c>
      <c r="F265" s="4">
        <v>14</v>
      </c>
      <c r="G265" s="5">
        <v>15.56</v>
      </c>
      <c r="H265" s="4">
        <v>0</v>
      </c>
    </row>
    <row r="266" spans="1:8" x14ac:dyDescent="0.2">
      <c r="A266" s="2" t="s">
        <v>49</v>
      </c>
      <c r="B266" s="4">
        <v>2</v>
      </c>
      <c r="C266" s="5">
        <v>0.42</v>
      </c>
      <c r="D266" s="4">
        <v>2</v>
      </c>
      <c r="E266" s="5">
        <v>0.53</v>
      </c>
      <c r="F266" s="4">
        <v>0</v>
      </c>
      <c r="G266" s="5">
        <v>0</v>
      </c>
      <c r="H266" s="4">
        <v>0</v>
      </c>
    </row>
    <row r="267" spans="1:8" x14ac:dyDescent="0.2">
      <c r="A267" s="2" t="s">
        <v>50</v>
      </c>
      <c r="B267" s="4">
        <v>19</v>
      </c>
      <c r="C267" s="5">
        <v>4.03</v>
      </c>
      <c r="D267" s="4">
        <v>10</v>
      </c>
      <c r="E267" s="5">
        <v>2.67</v>
      </c>
      <c r="F267" s="4">
        <v>9</v>
      </c>
      <c r="G267" s="5">
        <v>10</v>
      </c>
      <c r="H267" s="4">
        <v>0</v>
      </c>
    </row>
    <row r="268" spans="1:8" x14ac:dyDescent="0.2">
      <c r="A268" s="2" t="s">
        <v>51</v>
      </c>
      <c r="B268" s="4">
        <v>14</v>
      </c>
      <c r="C268" s="5">
        <v>2.97</v>
      </c>
      <c r="D268" s="4">
        <v>9</v>
      </c>
      <c r="E268" s="5">
        <v>2.4</v>
      </c>
      <c r="F268" s="4">
        <v>4</v>
      </c>
      <c r="G268" s="5">
        <v>4.4400000000000004</v>
      </c>
      <c r="H268" s="4">
        <v>0</v>
      </c>
    </row>
    <row r="269" spans="1:8" x14ac:dyDescent="0.2">
      <c r="A269" s="2" t="s">
        <v>52</v>
      </c>
      <c r="B269" s="4">
        <v>162</v>
      </c>
      <c r="C269" s="5">
        <v>34.39</v>
      </c>
      <c r="D269" s="4">
        <v>141</v>
      </c>
      <c r="E269" s="5">
        <v>37.6</v>
      </c>
      <c r="F269" s="4">
        <v>20</v>
      </c>
      <c r="G269" s="5">
        <v>22.22</v>
      </c>
      <c r="H269" s="4">
        <v>1</v>
      </c>
    </row>
    <row r="270" spans="1:8" x14ac:dyDescent="0.2">
      <c r="A270" s="2" t="s">
        <v>53</v>
      </c>
      <c r="B270" s="4">
        <v>52</v>
      </c>
      <c r="C270" s="5">
        <v>11.04</v>
      </c>
      <c r="D270" s="4">
        <v>43</v>
      </c>
      <c r="E270" s="5">
        <v>11.47</v>
      </c>
      <c r="F270" s="4">
        <v>8</v>
      </c>
      <c r="G270" s="5">
        <v>8.89</v>
      </c>
      <c r="H270" s="4">
        <v>1</v>
      </c>
    </row>
    <row r="271" spans="1:8" x14ac:dyDescent="0.2">
      <c r="A271" s="2" t="s">
        <v>54</v>
      </c>
      <c r="B271" s="4">
        <v>16</v>
      </c>
      <c r="C271" s="5">
        <v>3.4</v>
      </c>
      <c r="D271" s="4">
        <v>14</v>
      </c>
      <c r="E271" s="5">
        <v>3.73</v>
      </c>
      <c r="F271" s="4">
        <v>0</v>
      </c>
      <c r="G271" s="5">
        <v>0</v>
      </c>
      <c r="H271" s="4">
        <v>2</v>
      </c>
    </row>
    <row r="272" spans="1:8" x14ac:dyDescent="0.2">
      <c r="A272" s="2" t="s">
        <v>55</v>
      </c>
      <c r="B272" s="4">
        <v>7</v>
      </c>
      <c r="C272" s="5">
        <v>1.49</v>
      </c>
      <c r="D272" s="4">
        <v>4</v>
      </c>
      <c r="E272" s="5">
        <v>1.07</v>
      </c>
      <c r="F272" s="4">
        <v>3</v>
      </c>
      <c r="G272" s="5">
        <v>3.33</v>
      </c>
      <c r="H272" s="4">
        <v>0</v>
      </c>
    </row>
    <row r="273" spans="1:8" x14ac:dyDescent="0.2">
      <c r="A273" s="2" t="s">
        <v>56</v>
      </c>
      <c r="B273" s="4">
        <v>5</v>
      </c>
      <c r="C273" s="5">
        <v>1.06</v>
      </c>
      <c r="D273" s="4">
        <v>2</v>
      </c>
      <c r="E273" s="5">
        <v>0.53</v>
      </c>
      <c r="F273" s="4">
        <v>3</v>
      </c>
      <c r="G273" s="5">
        <v>3.33</v>
      </c>
      <c r="H273" s="4">
        <v>0</v>
      </c>
    </row>
    <row r="274" spans="1:8" x14ac:dyDescent="0.2">
      <c r="A274" s="1" t="s">
        <v>17</v>
      </c>
      <c r="B274" s="4">
        <v>198</v>
      </c>
      <c r="C274" s="5">
        <v>100.00999999999999</v>
      </c>
      <c r="D274" s="4">
        <v>111</v>
      </c>
      <c r="E274" s="5">
        <v>100.00999999999998</v>
      </c>
      <c r="F274" s="4">
        <v>85</v>
      </c>
      <c r="G274" s="5">
        <v>99.999999999999972</v>
      </c>
      <c r="H274" s="4">
        <v>1</v>
      </c>
    </row>
    <row r="275" spans="1:8" x14ac:dyDescent="0.2">
      <c r="A275" s="2" t="s">
        <v>42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43</v>
      </c>
      <c r="B276" s="4">
        <v>22</v>
      </c>
      <c r="C276" s="5">
        <v>11.11</v>
      </c>
      <c r="D276" s="4">
        <v>1</v>
      </c>
      <c r="E276" s="5">
        <v>0.9</v>
      </c>
      <c r="F276" s="4">
        <v>21</v>
      </c>
      <c r="G276" s="5">
        <v>24.71</v>
      </c>
      <c r="H276" s="4">
        <v>0</v>
      </c>
    </row>
    <row r="277" spans="1:8" x14ac:dyDescent="0.2">
      <c r="A277" s="2" t="s">
        <v>44</v>
      </c>
      <c r="B277" s="4">
        <v>15</v>
      </c>
      <c r="C277" s="5">
        <v>7.58</v>
      </c>
      <c r="D277" s="4">
        <v>10</v>
      </c>
      <c r="E277" s="5">
        <v>9.01</v>
      </c>
      <c r="F277" s="4">
        <v>5</v>
      </c>
      <c r="G277" s="5">
        <v>5.88</v>
      </c>
      <c r="H277" s="4">
        <v>0</v>
      </c>
    </row>
    <row r="278" spans="1:8" x14ac:dyDescent="0.2">
      <c r="A278" s="2" t="s">
        <v>45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2">
      <c r="A279" s="2" t="s">
        <v>46</v>
      </c>
      <c r="B279" s="4">
        <v>0</v>
      </c>
      <c r="C279" s="5">
        <v>0</v>
      </c>
      <c r="D279" s="4">
        <v>0</v>
      </c>
      <c r="E279" s="5">
        <v>0</v>
      </c>
      <c r="F279" s="4">
        <v>0</v>
      </c>
      <c r="G279" s="5">
        <v>0</v>
      </c>
      <c r="H279" s="4">
        <v>0</v>
      </c>
    </row>
    <row r="280" spans="1:8" x14ac:dyDescent="0.2">
      <c r="A280" s="2" t="s">
        <v>47</v>
      </c>
      <c r="B280" s="4">
        <v>2</v>
      </c>
      <c r="C280" s="5">
        <v>1.01</v>
      </c>
      <c r="D280" s="4">
        <v>2</v>
      </c>
      <c r="E280" s="5">
        <v>1.8</v>
      </c>
      <c r="F280" s="4">
        <v>0</v>
      </c>
      <c r="G280" s="5">
        <v>0</v>
      </c>
      <c r="H280" s="4">
        <v>0</v>
      </c>
    </row>
    <row r="281" spans="1:8" x14ac:dyDescent="0.2">
      <c r="A281" s="2" t="s">
        <v>48</v>
      </c>
      <c r="B281" s="4">
        <v>53</v>
      </c>
      <c r="C281" s="5">
        <v>26.77</v>
      </c>
      <c r="D281" s="4">
        <v>38</v>
      </c>
      <c r="E281" s="5">
        <v>34.229999999999997</v>
      </c>
      <c r="F281" s="4">
        <v>15</v>
      </c>
      <c r="G281" s="5">
        <v>17.649999999999999</v>
      </c>
      <c r="H281" s="4">
        <v>0</v>
      </c>
    </row>
    <row r="282" spans="1:8" x14ac:dyDescent="0.2">
      <c r="A282" s="2" t="s">
        <v>49</v>
      </c>
      <c r="B282" s="4">
        <v>0</v>
      </c>
      <c r="C282" s="5">
        <v>0</v>
      </c>
      <c r="D282" s="4">
        <v>0</v>
      </c>
      <c r="E282" s="5">
        <v>0</v>
      </c>
      <c r="F282" s="4">
        <v>0</v>
      </c>
      <c r="G282" s="5">
        <v>0</v>
      </c>
      <c r="H282" s="4">
        <v>0</v>
      </c>
    </row>
    <row r="283" spans="1:8" x14ac:dyDescent="0.2">
      <c r="A283" s="2" t="s">
        <v>50</v>
      </c>
      <c r="B283" s="4">
        <v>20</v>
      </c>
      <c r="C283" s="5">
        <v>10.1</v>
      </c>
      <c r="D283" s="4">
        <v>9</v>
      </c>
      <c r="E283" s="5">
        <v>8.11</v>
      </c>
      <c r="F283" s="4">
        <v>11</v>
      </c>
      <c r="G283" s="5">
        <v>12.94</v>
      </c>
      <c r="H283" s="4">
        <v>0</v>
      </c>
    </row>
    <row r="284" spans="1:8" x14ac:dyDescent="0.2">
      <c r="A284" s="2" t="s">
        <v>51</v>
      </c>
      <c r="B284" s="4">
        <v>4</v>
      </c>
      <c r="C284" s="5">
        <v>2.02</v>
      </c>
      <c r="D284" s="4">
        <v>2</v>
      </c>
      <c r="E284" s="5">
        <v>1.8</v>
      </c>
      <c r="F284" s="4">
        <v>2</v>
      </c>
      <c r="G284" s="5">
        <v>2.35</v>
      </c>
      <c r="H284" s="4">
        <v>0</v>
      </c>
    </row>
    <row r="285" spans="1:8" x14ac:dyDescent="0.2">
      <c r="A285" s="2" t="s">
        <v>52</v>
      </c>
      <c r="B285" s="4">
        <v>26</v>
      </c>
      <c r="C285" s="5">
        <v>13.13</v>
      </c>
      <c r="D285" s="4">
        <v>17</v>
      </c>
      <c r="E285" s="5">
        <v>15.32</v>
      </c>
      <c r="F285" s="4">
        <v>9</v>
      </c>
      <c r="G285" s="5">
        <v>10.59</v>
      </c>
      <c r="H285" s="4">
        <v>0</v>
      </c>
    </row>
    <row r="286" spans="1:8" x14ac:dyDescent="0.2">
      <c r="A286" s="2" t="s">
        <v>53</v>
      </c>
      <c r="B286" s="4">
        <v>33</v>
      </c>
      <c r="C286" s="5">
        <v>16.670000000000002</v>
      </c>
      <c r="D286" s="4">
        <v>18</v>
      </c>
      <c r="E286" s="5">
        <v>16.22</v>
      </c>
      <c r="F286" s="4">
        <v>15</v>
      </c>
      <c r="G286" s="5">
        <v>17.649999999999999</v>
      </c>
      <c r="H286" s="4">
        <v>0</v>
      </c>
    </row>
    <row r="287" spans="1:8" x14ac:dyDescent="0.2">
      <c r="A287" s="2" t="s">
        <v>54</v>
      </c>
      <c r="B287" s="4">
        <v>9</v>
      </c>
      <c r="C287" s="5">
        <v>4.55</v>
      </c>
      <c r="D287" s="4">
        <v>6</v>
      </c>
      <c r="E287" s="5">
        <v>5.41</v>
      </c>
      <c r="F287" s="4">
        <v>2</v>
      </c>
      <c r="G287" s="5">
        <v>2.35</v>
      </c>
      <c r="H287" s="4">
        <v>1</v>
      </c>
    </row>
    <row r="288" spans="1:8" x14ac:dyDescent="0.2">
      <c r="A288" s="2" t="s">
        <v>55</v>
      </c>
      <c r="B288" s="4">
        <v>4</v>
      </c>
      <c r="C288" s="5">
        <v>2.02</v>
      </c>
      <c r="D288" s="4">
        <v>2</v>
      </c>
      <c r="E288" s="5">
        <v>1.8</v>
      </c>
      <c r="F288" s="4">
        <v>2</v>
      </c>
      <c r="G288" s="5">
        <v>2.35</v>
      </c>
      <c r="H288" s="4">
        <v>0</v>
      </c>
    </row>
    <row r="289" spans="1:8" x14ac:dyDescent="0.2">
      <c r="A289" s="2" t="s">
        <v>56</v>
      </c>
      <c r="B289" s="4">
        <v>10</v>
      </c>
      <c r="C289" s="5">
        <v>5.05</v>
      </c>
      <c r="D289" s="4">
        <v>6</v>
      </c>
      <c r="E289" s="5">
        <v>5.41</v>
      </c>
      <c r="F289" s="4">
        <v>3</v>
      </c>
      <c r="G289" s="5">
        <v>3.53</v>
      </c>
      <c r="H289" s="4">
        <v>0</v>
      </c>
    </row>
    <row r="290" spans="1:8" x14ac:dyDescent="0.2">
      <c r="A290" s="1" t="s">
        <v>18</v>
      </c>
      <c r="B290" s="4">
        <v>149</v>
      </c>
      <c r="C290" s="5">
        <v>100.00000000000001</v>
      </c>
      <c r="D290" s="4">
        <v>98</v>
      </c>
      <c r="E290" s="5">
        <v>99.990000000000023</v>
      </c>
      <c r="F290" s="4">
        <v>39</v>
      </c>
      <c r="G290" s="5">
        <v>99.96</v>
      </c>
      <c r="H290" s="4">
        <v>4</v>
      </c>
    </row>
    <row r="291" spans="1:8" x14ac:dyDescent="0.2">
      <c r="A291" s="2" t="s">
        <v>42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43</v>
      </c>
      <c r="B292" s="4">
        <v>24</v>
      </c>
      <c r="C292" s="5">
        <v>16.11</v>
      </c>
      <c r="D292" s="4">
        <v>9</v>
      </c>
      <c r="E292" s="5">
        <v>9.18</v>
      </c>
      <c r="F292" s="4">
        <v>15</v>
      </c>
      <c r="G292" s="5">
        <v>38.46</v>
      </c>
      <c r="H292" s="4">
        <v>0</v>
      </c>
    </row>
    <row r="293" spans="1:8" x14ac:dyDescent="0.2">
      <c r="A293" s="2" t="s">
        <v>44</v>
      </c>
      <c r="B293" s="4">
        <v>8</v>
      </c>
      <c r="C293" s="5">
        <v>5.37</v>
      </c>
      <c r="D293" s="4">
        <v>6</v>
      </c>
      <c r="E293" s="5">
        <v>6.12</v>
      </c>
      <c r="F293" s="4">
        <v>1</v>
      </c>
      <c r="G293" s="5">
        <v>2.56</v>
      </c>
      <c r="H293" s="4">
        <v>1</v>
      </c>
    </row>
    <row r="294" spans="1:8" x14ac:dyDescent="0.2">
      <c r="A294" s="2" t="s">
        <v>45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2">
      <c r="A295" s="2" t="s">
        <v>46</v>
      </c>
      <c r="B295" s="4">
        <v>1</v>
      </c>
      <c r="C295" s="5">
        <v>0.67</v>
      </c>
      <c r="D295" s="4">
        <v>0</v>
      </c>
      <c r="E295" s="5">
        <v>0</v>
      </c>
      <c r="F295" s="4">
        <v>1</v>
      </c>
      <c r="G295" s="5">
        <v>2.56</v>
      </c>
      <c r="H295" s="4">
        <v>0</v>
      </c>
    </row>
    <row r="296" spans="1:8" x14ac:dyDescent="0.2">
      <c r="A296" s="2" t="s">
        <v>47</v>
      </c>
      <c r="B296" s="4">
        <v>4</v>
      </c>
      <c r="C296" s="5">
        <v>2.68</v>
      </c>
      <c r="D296" s="4">
        <v>3</v>
      </c>
      <c r="E296" s="5">
        <v>3.06</v>
      </c>
      <c r="F296" s="4">
        <v>1</v>
      </c>
      <c r="G296" s="5">
        <v>2.56</v>
      </c>
      <c r="H296" s="4">
        <v>0</v>
      </c>
    </row>
    <row r="297" spans="1:8" x14ac:dyDescent="0.2">
      <c r="A297" s="2" t="s">
        <v>48</v>
      </c>
      <c r="B297" s="4">
        <v>28</v>
      </c>
      <c r="C297" s="5">
        <v>18.79</v>
      </c>
      <c r="D297" s="4">
        <v>25</v>
      </c>
      <c r="E297" s="5">
        <v>25.51</v>
      </c>
      <c r="F297" s="4">
        <v>3</v>
      </c>
      <c r="G297" s="5">
        <v>7.69</v>
      </c>
      <c r="H297" s="4">
        <v>0</v>
      </c>
    </row>
    <row r="298" spans="1:8" x14ac:dyDescent="0.2">
      <c r="A298" s="2" t="s">
        <v>49</v>
      </c>
      <c r="B298" s="4">
        <v>1</v>
      </c>
      <c r="C298" s="5">
        <v>0.67</v>
      </c>
      <c r="D298" s="4">
        <v>1</v>
      </c>
      <c r="E298" s="5">
        <v>1.02</v>
      </c>
      <c r="F298" s="4">
        <v>0</v>
      </c>
      <c r="G298" s="5">
        <v>0</v>
      </c>
      <c r="H298" s="4">
        <v>0</v>
      </c>
    </row>
    <row r="299" spans="1:8" x14ac:dyDescent="0.2">
      <c r="A299" s="2" t="s">
        <v>50</v>
      </c>
      <c r="B299" s="4">
        <v>12</v>
      </c>
      <c r="C299" s="5">
        <v>8.0500000000000007</v>
      </c>
      <c r="D299" s="4">
        <v>9</v>
      </c>
      <c r="E299" s="5">
        <v>9.18</v>
      </c>
      <c r="F299" s="4">
        <v>3</v>
      </c>
      <c r="G299" s="5">
        <v>7.69</v>
      </c>
      <c r="H299" s="4">
        <v>0</v>
      </c>
    </row>
    <row r="300" spans="1:8" x14ac:dyDescent="0.2">
      <c r="A300" s="2" t="s">
        <v>51</v>
      </c>
      <c r="B300" s="4">
        <v>1</v>
      </c>
      <c r="C300" s="5">
        <v>0.67</v>
      </c>
      <c r="D300" s="4">
        <v>0</v>
      </c>
      <c r="E300" s="5">
        <v>0</v>
      </c>
      <c r="F300" s="4">
        <v>1</v>
      </c>
      <c r="G300" s="5">
        <v>2.56</v>
      </c>
      <c r="H300" s="4">
        <v>0</v>
      </c>
    </row>
    <row r="301" spans="1:8" x14ac:dyDescent="0.2">
      <c r="A301" s="2" t="s">
        <v>52</v>
      </c>
      <c r="B301" s="4">
        <v>22</v>
      </c>
      <c r="C301" s="5">
        <v>14.77</v>
      </c>
      <c r="D301" s="4">
        <v>19</v>
      </c>
      <c r="E301" s="5">
        <v>19.39</v>
      </c>
      <c r="F301" s="4">
        <v>3</v>
      </c>
      <c r="G301" s="5">
        <v>7.69</v>
      </c>
      <c r="H301" s="4">
        <v>0</v>
      </c>
    </row>
    <row r="302" spans="1:8" x14ac:dyDescent="0.2">
      <c r="A302" s="2" t="s">
        <v>53</v>
      </c>
      <c r="B302" s="4">
        <v>24</v>
      </c>
      <c r="C302" s="5">
        <v>16.11</v>
      </c>
      <c r="D302" s="4">
        <v>16</v>
      </c>
      <c r="E302" s="5">
        <v>16.329999999999998</v>
      </c>
      <c r="F302" s="4">
        <v>1</v>
      </c>
      <c r="G302" s="5">
        <v>2.56</v>
      </c>
      <c r="H302" s="4">
        <v>2</v>
      </c>
    </row>
    <row r="303" spans="1:8" x14ac:dyDescent="0.2">
      <c r="A303" s="2" t="s">
        <v>54</v>
      </c>
      <c r="B303" s="4">
        <v>8</v>
      </c>
      <c r="C303" s="5">
        <v>5.37</v>
      </c>
      <c r="D303" s="4">
        <v>6</v>
      </c>
      <c r="E303" s="5">
        <v>6.12</v>
      </c>
      <c r="F303" s="4">
        <v>1</v>
      </c>
      <c r="G303" s="5">
        <v>2.56</v>
      </c>
      <c r="H303" s="4">
        <v>0</v>
      </c>
    </row>
    <row r="304" spans="1:8" x14ac:dyDescent="0.2">
      <c r="A304" s="2" t="s">
        <v>55</v>
      </c>
      <c r="B304" s="4">
        <v>9</v>
      </c>
      <c r="C304" s="5">
        <v>6.04</v>
      </c>
      <c r="D304" s="4">
        <v>2</v>
      </c>
      <c r="E304" s="5">
        <v>2.04</v>
      </c>
      <c r="F304" s="4">
        <v>6</v>
      </c>
      <c r="G304" s="5">
        <v>15.38</v>
      </c>
      <c r="H304" s="4">
        <v>0</v>
      </c>
    </row>
    <row r="305" spans="1:8" x14ac:dyDescent="0.2">
      <c r="A305" s="2" t="s">
        <v>56</v>
      </c>
      <c r="B305" s="4">
        <v>7</v>
      </c>
      <c r="C305" s="5">
        <v>4.7</v>
      </c>
      <c r="D305" s="4">
        <v>2</v>
      </c>
      <c r="E305" s="5">
        <v>2.04</v>
      </c>
      <c r="F305" s="4">
        <v>3</v>
      </c>
      <c r="G305" s="5">
        <v>7.69</v>
      </c>
      <c r="H305" s="4">
        <v>1</v>
      </c>
    </row>
    <row r="306" spans="1:8" x14ac:dyDescent="0.2">
      <c r="A306" s="1" t="s">
        <v>19</v>
      </c>
      <c r="B306" s="4">
        <v>299</v>
      </c>
      <c r="C306" s="5">
        <v>100</v>
      </c>
      <c r="D306" s="4">
        <v>213</v>
      </c>
      <c r="E306" s="5">
        <v>100.00999999999999</v>
      </c>
      <c r="F306" s="4">
        <v>77</v>
      </c>
      <c r="G306" s="5">
        <v>99.999999999999986</v>
      </c>
      <c r="H306" s="4">
        <v>1</v>
      </c>
    </row>
    <row r="307" spans="1:8" x14ac:dyDescent="0.2">
      <c r="A307" s="2" t="s">
        <v>42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43</v>
      </c>
      <c r="B308" s="4">
        <v>30</v>
      </c>
      <c r="C308" s="5">
        <v>10.029999999999999</v>
      </c>
      <c r="D308" s="4">
        <v>6</v>
      </c>
      <c r="E308" s="5">
        <v>2.82</v>
      </c>
      <c r="F308" s="4">
        <v>24</v>
      </c>
      <c r="G308" s="5">
        <v>31.17</v>
      </c>
      <c r="H308" s="4">
        <v>0</v>
      </c>
    </row>
    <row r="309" spans="1:8" x14ac:dyDescent="0.2">
      <c r="A309" s="2" t="s">
        <v>44</v>
      </c>
      <c r="B309" s="4">
        <v>20</v>
      </c>
      <c r="C309" s="5">
        <v>6.69</v>
      </c>
      <c r="D309" s="4">
        <v>8</v>
      </c>
      <c r="E309" s="5">
        <v>3.76</v>
      </c>
      <c r="F309" s="4">
        <v>12</v>
      </c>
      <c r="G309" s="5">
        <v>15.58</v>
      </c>
      <c r="H309" s="4">
        <v>0</v>
      </c>
    </row>
    <row r="310" spans="1:8" x14ac:dyDescent="0.2">
      <c r="A310" s="2" t="s">
        <v>45</v>
      </c>
      <c r="B310" s="4">
        <v>1</v>
      </c>
      <c r="C310" s="5">
        <v>0.33</v>
      </c>
      <c r="D310" s="4">
        <v>0</v>
      </c>
      <c r="E310" s="5">
        <v>0</v>
      </c>
      <c r="F310" s="4">
        <v>1</v>
      </c>
      <c r="G310" s="5">
        <v>1.3</v>
      </c>
      <c r="H310" s="4">
        <v>0</v>
      </c>
    </row>
    <row r="311" spans="1:8" x14ac:dyDescent="0.2">
      <c r="A311" s="2" t="s">
        <v>46</v>
      </c>
      <c r="B311" s="4">
        <v>2</v>
      </c>
      <c r="C311" s="5">
        <v>0.67</v>
      </c>
      <c r="D311" s="4">
        <v>0</v>
      </c>
      <c r="E311" s="5">
        <v>0</v>
      </c>
      <c r="F311" s="4">
        <v>1</v>
      </c>
      <c r="G311" s="5">
        <v>1.3</v>
      </c>
      <c r="H311" s="4">
        <v>0</v>
      </c>
    </row>
    <row r="312" spans="1:8" x14ac:dyDescent="0.2">
      <c r="A312" s="2" t="s">
        <v>47</v>
      </c>
      <c r="B312" s="4">
        <v>3</v>
      </c>
      <c r="C312" s="5">
        <v>1</v>
      </c>
      <c r="D312" s="4">
        <v>2</v>
      </c>
      <c r="E312" s="5">
        <v>0.94</v>
      </c>
      <c r="F312" s="4">
        <v>1</v>
      </c>
      <c r="G312" s="5">
        <v>1.3</v>
      </c>
      <c r="H312" s="4">
        <v>0</v>
      </c>
    </row>
    <row r="313" spans="1:8" x14ac:dyDescent="0.2">
      <c r="A313" s="2" t="s">
        <v>48</v>
      </c>
      <c r="B313" s="4">
        <v>66</v>
      </c>
      <c r="C313" s="5">
        <v>22.07</v>
      </c>
      <c r="D313" s="4">
        <v>50</v>
      </c>
      <c r="E313" s="5">
        <v>23.47</v>
      </c>
      <c r="F313" s="4">
        <v>16</v>
      </c>
      <c r="G313" s="5">
        <v>20.78</v>
      </c>
      <c r="H313" s="4">
        <v>0</v>
      </c>
    </row>
    <row r="314" spans="1:8" x14ac:dyDescent="0.2">
      <c r="A314" s="2" t="s">
        <v>49</v>
      </c>
      <c r="B314" s="4">
        <v>0</v>
      </c>
      <c r="C314" s="5">
        <v>0</v>
      </c>
      <c r="D314" s="4">
        <v>0</v>
      </c>
      <c r="E314" s="5">
        <v>0</v>
      </c>
      <c r="F314" s="4">
        <v>0</v>
      </c>
      <c r="G314" s="5">
        <v>0</v>
      </c>
      <c r="H314" s="4">
        <v>0</v>
      </c>
    </row>
    <row r="315" spans="1:8" x14ac:dyDescent="0.2">
      <c r="A315" s="2" t="s">
        <v>50</v>
      </c>
      <c r="B315" s="4">
        <v>33</v>
      </c>
      <c r="C315" s="5">
        <v>11.04</v>
      </c>
      <c r="D315" s="4">
        <v>25</v>
      </c>
      <c r="E315" s="5">
        <v>11.74</v>
      </c>
      <c r="F315" s="4">
        <v>7</v>
      </c>
      <c r="G315" s="5">
        <v>9.09</v>
      </c>
      <c r="H315" s="4">
        <v>1</v>
      </c>
    </row>
    <row r="316" spans="1:8" x14ac:dyDescent="0.2">
      <c r="A316" s="2" t="s">
        <v>51</v>
      </c>
      <c r="B316" s="4">
        <v>13</v>
      </c>
      <c r="C316" s="5">
        <v>4.3499999999999996</v>
      </c>
      <c r="D316" s="4">
        <v>8</v>
      </c>
      <c r="E316" s="5">
        <v>3.76</v>
      </c>
      <c r="F316" s="4">
        <v>5</v>
      </c>
      <c r="G316" s="5">
        <v>6.49</v>
      </c>
      <c r="H316" s="4">
        <v>0</v>
      </c>
    </row>
    <row r="317" spans="1:8" x14ac:dyDescent="0.2">
      <c r="A317" s="2" t="s">
        <v>52</v>
      </c>
      <c r="B317" s="4">
        <v>72</v>
      </c>
      <c r="C317" s="5">
        <v>24.08</v>
      </c>
      <c r="D317" s="4">
        <v>70</v>
      </c>
      <c r="E317" s="5">
        <v>32.86</v>
      </c>
      <c r="F317" s="4">
        <v>2</v>
      </c>
      <c r="G317" s="5">
        <v>2.6</v>
      </c>
      <c r="H317" s="4">
        <v>0</v>
      </c>
    </row>
    <row r="318" spans="1:8" x14ac:dyDescent="0.2">
      <c r="A318" s="2" t="s">
        <v>53</v>
      </c>
      <c r="B318" s="4">
        <v>33</v>
      </c>
      <c r="C318" s="5">
        <v>11.04</v>
      </c>
      <c r="D318" s="4">
        <v>25</v>
      </c>
      <c r="E318" s="5">
        <v>11.74</v>
      </c>
      <c r="F318" s="4">
        <v>3</v>
      </c>
      <c r="G318" s="5">
        <v>3.9</v>
      </c>
      <c r="H318" s="4">
        <v>0</v>
      </c>
    </row>
    <row r="319" spans="1:8" x14ac:dyDescent="0.2">
      <c r="A319" s="2" t="s">
        <v>54</v>
      </c>
      <c r="B319" s="4">
        <v>11</v>
      </c>
      <c r="C319" s="5">
        <v>3.68</v>
      </c>
      <c r="D319" s="4">
        <v>11</v>
      </c>
      <c r="E319" s="5">
        <v>5.16</v>
      </c>
      <c r="F319" s="4">
        <v>0</v>
      </c>
      <c r="G319" s="5">
        <v>0</v>
      </c>
      <c r="H319" s="4">
        <v>0</v>
      </c>
    </row>
    <row r="320" spans="1:8" x14ac:dyDescent="0.2">
      <c r="A320" s="2" t="s">
        <v>55</v>
      </c>
      <c r="B320" s="4">
        <v>6</v>
      </c>
      <c r="C320" s="5">
        <v>2.0099999999999998</v>
      </c>
      <c r="D320" s="4">
        <v>1</v>
      </c>
      <c r="E320" s="5">
        <v>0.47</v>
      </c>
      <c r="F320" s="4">
        <v>4</v>
      </c>
      <c r="G320" s="5">
        <v>5.19</v>
      </c>
      <c r="H320" s="4">
        <v>0</v>
      </c>
    </row>
    <row r="321" spans="1:8" x14ac:dyDescent="0.2">
      <c r="A321" s="2" t="s">
        <v>56</v>
      </c>
      <c r="B321" s="4">
        <v>9</v>
      </c>
      <c r="C321" s="5">
        <v>3.01</v>
      </c>
      <c r="D321" s="4">
        <v>7</v>
      </c>
      <c r="E321" s="5">
        <v>3.29</v>
      </c>
      <c r="F321" s="4">
        <v>1</v>
      </c>
      <c r="G321" s="5">
        <v>1.3</v>
      </c>
      <c r="H321" s="4">
        <v>0</v>
      </c>
    </row>
    <row r="322" spans="1:8" x14ac:dyDescent="0.2">
      <c r="A322" s="1" t="s">
        <v>20</v>
      </c>
      <c r="B322" s="4">
        <v>210</v>
      </c>
      <c r="C322" s="5">
        <v>100.00000000000001</v>
      </c>
      <c r="D322" s="4">
        <v>163</v>
      </c>
      <c r="E322" s="5">
        <v>99.99</v>
      </c>
      <c r="F322" s="4">
        <v>37</v>
      </c>
      <c r="G322" s="5">
        <v>100.00000000000001</v>
      </c>
      <c r="H322" s="4">
        <v>1</v>
      </c>
    </row>
    <row r="323" spans="1:8" x14ac:dyDescent="0.2">
      <c r="A323" s="2" t="s">
        <v>42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43</v>
      </c>
      <c r="B324" s="4">
        <v>20</v>
      </c>
      <c r="C324" s="5">
        <v>9.52</v>
      </c>
      <c r="D324" s="4">
        <v>10</v>
      </c>
      <c r="E324" s="5">
        <v>6.13</v>
      </c>
      <c r="F324" s="4">
        <v>10</v>
      </c>
      <c r="G324" s="5">
        <v>27.03</v>
      </c>
      <c r="H324" s="4">
        <v>0</v>
      </c>
    </row>
    <row r="325" spans="1:8" x14ac:dyDescent="0.2">
      <c r="A325" s="2" t="s">
        <v>44</v>
      </c>
      <c r="B325" s="4">
        <v>11</v>
      </c>
      <c r="C325" s="5">
        <v>5.24</v>
      </c>
      <c r="D325" s="4">
        <v>4</v>
      </c>
      <c r="E325" s="5">
        <v>2.4500000000000002</v>
      </c>
      <c r="F325" s="4">
        <v>6</v>
      </c>
      <c r="G325" s="5">
        <v>16.22</v>
      </c>
      <c r="H325" s="4">
        <v>0</v>
      </c>
    </row>
    <row r="326" spans="1:8" x14ac:dyDescent="0.2">
      <c r="A326" s="2" t="s">
        <v>45</v>
      </c>
      <c r="B326" s="4">
        <v>1</v>
      </c>
      <c r="C326" s="5">
        <v>0.48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2">
      <c r="A327" s="2" t="s">
        <v>46</v>
      </c>
      <c r="B327" s="4">
        <v>1</v>
      </c>
      <c r="C327" s="5">
        <v>0.48</v>
      </c>
      <c r="D327" s="4">
        <v>0</v>
      </c>
      <c r="E327" s="5">
        <v>0</v>
      </c>
      <c r="F327" s="4">
        <v>1</v>
      </c>
      <c r="G327" s="5">
        <v>2.7</v>
      </c>
      <c r="H327" s="4">
        <v>0</v>
      </c>
    </row>
    <row r="328" spans="1:8" x14ac:dyDescent="0.2">
      <c r="A328" s="2" t="s">
        <v>47</v>
      </c>
      <c r="B328" s="4">
        <v>2</v>
      </c>
      <c r="C328" s="5">
        <v>0.95</v>
      </c>
      <c r="D328" s="4">
        <v>0</v>
      </c>
      <c r="E328" s="5">
        <v>0</v>
      </c>
      <c r="F328" s="4">
        <v>2</v>
      </c>
      <c r="G328" s="5">
        <v>5.41</v>
      </c>
      <c r="H328" s="4">
        <v>0</v>
      </c>
    </row>
    <row r="329" spans="1:8" x14ac:dyDescent="0.2">
      <c r="A329" s="2" t="s">
        <v>48</v>
      </c>
      <c r="B329" s="4">
        <v>51</v>
      </c>
      <c r="C329" s="5">
        <v>24.29</v>
      </c>
      <c r="D329" s="4">
        <v>42</v>
      </c>
      <c r="E329" s="5">
        <v>25.77</v>
      </c>
      <c r="F329" s="4">
        <v>9</v>
      </c>
      <c r="G329" s="5">
        <v>24.32</v>
      </c>
      <c r="H329" s="4">
        <v>0</v>
      </c>
    </row>
    <row r="330" spans="1:8" x14ac:dyDescent="0.2">
      <c r="A330" s="2" t="s">
        <v>49</v>
      </c>
      <c r="B330" s="4">
        <v>0</v>
      </c>
      <c r="C330" s="5">
        <v>0</v>
      </c>
      <c r="D330" s="4">
        <v>0</v>
      </c>
      <c r="E330" s="5">
        <v>0</v>
      </c>
      <c r="F330" s="4">
        <v>0</v>
      </c>
      <c r="G330" s="5">
        <v>0</v>
      </c>
      <c r="H330" s="4">
        <v>0</v>
      </c>
    </row>
    <row r="331" spans="1:8" x14ac:dyDescent="0.2">
      <c r="A331" s="2" t="s">
        <v>50</v>
      </c>
      <c r="B331" s="4">
        <v>15</v>
      </c>
      <c r="C331" s="5">
        <v>7.14</v>
      </c>
      <c r="D331" s="4">
        <v>14</v>
      </c>
      <c r="E331" s="5">
        <v>8.59</v>
      </c>
      <c r="F331" s="4">
        <v>1</v>
      </c>
      <c r="G331" s="5">
        <v>2.7</v>
      </c>
      <c r="H331" s="4">
        <v>0</v>
      </c>
    </row>
    <row r="332" spans="1:8" x14ac:dyDescent="0.2">
      <c r="A332" s="2" t="s">
        <v>51</v>
      </c>
      <c r="B332" s="4">
        <v>3</v>
      </c>
      <c r="C332" s="5">
        <v>1.43</v>
      </c>
      <c r="D332" s="4">
        <v>2</v>
      </c>
      <c r="E332" s="5">
        <v>1.23</v>
      </c>
      <c r="F332" s="4">
        <v>1</v>
      </c>
      <c r="G332" s="5">
        <v>2.7</v>
      </c>
      <c r="H332" s="4">
        <v>0</v>
      </c>
    </row>
    <row r="333" spans="1:8" x14ac:dyDescent="0.2">
      <c r="A333" s="2" t="s">
        <v>52</v>
      </c>
      <c r="B333" s="4">
        <v>66</v>
      </c>
      <c r="C333" s="5">
        <v>31.43</v>
      </c>
      <c r="D333" s="4">
        <v>63</v>
      </c>
      <c r="E333" s="5">
        <v>38.65</v>
      </c>
      <c r="F333" s="4">
        <v>2</v>
      </c>
      <c r="G333" s="5">
        <v>5.41</v>
      </c>
      <c r="H333" s="4">
        <v>0</v>
      </c>
    </row>
    <row r="334" spans="1:8" x14ac:dyDescent="0.2">
      <c r="A334" s="2" t="s">
        <v>53</v>
      </c>
      <c r="B334" s="4">
        <v>25</v>
      </c>
      <c r="C334" s="5">
        <v>11.9</v>
      </c>
      <c r="D334" s="4">
        <v>21</v>
      </c>
      <c r="E334" s="5">
        <v>12.88</v>
      </c>
      <c r="F334" s="4">
        <v>1</v>
      </c>
      <c r="G334" s="5">
        <v>2.7</v>
      </c>
      <c r="H334" s="4">
        <v>1</v>
      </c>
    </row>
    <row r="335" spans="1:8" x14ac:dyDescent="0.2">
      <c r="A335" s="2" t="s">
        <v>54</v>
      </c>
      <c r="B335" s="4">
        <v>6</v>
      </c>
      <c r="C335" s="5">
        <v>2.86</v>
      </c>
      <c r="D335" s="4">
        <v>4</v>
      </c>
      <c r="E335" s="5">
        <v>2.4500000000000002</v>
      </c>
      <c r="F335" s="4">
        <v>1</v>
      </c>
      <c r="G335" s="5">
        <v>2.7</v>
      </c>
      <c r="H335" s="4">
        <v>0</v>
      </c>
    </row>
    <row r="336" spans="1:8" x14ac:dyDescent="0.2">
      <c r="A336" s="2" t="s">
        <v>55</v>
      </c>
      <c r="B336" s="4">
        <v>4</v>
      </c>
      <c r="C336" s="5">
        <v>1.9</v>
      </c>
      <c r="D336" s="4">
        <v>1</v>
      </c>
      <c r="E336" s="5">
        <v>0.61</v>
      </c>
      <c r="F336" s="4">
        <v>3</v>
      </c>
      <c r="G336" s="5">
        <v>8.11</v>
      </c>
      <c r="H336" s="4">
        <v>0</v>
      </c>
    </row>
    <row r="337" spans="1:8" x14ac:dyDescent="0.2">
      <c r="A337" s="2" t="s">
        <v>56</v>
      </c>
      <c r="B337" s="4">
        <v>5</v>
      </c>
      <c r="C337" s="5">
        <v>2.38</v>
      </c>
      <c r="D337" s="4">
        <v>2</v>
      </c>
      <c r="E337" s="5">
        <v>1.23</v>
      </c>
      <c r="F337" s="4">
        <v>0</v>
      </c>
      <c r="G337" s="5">
        <v>0</v>
      </c>
      <c r="H337" s="4">
        <v>0</v>
      </c>
    </row>
    <row r="338" spans="1:8" x14ac:dyDescent="0.2">
      <c r="A338" s="1" t="s">
        <v>21</v>
      </c>
      <c r="B338" s="4">
        <v>704</v>
      </c>
      <c r="C338" s="5">
        <v>99.990000000000009</v>
      </c>
      <c r="D338" s="4">
        <v>537</v>
      </c>
      <c r="E338" s="5">
        <v>100</v>
      </c>
      <c r="F338" s="4">
        <v>157</v>
      </c>
      <c r="G338" s="5">
        <v>99.999999999999986</v>
      </c>
      <c r="H338" s="4">
        <v>5</v>
      </c>
    </row>
    <row r="339" spans="1:8" x14ac:dyDescent="0.2">
      <c r="A339" s="2" t="s">
        <v>42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43</v>
      </c>
      <c r="B340" s="4">
        <v>66</v>
      </c>
      <c r="C340" s="5">
        <v>9.3800000000000008</v>
      </c>
      <c r="D340" s="4">
        <v>30</v>
      </c>
      <c r="E340" s="5">
        <v>5.59</v>
      </c>
      <c r="F340" s="4">
        <v>36</v>
      </c>
      <c r="G340" s="5">
        <v>22.93</v>
      </c>
      <c r="H340" s="4">
        <v>0</v>
      </c>
    </row>
    <row r="341" spans="1:8" x14ac:dyDescent="0.2">
      <c r="A341" s="2" t="s">
        <v>44</v>
      </c>
      <c r="B341" s="4">
        <v>143</v>
      </c>
      <c r="C341" s="5">
        <v>20.309999999999999</v>
      </c>
      <c r="D341" s="4">
        <v>131</v>
      </c>
      <c r="E341" s="5">
        <v>24.39</v>
      </c>
      <c r="F341" s="4">
        <v>12</v>
      </c>
      <c r="G341" s="5">
        <v>7.64</v>
      </c>
      <c r="H341" s="4">
        <v>0</v>
      </c>
    </row>
    <row r="342" spans="1:8" x14ac:dyDescent="0.2">
      <c r="A342" s="2" t="s">
        <v>45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2">
      <c r="A343" s="2" t="s">
        <v>46</v>
      </c>
      <c r="B343" s="4">
        <v>2</v>
      </c>
      <c r="C343" s="5">
        <v>0.28000000000000003</v>
      </c>
      <c r="D343" s="4">
        <v>0</v>
      </c>
      <c r="E343" s="5">
        <v>0</v>
      </c>
      <c r="F343" s="4">
        <v>2</v>
      </c>
      <c r="G343" s="5">
        <v>1.27</v>
      </c>
      <c r="H343" s="4">
        <v>0</v>
      </c>
    </row>
    <row r="344" spans="1:8" x14ac:dyDescent="0.2">
      <c r="A344" s="2" t="s">
        <v>47</v>
      </c>
      <c r="B344" s="4">
        <v>8</v>
      </c>
      <c r="C344" s="5">
        <v>1.1399999999999999</v>
      </c>
      <c r="D344" s="4">
        <v>5</v>
      </c>
      <c r="E344" s="5">
        <v>0.93</v>
      </c>
      <c r="F344" s="4">
        <v>2</v>
      </c>
      <c r="G344" s="5">
        <v>1.27</v>
      </c>
      <c r="H344" s="4">
        <v>0</v>
      </c>
    </row>
    <row r="345" spans="1:8" x14ac:dyDescent="0.2">
      <c r="A345" s="2" t="s">
        <v>48</v>
      </c>
      <c r="B345" s="4">
        <v>102</v>
      </c>
      <c r="C345" s="5">
        <v>14.49</v>
      </c>
      <c r="D345" s="4">
        <v>80</v>
      </c>
      <c r="E345" s="5">
        <v>14.9</v>
      </c>
      <c r="F345" s="4">
        <v>22</v>
      </c>
      <c r="G345" s="5">
        <v>14.01</v>
      </c>
      <c r="H345" s="4">
        <v>0</v>
      </c>
    </row>
    <row r="346" spans="1:8" x14ac:dyDescent="0.2">
      <c r="A346" s="2" t="s">
        <v>49</v>
      </c>
      <c r="B346" s="4">
        <v>5</v>
      </c>
      <c r="C346" s="5">
        <v>0.71</v>
      </c>
      <c r="D346" s="4">
        <v>2</v>
      </c>
      <c r="E346" s="5">
        <v>0.37</v>
      </c>
      <c r="F346" s="4">
        <v>3</v>
      </c>
      <c r="G346" s="5">
        <v>1.91</v>
      </c>
      <c r="H346" s="4">
        <v>0</v>
      </c>
    </row>
    <row r="347" spans="1:8" x14ac:dyDescent="0.2">
      <c r="A347" s="2" t="s">
        <v>50</v>
      </c>
      <c r="B347" s="4">
        <v>57</v>
      </c>
      <c r="C347" s="5">
        <v>8.1</v>
      </c>
      <c r="D347" s="4">
        <v>26</v>
      </c>
      <c r="E347" s="5">
        <v>4.84</v>
      </c>
      <c r="F347" s="4">
        <v>31</v>
      </c>
      <c r="G347" s="5">
        <v>19.75</v>
      </c>
      <c r="H347" s="4">
        <v>0</v>
      </c>
    </row>
    <row r="348" spans="1:8" x14ac:dyDescent="0.2">
      <c r="A348" s="2" t="s">
        <v>51</v>
      </c>
      <c r="B348" s="4">
        <v>17</v>
      </c>
      <c r="C348" s="5">
        <v>2.41</v>
      </c>
      <c r="D348" s="4">
        <v>11</v>
      </c>
      <c r="E348" s="5">
        <v>2.0499999999999998</v>
      </c>
      <c r="F348" s="4">
        <v>6</v>
      </c>
      <c r="G348" s="5">
        <v>3.82</v>
      </c>
      <c r="H348" s="4">
        <v>0</v>
      </c>
    </row>
    <row r="349" spans="1:8" x14ac:dyDescent="0.2">
      <c r="A349" s="2" t="s">
        <v>52</v>
      </c>
      <c r="B349" s="4">
        <v>94</v>
      </c>
      <c r="C349" s="5">
        <v>13.35</v>
      </c>
      <c r="D349" s="4">
        <v>90</v>
      </c>
      <c r="E349" s="5">
        <v>16.760000000000002</v>
      </c>
      <c r="F349" s="4">
        <v>4</v>
      </c>
      <c r="G349" s="5">
        <v>2.5499999999999998</v>
      </c>
      <c r="H349" s="4">
        <v>0</v>
      </c>
    </row>
    <row r="350" spans="1:8" x14ac:dyDescent="0.2">
      <c r="A350" s="2" t="s">
        <v>53</v>
      </c>
      <c r="B350" s="4">
        <v>99</v>
      </c>
      <c r="C350" s="5">
        <v>14.06</v>
      </c>
      <c r="D350" s="4">
        <v>86</v>
      </c>
      <c r="E350" s="5">
        <v>16.010000000000002</v>
      </c>
      <c r="F350" s="4">
        <v>11</v>
      </c>
      <c r="G350" s="5">
        <v>7.01</v>
      </c>
      <c r="H350" s="4">
        <v>0</v>
      </c>
    </row>
    <row r="351" spans="1:8" x14ac:dyDescent="0.2">
      <c r="A351" s="2" t="s">
        <v>54</v>
      </c>
      <c r="B351" s="4">
        <v>45</v>
      </c>
      <c r="C351" s="5">
        <v>6.39</v>
      </c>
      <c r="D351" s="4">
        <v>38</v>
      </c>
      <c r="E351" s="5">
        <v>7.08</v>
      </c>
      <c r="F351" s="4">
        <v>4</v>
      </c>
      <c r="G351" s="5">
        <v>2.5499999999999998</v>
      </c>
      <c r="H351" s="4">
        <v>3</v>
      </c>
    </row>
    <row r="352" spans="1:8" x14ac:dyDescent="0.2">
      <c r="A352" s="2" t="s">
        <v>55</v>
      </c>
      <c r="B352" s="4">
        <v>36</v>
      </c>
      <c r="C352" s="5">
        <v>5.1100000000000003</v>
      </c>
      <c r="D352" s="4">
        <v>17</v>
      </c>
      <c r="E352" s="5">
        <v>3.17</v>
      </c>
      <c r="F352" s="4">
        <v>17</v>
      </c>
      <c r="G352" s="5">
        <v>10.83</v>
      </c>
      <c r="H352" s="4">
        <v>0</v>
      </c>
    </row>
    <row r="353" spans="1:8" x14ac:dyDescent="0.2">
      <c r="A353" s="2" t="s">
        <v>56</v>
      </c>
      <c r="B353" s="4">
        <v>30</v>
      </c>
      <c r="C353" s="5">
        <v>4.26</v>
      </c>
      <c r="D353" s="4">
        <v>21</v>
      </c>
      <c r="E353" s="5">
        <v>3.91</v>
      </c>
      <c r="F353" s="4">
        <v>7</v>
      </c>
      <c r="G353" s="5">
        <v>4.46</v>
      </c>
      <c r="H353" s="4">
        <v>2</v>
      </c>
    </row>
    <row r="354" spans="1:8" x14ac:dyDescent="0.2">
      <c r="A354" s="1" t="s">
        <v>22</v>
      </c>
      <c r="B354" s="4">
        <v>352</v>
      </c>
      <c r="C354" s="5">
        <v>100.00999999999999</v>
      </c>
      <c r="D354" s="4">
        <v>250</v>
      </c>
      <c r="E354" s="5">
        <v>100.00000000000001</v>
      </c>
      <c r="F354" s="4">
        <v>96</v>
      </c>
      <c r="G354" s="5">
        <v>99.999999999999986</v>
      </c>
      <c r="H354" s="4">
        <v>2</v>
      </c>
    </row>
    <row r="355" spans="1:8" x14ac:dyDescent="0.2">
      <c r="A355" s="2" t="s">
        <v>42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43</v>
      </c>
      <c r="B356" s="4">
        <v>33</v>
      </c>
      <c r="C356" s="5">
        <v>9.3800000000000008</v>
      </c>
      <c r="D356" s="4">
        <v>8</v>
      </c>
      <c r="E356" s="5">
        <v>3.2</v>
      </c>
      <c r="F356" s="4">
        <v>25</v>
      </c>
      <c r="G356" s="5">
        <v>26.04</v>
      </c>
      <c r="H356" s="4">
        <v>0</v>
      </c>
    </row>
    <row r="357" spans="1:8" x14ac:dyDescent="0.2">
      <c r="A357" s="2" t="s">
        <v>44</v>
      </c>
      <c r="B357" s="4">
        <v>19</v>
      </c>
      <c r="C357" s="5">
        <v>5.4</v>
      </c>
      <c r="D357" s="4">
        <v>15</v>
      </c>
      <c r="E357" s="5">
        <v>6</v>
      </c>
      <c r="F357" s="4">
        <v>4</v>
      </c>
      <c r="G357" s="5">
        <v>4.17</v>
      </c>
      <c r="H357" s="4">
        <v>0</v>
      </c>
    </row>
    <row r="358" spans="1:8" x14ac:dyDescent="0.2">
      <c r="A358" s="2" t="s">
        <v>45</v>
      </c>
      <c r="B358" s="4">
        <v>1</v>
      </c>
      <c r="C358" s="5">
        <v>0.28000000000000003</v>
      </c>
      <c r="D358" s="4">
        <v>0</v>
      </c>
      <c r="E358" s="5">
        <v>0</v>
      </c>
      <c r="F358" s="4">
        <v>0</v>
      </c>
      <c r="G358" s="5">
        <v>0</v>
      </c>
      <c r="H358" s="4">
        <v>0</v>
      </c>
    </row>
    <row r="359" spans="1:8" x14ac:dyDescent="0.2">
      <c r="A359" s="2" t="s">
        <v>46</v>
      </c>
      <c r="B359" s="4">
        <v>5</v>
      </c>
      <c r="C359" s="5">
        <v>1.42</v>
      </c>
      <c r="D359" s="4">
        <v>0</v>
      </c>
      <c r="E359" s="5">
        <v>0</v>
      </c>
      <c r="F359" s="4">
        <v>5</v>
      </c>
      <c r="G359" s="5">
        <v>5.21</v>
      </c>
      <c r="H359" s="4">
        <v>0</v>
      </c>
    </row>
    <row r="360" spans="1:8" x14ac:dyDescent="0.2">
      <c r="A360" s="2" t="s">
        <v>47</v>
      </c>
      <c r="B360" s="4">
        <v>4</v>
      </c>
      <c r="C360" s="5">
        <v>1.1399999999999999</v>
      </c>
      <c r="D360" s="4">
        <v>4</v>
      </c>
      <c r="E360" s="5">
        <v>1.6</v>
      </c>
      <c r="F360" s="4">
        <v>0</v>
      </c>
      <c r="G360" s="5">
        <v>0</v>
      </c>
      <c r="H360" s="4">
        <v>0</v>
      </c>
    </row>
    <row r="361" spans="1:8" x14ac:dyDescent="0.2">
      <c r="A361" s="2" t="s">
        <v>48</v>
      </c>
      <c r="B361" s="4">
        <v>72</v>
      </c>
      <c r="C361" s="5">
        <v>20.45</v>
      </c>
      <c r="D361" s="4">
        <v>55</v>
      </c>
      <c r="E361" s="5">
        <v>22</v>
      </c>
      <c r="F361" s="4">
        <v>16</v>
      </c>
      <c r="G361" s="5">
        <v>16.670000000000002</v>
      </c>
      <c r="H361" s="4">
        <v>1</v>
      </c>
    </row>
    <row r="362" spans="1:8" x14ac:dyDescent="0.2">
      <c r="A362" s="2" t="s">
        <v>49</v>
      </c>
      <c r="B362" s="4">
        <v>3</v>
      </c>
      <c r="C362" s="5">
        <v>0.85</v>
      </c>
      <c r="D362" s="4">
        <v>1</v>
      </c>
      <c r="E362" s="5">
        <v>0.4</v>
      </c>
      <c r="F362" s="4">
        <v>2</v>
      </c>
      <c r="G362" s="5">
        <v>2.08</v>
      </c>
      <c r="H362" s="4">
        <v>0</v>
      </c>
    </row>
    <row r="363" spans="1:8" x14ac:dyDescent="0.2">
      <c r="A363" s="2" t="s">
        <v>50</v>
      </c>
      <c r="B363" s="4">
        <v>19</v>
      </c>
      <c r="C363" s="5">
        <v>5.4</v>
      </c>
      <c r="D363" s="4">
        <v>4</v>
      </c>
      <c r="E363" s="5">
        <v>1.6</v>
      </c>
      <c r="F363" s="4">
        <v>14</v>
      </c>
      <c r="G363" s="5">
        <v>14.58</v>
      </c>
      <c r="H363" s="4">
        <v>0</v>
      </c>
    </row>
    <row r="364" spans="1:8" x14ac:dyDescent="0.2">
      <c r="A364" s="2" t="s">
        <v>51</v>
      </c>
      <c r="B364" s="4">
        <v>16</v>
      </c>
      <c r="C364" s="5">
        <v>4.55</v>
      </c>
      <c r="D364" s="4">
        <v>8</v>
      </c>
      <c r="E364" s="5">
        <v>3.2</v>
      </c>
      <c r="F364" s="4">
        <v>8</v>
      </c>
      <c r="G364" s="5">
        <v>8.33</v>
      </c>
      <c r="H364" s="4">
        <v>0</v>
      </c>
    </row>
    <row r="365" spans="1:8" x14ac:dyDescent="0.2">
      <c r="A365" s="2" t="s">
        <v>52</v>
      </c>
      <c r="B365" s="4">
        <v>73</v>
      </c>
      <c r="C365" s="5">
        <v>20.74</v>
      </c>
      <c r="D365" s="4">
        <v>66</v>
      </c>
      <c r="E365" s="5">
        <v>26.4</v>
      </c>
      <c r="F365" s="4">
        <v>6</v>
      </c>
      <c r="G365" s="5">
        <v>6.25</v>
      </c>
      <c r="H365" s="4">
        <v>0</v>
      </c>
    </row>
    <row r="366" spans="1:8" x14ac:dyDescent="0.2">
      <c r="A366" s="2" t="s">
        <v>53</v>
      </c>
      <c r="B366" s="4">
        <v>55</v>
      </c>
      <c r="C366" s="5">
        <v>15.63</v>
      </c>
      <c r="D366" s="4">
        <v>50</v>
      </c>
      <c r="E366" s="5">
        <v>20</v>
      </c>
      <c r="F366" s="4">
        <v>5</v>
      </c>
      <c r="G366" s="5">
        <v>5.21</v>
      </c>
      <c r="H366" s="4">
        <v>0</v>
      </c>
    </row>
    <row r="367" spans="1:8" x14ac:dyDescent="0.2">
      <c r="A367" s="2" t="s">
        <v>54</v>
      </c>
      <c r="B367" s="4">
        <v>29</v>
      </c>
      <c r="C367" s="5">
        <v>8.24</v>
      </c>
      <c r="D367" s="4">
        <v>21</v>
      </c>
      <c r="E367" s="5">
        <v>8.4</v>
      </c>
      <c r="F367" s="4">
        <v>6</v>
      </c>
      <c r="G367" s="5">
        <v>6.25</v>
      </c>
      <c r="H367" s="4">
        <v>1</v>
      </c>
    </row>
    <row r="368" spans="1:8" x14ac:dyDescent="0.2">
      <c r="A368" s="2" t="s">
        <v>55</v>
      </c>
      <c r="B368" s="4">
        <v>6</v>
      </c>
      <c r="C368" s="5">
        <v>1.7</v>
      </c>
      <c r="D368" s="4">
        <v>3</v>
      </c>
      <c r="E368" s="5">
        <v>1.2</v>
      </c>
      <c r="F368" s="4">
        <v>3</v>
      </c>
      <c r="G368" s="5">
        <v>3.13</v>
      </c>
      <c r="H368" s="4">
        <v>0</v>
      </c>
    </row>
    <row r="369" spans="1:8" x14ac:dyDescent="0.2">
      <c r="A369" s="2" t="s">
        <v>56</v>
      </c>
      <c r="B369" s="4">
        <v>17</v>
      </c>
      <c r="C369" s="5">
        <v>4.83</v>
      </c>
      <c r="D369" s="4">
        <v>15</v>
      </c>
      <c r="E369" s="5">
        <v>6</v>
      </c>
      <c r="F369" s="4">
        <v>2</v>
      </c>
      <c r="G369" s="5">
        <v>2.08</v>
      </c>
      <c r="H369" s="4">
        <v>0</v>
      </c>
    </row>
    <row r="370" spans="1:8" x14ac:dyDescent="0.2">
      <c r="A370" s="1" t="s">
        <v>23</v>
      </c>
      <c r="B370" s="4">
        <v>701</v>
      </c>
      <c r="C370" s="5">
        <v>99.999999999999986</v>
      </c>
      <c r="D370" s="4">
        <v>372</v>
      </c>
      <c r="E370" s="5">
        <v>99.99</v>
      </c>
      <c r="F370" s="4">
        <v>307</v>
      </c>
      <c r="G370" s="5">
        <v>99.98</v>
      </c>
      <c r="H370" s="4">
        <v>3</v>
      </c>
    </row>
    <row r="371" spans="1:8" x14ac:dyDescent="0.2">
      <c r="A371" s="2" t="s">
        <v>42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2">
      <c r="A372" s="2" t="s">
        <v>43</v>
      </c>
      <c r="B372" s="4">
        <v>54</v>
      </c>
      <c r="C372" s="5">
        <v>7.7</v>
      </c>
      <c r="D372" s="4">
        <v>15</v>
      </c>
      <c r="E372" s="5">
        <v>4.03</v>
      </c>
      <c r="F372" s="4">
        <v>39</v>
      </c>
      <c r="G372" s="5">
        <v>12.7</v>
      </c>
      <c r="H372" s="4">
        <v>0</v>
      </c>
    </row>
    <row r="373" spans="1:8" x14ac:dyDescent="0.2">
      <c r="A373" s="2" t="s">
        <v>44</v>
      </c>
      <c r="B373" s="4">
        <v>13</v>
      </c>
      <c r="C373" s="5">
        <v>1.85</v>
      </c>
      <c r="D373" s="4">
        <v>5</v>
      </c>
      <c r="E373" s="5">
        <v>1.34</v>
      </c>
      <c r="F373" s="4">
        <v>8</v>
      </c>
      <c r="G373" s="5">
        <v>2.61</v>
      </c>
      <c r="H373" s="4">
        <v>0</v>
      </c>
    </row>
    <row r="374" spans="1:8" x14ac:dyDescent="0.2">
      <c r="A374" s="2" t="s">
        <v>45</v>
      </c>
      <c r="B374" s="4">
        <v>0</v>
      </c>
      <c r="C374" s="5">
        <v>0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2">
      <c r="A375" s="2" t="s">
        <v>46</v>
      </c>
      <c r="B375" s="4">
        <v>4</v>
      </c>
      <c r="C375" s="5">
        <v>0.56999999999999995</v>
      </c>
      <c r="D375" s="4">
        <v>1</v>
      </c>
      <c r="E375" s="5">
        <v>0.27</v>
      </c>
      <c r="F375" s="4">
        <v>3</v>
      </c>
      <c r="G375" s="5">
        <v>0.98</v>
      </c>
      <c r="H375" s="4">
        <v>0</v>
      </c>
    </row>
    <row r="376" spans="1:8" x14ac:dyDescent="0.2">
      <c r="A376" s="2" t="s">
        <v>47</v>
      </c>
      <c r="B376" s="4">
        <v>3</v>
      </c>
      <c r="C376" s="5">
        <v>0.43</v>
      </c>
      <c r="D376" s="4">
        <v>3</v>
      </c>
      <c r="E376" s="5">
        <v>0.81</v>
      </c>
      <c r="F376" s="4">
        <v>0</v>
      </c>
      <c r="G376" s="5">
        <v>0</v>
      </c>
      <c r="H376" s="4">
        <v>0</v>
      </c>
    </row>
    <row r="377" spans="1:8" x14ac:dyDescent="0.2">
      <c r="A377" s="2" t="s">
        <v>48</v>
      </c>
      <c r="B377" s="4">
        <v>163</v>
      </c>
      <c r="C377" s="5">
        <v>23.25</v>
      </c>
      <c r="D377" s="4">
        <v>88</v>
      </c>
      <c r="E377" s="5">
        <v>23.66</v>
      </c>
      <c r="F377" s="4">
        <v>74</v>
      </c>
      <c r="G377" s="5">
        <v>24.1</v>
      </c>
      <c r="H377" s="4">
        <v>1</v>
      </c>
    </row>
    <row r="378" spans="1:8" x14ac:dyDescent="0.2">
      <c r="A378" s="2" t="s">
        <v>49</v>
      </c>
      <c r="B378" s="4">
        <v>4</v>
      </c>
      <c r="C378" s="5">
        <v>0.56999999999999995</v>
      </c>
      <c r="D378" s="4">
        <v>0</v>
      </c>
      <c r="E378" s="5">
        <v>0</v>
      </c>
      <c r="F378" s="4">
        <v>4</v>
      </c>
      <c r="G378" s="5">
        <v>1.3</v>
      </c>
      <c r="H378" s="4">
        <v>0</v>
      </c>
    </row>
    <row r="379" spans="1:8" x14ac:dyDescent="0.2">
      <c r="A379" s="2" t="s">
        <v>50</v>
      </c>
      <c r="B379" s="4">
        <v>115</v>
      </c>
      <c r="C379" s="5">
        <v>16.41</v>
      </c>
      <c r="D379" s="4">
        <v>40</v>
      </c>
      <c r="E379" s="5">
        <v>10.75</v>
      </c>
      <c r="F379" s="4">
        <v>74</v>
      </c>
      <c r="G379" s="5">
        <v>24.1</v>
      </c>
      <c r="H379" s="4">
        <v>0</v>
      </c>
    </row>
    <row r="380" spans="1:8" x14ac:dyDescent="0.2">
      <c r="A380" s="2" t="s">
        <v>51</v>
      </c>
      <c r="B380" s="4">
        <v>30</v>
      </c>
      <c r="C380" s="5">
        <v>4.28</v>
      </c>
      <c r="D380" s="4">
        <v>16</v>
      </c>
      <c r="E380" s="5">
        <v>4.3</v>
      </c>
      <c r="F380" s="4">
        <v>13</v>
      </c>
      <c r="G380" s="5">
        <v>4.2300000000000004</v>
      </c>
      <c r="H380" s="4">
        <v>0</v>
      </c>
    </row>
    <row r="381" spans="1:8" x14ac:dyDescent="0.2">
      <c r="A381" s="2" t="s">
        <v>52</v>
      </c>
      <c r="B381" s="4">
        <v>108</v>
      </c>
      <c r="C381" s="5">
        <v>15.41</v>
      </c>
      <c r="D381" s="4">
        <v>65</v>
      </c>
      <c r="E381" s="5">
        <v>17.47</v>
      </c>
      <c r="F381" s="4">
        <v>43</v>
      </c>
      <c r="G381" s="5">
        <v>14.01</v>
      </c>
      <c r="H381" s="4">
        <v>0</v>
      </c>
    </row>
    <row r="382" spans="1:8" x14ac:dyDescent="0.2">
      <c r="A382" s="2" t="s">
        <v>53</v>
      </c>
      <c r="B382" s="4">
        <v>115</v>
      </c>
      <c r="C382" s="5">
        <v>16.41</v>
      </c>
      <c r="D382" s="4">
        <v>85</v>
      </c>
      <c r="E382" s="5">
        <v>22.85</v>
      </c>
      <c r="F382" s="4">
        <v>27</v>
      </c>
      <c r="G382" s="5">
        <v>8.7899999999999991</v>
      </c>
      <c r="H382" s="4">
        <v>2</v>
      </c>
    </row>
    <row r="383" spans="1:8" x14ac:dyDescent="0.2">
      <c r="A383" s="2" t="s">
        <v>54</v>
      </c>
      <c r="B383" s="4">
        <v>44</v>
      </c>
      <c r="C383" s="5">
        <v>6.28</v>
      </c>
      <c r="D383" s="4">
        <v>27</v>
      </c>
      <c r="E383" s="5">
        <v>7.26</v>
      </c>
      <c r="F383" s="4">
        <v>6</v>
      </c>
      <c r="G383" s="5">
        <v>1.95</v>
      </c>
      <c r="H383" s="4">
        <v>0</v>
      </c>
    </row>
    <row r="384" spans="1:8" x14ac:dyDescent="0.2">
      <c r="A384" s="2" t="s">
        <v>55</v>
      </c>
      <c r="B384" s="4">
        <v>28</v>
      </c>
      <c r="C384" s="5">
        <v>3.99</v>
      </c>
      <c r="D384" s="4">
        <v>14</v>
      </c>
      <c r="E384" s="5">
        <v>3.76</v>
      </c>
      <c r="F384" s="4">
        <v>9</v>
      </c>
      <c r="G384" s="5">
        <v>2.93</v>
      </c>
      <c r="H384" s="4">
        <v>0</v>
      </c>
    </row>
    <row r="385" spans="1:8" x14ac:dyDescent="0.2">
      <c r="A385" s="2" t="s">
        <v>56</v>
      </c>
      <c r="B385" s="4">
        <v>20</v>
      </c>
      <c r="C385" s="5">
        <v>2.85</v>
      </c>
      <c r="D385" s="4">
        <v>13</v>
      </c>
      <c r="E385" s="5">
        <v>3.49</v>
      </c>
      <c r="F385" s="4">
        <v>7</v>
      </c>
      <c r="G385" s="5">
        <v>2.2799999999999998</v>
      </c>
      <c r="H385" s="4">
        <v>0</v>
      </c>
    </row>
    <row r="386" spans="1:8" x14ac:dyDescent="0.2">
      <c r="A386" s="1" t="s">
        <v>24</v>
      </c>
      <c r="B386" s="4">
        <v>396</v>
      </c>
      <c r="C386" s="5">
        <v>99.999999999999986</v>
      </c>
      <c r="D386" s="4">
        <v>252</v>
      </c>
      <c r="E386" s="5">
        <v>100.02</v>
      </c>
      <c r="F386" s="4">
        <v>139</v>
      </c>
      <c r="G386" s="5">
        <v>100.00999999999999</v>
      </c>
      <c r="H386" s="4">
        <v>2</v>
      </c>
    </row>
    <row r="387" spans="1:8" x14ac:dyDescent="0.2">
      <c r="A387" s="2" t="s">
        <v>42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43</v>
      </c>
      <c r="B388" s="4">
        <v>30</v>
      </c>
      <c r="C388" s="5">
        <v>7.58</v>
      </c>
      <c r="D388" s="4">
        <v>15</v>
      </c>
      <c r="E388" s="5">
        <v>5.95</v>
      </c>
      <c r="F388" s="4">
        <v>15</v>
      </c>
      <c r="G388" s="5">
        <v>10.79</v>
      </c>
      <c r="H388" s="4">
        <v>0</v>
      </c>
    </row>
    <row r="389" spans="1:8" x14ac:dyDescent="0.2">
      <c r="A389" s="2" t="s">
        <v>44</v>
      </c>
      <c r="B389" s="4">
        <v>15</v>
      </c>
      <c r="C389" s="5">
        <v>3.79</v>
      </c>
      <c r="D389" s="4">
        <v>12</v>
      </c>
      <c r="E389" s="5">
        <v>4.76</v>
      </c>
      <c r="F389" s="4">
        <v>3</v>
      </c>
      <c r="G389" s="5">
        <v>2.16</v>
      </c>
      <c r="H389" s="4">
        <v>0</v>
      </c>
    </row>
    <row r="390" spans="1:8" x14ac:dyDescent="0.2">
      <c r="A390" s="2" t="s">
        <v>45</v>
      </c>
      <c r="B390" s="4">
        <v>0</v>
      </c>
      <c r="C390" s="5">
        <v>0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2">
      <c r="A391" s="2" t="s">
        <v>46</v>
      </c>
      <c r="B391" s="4">
        <v>4</v>
      </c>
      <c r="C391" s="5">
        <v>1.01</v>
      </c>
      <c r="D391" s="4">
        <v>1</v>
      </c>
      <c r="E391" s="5">
        <v>0.4</v>
      </c>
      <c r="F391" s="4">
        <v>2</v>
      </c>
      <c r="G391" s="5">
        <v>1.44</v>
      </c>
      <c r="H391" s="4">
        <v>1</v>
      </c>
    </row>
    <row r="392" spans="1:8" x14ac:dyDescent="0.2">
      <c r="A392" s="2" t="s">
        <v>47</v>
      </c>
      <c r="B392" s="4">
        <v>9</v>
      </c>
      <c r="C392" s="5">
        <v>2.27</v>
      </c>
      <c r="D392" s="4">
        <v>6</v>
      </c>
      <c r="E392" s="5">
        <v>2.38</v>
      </c>
      <c r="F392" s="4">
        <v>2</v>
      </c>
      <c r="G392" s="5">
        <v>1.44</v>
      </c>
      <c r="H392" s="4">
        <v>1</v>
      </c>
    </row>
    <row r="393" spans="1:8" x14ac:dyDescent="0.2">
      <c r="A393" s="2" t="s">
        <v>48</v>
      </c>
      <c r="B393" s="4">
        <v>116</v>
      </c>
      <c r="C393" s="5">
        <v>29.29</v>
      </c>
      <c r="D393" s="4">
        <v>69</v>
      </c>
      <c r="E393" s="5">
        <v>27.38</v>
      </c>
      <c r="F393" s="4">
        <v>47</v>
      </c>
      <c r="G393" s="5">
        <v>33.81</v>
      </c>
      <c r="H393" s="4">
        <v>0</v>
      </c>
    </row>
    <row r="394" spans="1:8" x14ac:dyDescent="0.2">
      <c r="A394" s="2" t="s">
        <v>49</v>
      </c>
      <c r="B394" s="4">
        <v>5</v>
      </c>
      <c r="C394" s="5">
        <v>1.26</v>
      </c>
      <c r="D394" s="4">
        <v>3</v>
      </c>
      <c r="E394" s="5">
        <v>1.19</v>
      </c>
      <c r="F394" s="4">
        <v>2</v>
      </c>
      <c r="G394" s="5">
        <v>1.44</v>
      </c>
      <c r="H394" s="4">
        <v>0</v>
      </c>
    </row>
    <row r="395" spans="1:8" x14ac:dyDescent="0.2">
      <c r="A395" s="2" t="s">
        <v>50</v>
      </c>
      <c r="B395" s="4">
        <v>44</v>
      </c>
      <c r="C395" s="5">
        <v>11.11</v>
      </c>
      <c r="D395" s="4">
        <v>11</v>
      </c>
      <c r="E395" s="5">
        <v>4.37</v>
      </c>
      <c r="F395" s="4">
        <v>33</v>
      </c>
      <c r="G395" s="5">
        <v>23.74</v>
      </c>
      <c r="H395" s="4">
        <v>0</v>
      </c>
    </row>
    <row r="396" spans="1:8" x14ac:dyDescent="0.2">
      <c r="A396" s="2" t="s">
        <v>51</v>
      </c>
      <c r="B396" s="4">
        <v>19</v>
      </c>
      <c r="C396" s="5">
        <v>4.8</v>
      </c>
      <c r="D396" s="4">
        <v>14</v>
      </c>
      <c r="E396" s="5">
        <v>5.56</v>
      </c>
      <c r="F396" s="4">
        <v>5</v>
      </c>
      <c r="G396" s="5">
        <v>3.6</v>
      </c>
      <c r="H396" s="4">
        <v>0</v>
      </c>
    </row>
    <row r="397" spans="1:8" x14ac:dyDescent="0.2">
      <c r="A397" s="2" t="s">
        <v>52</v>
      </c>
      <c r="B397" s="4">
        <v>43</v>
      </c>
      <c r="C397" s="5">
        <v>10.86</v>
      </c>
      <c r="D397" s="4">
        <v>32</v>
      </c>
      <c r="E397" s="5">
        <v>12.7</v>
      </c>
      <c r="F397" s="4">
        <v>11</v>
      </c>
      <c r="G397" s="5">
        <v>7.91</v>
      </c>
      <c r="H397" s="4">
        <v>0</v>
      </c>
    </row>
    <row r="398" spans="1:8" x14ac:dyDescent="0.2">
      <c r="A398" s="2" t="s">
        <v>53</v>
      </c>
      <c r="B398" s="4">
        <v>53</v>
      </c>
      <c r="C398" s="5">
        <v>13.38</v>
      </c>
      <c r="D398" s="4">
        <v>45</v>
      </c>
      <c r="E398" s="5">
        <v>17.86</v>
      </c>
      <c r="F398" s="4">
        <v>8</v>
      </c>
      <c r="G398" s="5">
        <v>5.76</v>
      </c>
      <c r="H398" s="4">
        <v>0</v>
      </c>
    </row>
    <row r="399" spans="1:8" x14ac:dyDescent="0.2">
      <c r="A399" s="2" t="s">
        <v>54</v>
      </c>
      <c r="B399" s="4">
        <v>18</v>
      </c>
      <c r="C399" s="5">
        <v>4.55</v>
      </c>
      <c r="D399" s="4">
        <v>17</v>
      </c>
      <c r="E399" s="5">
        <v>6.75</v>
      </c>
      <c r="F399" s="4">
        <v>1</v>
      </c>
      <c r="G399" s="5">
        <v>0.72</v>
      </c>
      <c r="H399" s="4">
        <v>0</v>
      </c>
    </row>
    <row r="400" spans="1:8" x14ac:dyDescent="0.2">
      <c r="A400" s="2" t="s">
        <v>55</v>
      </c>
      <c r="B400" s="4">
        <v>20</v>
      </c>
      <c r="C400" s="5">
        <v>5.05</v>
      </c>
      <c r="D400" s="4">
        <v>13</v>
      </c>
      <c r="E400" s="5">
        <v>5.16</v>
      </c>
      <c r="F400" s="4">
        <v>4</v>
      </c>
      <c r="G400" s="5">
        <v>2.88</v>
      </c>
      <c r="H400" s="4">
        <v>0</v>
      </c>
    </row>
    <row r="401" spans="1:8" x14ac:dyDescent="0.2">
      <c r="A401" s="2" t="s">
        <v>56</v>
      </c>
      <c r="B401" s="4">
        <v>20</v>
      </c>
      <c r="C401" s="5">
        <v>5.05</v>
      </c>
      <c r="D401" s="4">
        <v>14</v>
      </c>
      <c r="E401" s="5">
        <v>5.56</v>
      </c>
      <c r="F401" s="4">
        <v>6</v>
      </c>
      <c r="G401" s="5">
        <v>4.32</v>
      </c>
      <c r="H401" s="4">
        <v>0</v>
      </c>
    </row>
    <row r="402" spans="1:8" x14ac:dyDescent="0.2">
      <c r="A402" s="1" t="s">
        <v>25</v>
      </c>
      <c r="B402" s="4">
        <v>353</v>
      </c>
      <c r="C402" s="5">
        <v>100.01</v>
      </c>
      <c r="D402" s="4">
        <v>224</v>
      </c>
      <c r="E402" s="5">
        <v>99.999999999999986</v>
      </c>
      <c r="F402" s="4">
        <v>124</v>
      </c>
      <c r="G402" s="5">
        <v>100.01000000000002</v>
      </c>
      <c r="H402" s="4">
        <v>1</v>
      </c>
    </row>
    <row r="403" spans="1:8" x14ac:dyDescent="0.2">
      <c r="A403" s="2" t="s">
        <v>42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43</v>
      </c>
      <c r="B404" s="4">
        <v>81</v>
      </c>
      <c r="C404" s="5">
        <v>22.95</v>
      </c>
      <c r="D404" s="4">
        <v>30</v>
      </c>
      <c r="E404" s="5">
        <v>13.39</v>
      </c>
      <c r="F404" s="4">
        <v>51</v>
      </c>
      <c r="G404" s="5">
        <v>41.13</v>
      </c>
      <c r="H404" s="4">
        <v>0</v>
      </c>
    </row>
    <row r="405" spans="1:8" x14ac:dyDescent="0.2">
      <c r="A405" s="2" t="s">
        <v>44</v>
      </c>
      <c r="B405" s="4">
        <v>26</v>
      </c>
      <c r="C405" s="5">
        <v>7.37</v>
      </c>
      <c r="D405" s="4">
        <v>14</v>
      </c>
      <c r="E405" s="5">
        <v>6.25</v>
      </c>
      <c r="F405" s="4">
        <v>12</v>
      </c>
      <c r="G405" s="5">
        <v>9.68</v>
      </c>
      <c r="H405" s="4">
        <v>0</v>
      </c>
    </row>
    <row r="406" spans="1:8" x14ac:dyDescent="0.2">
      <c r="A406" s="2" t="s">
        <v>45</v>
      </c>
      <c r="B406" s="4">
        <v>0</v>
      </c>
      <c r="C406" s="5">
        <v>0</v>
      </c>
      <c r="D406" s="4">
        <v>0</v>
      </c>
      <c r="E406" s="5">
        <v>0</v>
      </c>
      <c r="F406" s="4">
        <v>0</v>
      </c>
      <c r="G406" s="5">
        <v>0</v>
      </c>
      <c r="H406" s="4">
        <v>0</v>
      </c>
    </row>
    <row r="407" spans="1:8" x14ac:dyDescent="0.2">
      <c r="A407" s="2" t="s">
        <v>46</v>
      </c>
      <c r="B407" s="4">
        <v>3</v>
      </c>
      <c r="C407" s="5">
        <v>0.85</v>
      </c>
      <c r="D407" s="4">
        <v>1</v>
      </c>
      <c r="E407" s="5">
        <v>0.45</v>
      </c>
      <c r="F407" s="4">
        <v>2</v>
      </c>
      <c r="G407" s="5">
        <v>1.61</v>
      </c>
      <c r="H407" s="4">
        <v>0</v>
      </c>
    </row>
    <row r="408" spans="1:8" x14ac:dyDescent="0.2">
      <c r="A408" s="2" t="s">
        <v>47</v>
      </c>
      <c r="B408" s="4">
        <v>7</v>
      </c>
      <c r="C408" s="5">
        <v>1.98</v>
      </c>
      <c r="D408" s="4">
        <v>5</v>
      </c>
      <c r="E408" s="5">
        <v>2.23</v>
      </c>
      <c r="F408" s="4">
        <v>2</v>
      </c>
      <c r="G408" s="5">
        <v>1.61</v>
      </c>
      <c r="H408" s="4">
        <v>0</v>
      </c>
    </row>
    <row r="409" spans="1:8" x14ac:dyDescent="0.2">
      <c r="A409" s="2" t="s">
        <v>48</v>
      </c>
      <c r="B409" s="4">
        <v>75</v>
      </c>
      <c r="C409" s="5">
        <v>21.25</v>
      </c>
      <c r="D409" s="4">
        <v>47</v>
      </c>
      <c r="E409" s="5">
        <v>20.98</v>
      </c>
      <c r="F409" s="4">
        <v>28</v>
      </c>
      <c r="G409" s="5">
        <v>22.58</v>
      </c>
      <c r="H409" s="4">
        <v>0</v>
      </c>
    </row>
    <row r="410" spans="1:8" x14ac:dyDescent="0.2">
      <c r="A410" s="2" t="s">
        <v>49</v>
      </c>
      <c r="B410" s="4">
        <v>1</v>
      </c>
      <c r="C410" s="5">
        <v>0.28000000000000003</v>
      </c>
      <c r="D410" s="4">
        <v>1</v>
      </c>
      <c r="E410" s="5">
        <v>0.45</v>
      </c>
      <c r="F410" s="4">
        <v>0</v>
      </c>
      <c r="G410" s="5">
        <v>0</v>
      </c>
      <c r="H410" s="4">
        <v>0</v>
      </c>
    </row>
    <row r="411" spans="1:8" x14ac:dyDescent="0.2">
      <c r="A411" s="2" t="s">
        <v>50</v>
      </c>
      <c r="B411" s="4">
        <v>30</v>
      </c>
      <c r="C411" s="5">
        <v>8.5</v>
      </c>
      <c r="D411" s="4">
        <v>19</v>
      </c>
      <c r="E411" s="5">
        <v>8.48</v>
      </c>
      <c r="F411" s="4">
        <v>11</v>
      </c>
      <c r="G411" s="5">
        <v>8.8699999999999992</v>
      </c>
      <c r="H411" s="4">
        <v>0</v>
      </c>
    </row>
    <row r="412" spans="1:8" x14ac:dyDescent="0.2">
      <c r="A412" s="2" t="s">
        <v>51</v>
      </c>
      <c r="B412" s="4">
        <v>15</v>
      </c>
      <c r="C412" s="5">
        <v>4.25</v>
      </c>
      <c r="D412" s="4">
        <v>11</v>
      </c>
      <c r="E412" s="5">
        <v>4.91</v>
      </c>
      <c r="F412" s="4">
        <v>4</v>
      </c>
      <c r="G412" s="5">
        <v>3.23</v>
      </c>
      <c r="H412" s="4">
        <v>0</v>
      </c>
    </row>
    <row r="413" spans="1:8" x14ac:dyDescent="0.2">
      <c r="A413" s="2" t="s">
        <v>52</v>
      </c>
      <c r="B413" s="4">
        <v>14</v>
      </c>
      <c r="C413" s="5">
        <v>3.97</v>
      </c>
      <c r="D413" s="4">
        <v>13</v>
      </c>
      <c r="E413" s="5">
        <v>5.8</v>
      </c>
      <c r="F413" s="4">
        <v>1</v>
      </c>
      <c r="G413" s="5">
        <v>0.81</v>
      </c>
      <c r="H413" s="4">
        <v>0</v>
      </c>
    </row>
    <row r="414" spans="1:8" x14ac:dyDescent="0.2">
      <c r="A414" s="2" t="s">
        <v>53</v>
      </c>
      <c r="B414" s="4">
        <v>34</v>
      </c>
      <c r="C414" s="5">
        <v>9.6300000000000008</v>
      </c>
      <c r="D414" s="4">
        <v>27</v>
      </c>
      <c r="E414" s="5">
        <v>12.05</v>
      </c>
      <c r="F414" s="4">
        <v>6</v>
      </c>
      <c r="G414" s="5">
        <v>4.84</v>
      </c>
      <c r="H414" s="4">
        <v>0</v>
      </c>
    </row>
    <row r="415" spans="1:8" x14ac:dyDescent="0.2">
      <c r="A415" s="2" t="s">
        <v>54</v>
      </c>
      <c r="B415" s="4">
        <v>15</v>
      </c>
      <c r="C415" s="5">
        <v>4.25</v>
      </c>
      <c r="D415" s="4">
        <v>14</v>
      </c>
      <c r="E415" s="5">
        <v>6.25</v>
      </c>
      <c r="F415" s="4">
        <v>1</v>
      </c>
      <c r="G415" s="5">
        <v>0.81</v>
      </c>
      <c r="H415" s="4">
        <v>0</v>
      </c>
    </row>
    <row r="416" spans="1:8" x14ac:dyDescent="0.2">
      <c r="A416" s="2" t="s">
        <v>55</v>
      </c>
      <c r="B416" s="4">
        <v>15</v>
      </c>
      <c r="C416" s="5">
        <v>4.25</v>
      </c>
      <c r="D416" s="4">
        <v>7</v>
      </c>
      <c r="E416" s="5">
        <v>3.13</v>
      </c>
      <c r="F416" s="4">
        <v>6</v>
      </c>
      <c r="G416" s="5">
        <v>4.84</v>
      </c>
      <c r="H416" s="4">
        <v>0</v>
      </c>
    </row>
    <row r="417" spans="1:8" x14ac:dyDescent="0.2">
      <c r="A417" s="2" t="s">
        <v>56</v>
      </c>
      <c r="B417" s="4">
        <v>37</v>
      </c>
      <c r="C417" s="5">
        <v>10.48</v>
      </c>
      <c r="D417" s="4">
        <v>35</v>
      </c>
      <c r="E417" s="5">
        <v>15.63</v>
      </c>
      <c r="F417" s="4">
        <v>0</v>
      </c>
      <c r="G417" s="5">
        <v>0</v>
      </c>
      <c r="H417" s="4">
        <v>1</v>
      </c>
    </row>
    <row r="418" spans="1:8" x14ac:dyDescent="0.2">
      <c r="A418" s="1" t="s">
        <v>26</v>
      </c>
      <c r="B418" s="4">
        <v>755</v>
      </c>
      <c r="C418" s="5">
        <v>100.01</v>
      </c>
      <c r="D418" s="4">
        <v>457</v>
      </c>
      <c r="E418" s="5">
        <v>100.00999999999999</v>
      </c>
      <c r="F418" s="4">
        <v>286</v>
      </c>
      <c r="G418" s="5">
        <v>100.03</v>
      </c>
      <c r="H418" s="4">
        <v>4</v>
      </c>
    </row>
    <row r="419" spans="1:8" x14ac:dyDescent="0.2">
      <c r="A419" s="2" t="s">
        <v>42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2">
      <c r="A420" s="2" t="s">
        <v>43</v>
      </c>
      <c r="B420" s="4">
        <v>121</v>
      </c>
      <c r="C420" s="5">
        <v>16.03</v>
      </c>
      <c r="D420" s="4">
        <v>53</v>
      </c>
      <c r="E420" s="5">
        <v>11.6</v>
      </c>
      <c r="F420" s="4">
        <v>68</v>
      </c>
      <c r="G420" s="5">
        <v>23.78</v>
      </c>
      <c r="H420" s="4">
        <v>0</v>
      </c>
    </row>
    <row r="421" spans="1:8" x14ac:dyDescent="0.2">
      <c r="A421" s="2" t="s">
        <v>44</v>
      </c>
      <c r="B421" s="4">
        <v>68</v>
      </c>
      <c r="C421" s="5">
        <v>9.01</v>
      </c>
      <c r="D421" s="4">
        <v>29</v>
      </c>
      <c r="E421" s="5">
        <v>6.35</v>
      </c>
      <c r="F421" s="4">
        <v>39</v>
      </c>
      <c r="G421" s="5">
        <v>13.64</v>
      </c>
      <c r="H421" s="4">
        <v>0</v>
      </c>
    </row>
    <row r="422" spans="1:8" x14ac:dyDescent="0.2">
      <c r="A422" s="2" t="s">
        <v>45</v>
      </c>
      <c r="B422" s="4">
        <v>3</v>
      </c>
      <c r="C422" s="5">
        <v>0.4</v>
      </c>
      <c r="D422" s="4">
        <v>0</v>
      </c>
      <c r="E422" s="5">
        <v>0</v>
      </c>
      <c r="F422" s="4">
        <v>2</v>
      </c>
      <c r="G422" s="5">
        <v>0.7</v>
      </c>
      <c r="H422" s="4">
        <v>0</v>
      </c>
    </row>
    <row r="423" spans="1:8" x14ac:dyDescent="0.2">
      <c r="A423" s="2" t="s">
        <v>46</v>
      </c>
      <c r="B423" s="4">
        <v>5</v>
      </c>
      <c r="C423" s="5">
        <v>0.66</v>
      </c>
      <c r="D423" s="4">
        <v>0</v>
      </c>
      <c r="E423" s="5">
        <v>0</v>
      </c>
      <c r="F423" s="4">
        <v>5</v>
      </c>
      <c r="G423" s="5">
        <v>1.75</v>
      </c>
      <c r="H423" s="4">
        <v>0</v>
      </c>
    </row>
    <row r="424" spans="1:8" x14ac:dyDescent="0.2">
      <c r="A424" s="2" t="s">
        <v>47</v>
      </c>
      <c r="B424" s="4">
        <v>9</v>
      </c>
      <c r="C424" s="5">
        <v>1.19</v>
      </c>
      <c r="D424" s="4">
        <v>4</v>
      </c>
      <c r="E424" s="5">
        <v>0.88</v>
      </c>
      <c r="F424" s="4">
        <v>5</v>
      </c>
      <c r="G424" s="5">
        <v>1.75</v>
      </c>
      <c r="H424" s="4">
        <v>0</v>
      </c>
    </row>
    <row r="425" spans="1:8" x14ac:dyDescent="0.2">
      <c r="A425" s="2" t="s">
        <v>48</v>
      </c>
      <c r="B425" s="4">
        <v>162</v>
      </c>
      <c r="C425" s="5">
        <v>21.46</v>
      </c>
      <c r="D425" s="4">
        <v>100</v>
      </c>
      <c r="E425" s="5">
        <v>21.88</v>
      </c>
      <c r="F425" s="4">
        <v>62</v>
      </c>
      <c r="G425" s="5">
        <v>21.68</v>
      </c>
      <c r="H425" s="4">
        <v>0</v>
      </c>
    </row>
    <row r="426" spans="1:8" x14ac:dyDescent="0.2">
      <c r="A426" s="2" t="s">
        <v>49</v>
      </c>
      <c r="B426" s="4">
        <v>4</v>
      </c>
      <c r="C426" s="5">
        <v>0.53</v>
      </c>
      <c r="D426" s="4">
        <v>2</v>
      </c>
      <c r="E426" s="5">
        <v>0.44</v>
      </c>
      <c r="F426" s="4">
        <v>2</v>
      </c>
      <c r="G426" s="5">
        <v>0.7</v>
      </c>
      <c r="H426" s="4">
        <v>0</v>
      </c>
    </row>
    <row r="427" spans="1:8" x14ac:dyDescent="0.2">
      <c r="A427" s="2" t="s">
        <v>50</v>
      </c>
      <c r="B427" s="4">
        <v>54</v>
      </c>
      <c r="C427" s="5">
        <v>7.15</v>
      </c>
      <c r="D427" s="4">
        <v>15</v>
      </c>
      <c r="E427" s="5">
        <v>3.28</v>
      </c>
      <c r="F427" s="4">
        <v>39</v>
      </c>
      <c r="G427" s="5">
        <v>13.64</v>
      </c>
      <c r="H427" s="4">
        <v>0</v>
      </c>
    </row>
    <row r="428" spans="1:8" x14ac:dyDescent="0.2">
      <c r="A428" s="2" t="s">
        <v>51</v>
      </c>
      <c r="B428" s="4">
        <v>32</v>
      </c>
      <c r="C428" s="5">
        <v>4.24</v>
      </c>
      <c r="D428" s="4">
        <v>16</v>
      </c>
      <c r="E428" s="5">
        <v>3.5</v>
      </c>
      <c r="F428" s="4">
        <v>14</v>
      </c>
      <c r="G428" s="5">
        <v>4.9000000000000004</v>
      </c>
      <c r="H428" s="4">
        <v>2</v>
      </c>
    </row>
    <row r="429" spans="1:8" x14ac:dyDescent="0.2">
      <c r="A429" s="2" t="s">
        <v>52</v>
      </c>
      <c r="B429" s="4">
        <v>76</v>
      </c>
      <c r="C429" s="5">
        <v>10.07</v>
      </c>
      <c r="D429" s="4">
        <v>68</v>
      </c>
      <c r="E429" s="5">
        <v>14.88</v>
      </c>
      <c r="F429" s="4">
        <v>8</v>
      </c>
      <c r="G429" s="5">
        <v>2.8</v>
      </c>
      <c r="H429" s="4">
        <v>0</v>
      </c>
    </row>
    <row r="430" spans="1:8" x14ac:dyDescent="0.2">
      <c r="A430" s="2" t="s">
        <v>53</v>
      </c>
      <c r="B430" s="4">
        <v>81</v>
      </c>
      <c r="C430" s="5">
        <v>10.73</v>
      </c>
      <c r="D430" s="4">
        <v>67</v>
      </c>
      <c r="E430" s="5">
        <v>14.66</v>
      </c>
      <c r="F430" s="4">
        <v>12</v>
      </c>
      <c r="G430" s="5">
        <v>4.2</v>
      </c>
      <c r="H430" s="4">
        <v>0</v>
      </c>
    </row>
    <row r="431" spans="1:8" x14ac:dyDescent="0.2">
      <c r="A431" s="2" t="s">
        <v>54</v>
      </c>
      <c r="B431" s="4">
        <v>55</v>
      </c>
      <c r="C431" s="5">
        <v>7.28</v>
      </c>
      <c r="D431" s="4">
        <v>53</v>
      </c>
      <c r="E431" s="5">
        <v>11.6</v>
      </c>
      <c r="F431" s="4">
        <v>1</v>
      </c>
      <c r="G431" s="5">
        <v>0.35</v>
      </c>
      <c r="H431" s="4">
        <v>0</v>
      </c>
    </row>
    <row r="432" spans="1:8" x14ac:dyDescent="0.2">
      <c r="A432" s="2" t="s">
        <v>55</v>
      </c>
      <c r="B432" s="4">
        <v>28</v>
      </c>
      <c r="C432" s="5">
        <v>3.71</v>
      </c>
      <c r="D432" s="4">
        <v>13</v>
      </c>
      <c r="E432" s="5">
        <v>2.84</v>
      </c>
      <c r="F432" s="4">
        <v>11</v>
      </c>
      <c r="G432" s="5">
        <v>3.85</v>
      </c>
      <c r="H432" s="4">
        <v>0</v>
      </c>
    </row>
    <row r="433" spans="1:8" x14ac:dyDescent="0.2">
      <c r="A433" s="2" t="s">
        <v>56</v>
      </c>
      <c r="B433" s="4">
        <v>57</v>
      </c>
      <c r="C433" s="5">
        <v>7.55</v>
      </c>
      <c r="D433" s="4">
        <v>37</v>
      </c>
      <c r="E433" s="5">
        <v>8.1</v>
      </c>
      <c r="F433" s="4">
        <v>18</v>
      </c>
      <c r="G433" s="5">
        <v>6.29</v>
      </c>
      <c r="H433" s="4">
        <v>2</v>
      </c>
    </row>
    <row r="434" spans="1:8" x14ac:dyDescent="0.2">
      <c r="A434" s="1" t="s">
        <v>27</v>
      </c>
      <c r="B434" s="4">
        <v>420</v>
      </c>
      <c r="C434" s="5">
        <v>100</v>
      </c>
      <c r="D434" s="4">
        <v>275</v>
      </c>
      <c r="E434" s="5">
        <v>100</v>
      </c>
      <c r="F434" s="4">
        <v>139</v>
      </c>
      <c r="G434" s="5">
        <v>100.00999999999999</v>
      </c>
      <c r="H434" s="4">
        <v>0</v>
      </c>
    </row>
    <row r="435" spans="1:8" x14ac:dyDescent="0.2">
      <c r="A435" s="2" t="s">
        <v>42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2">
      <c r="A436" s="2" t="s">
        <v>43</v>
      </c>
      <c r="B436" s="4">
        <v>39</v>
      </c>
      <c r="C436" s="5">
        <v>9.2899999999999991</v>
      </c>
      <c r="D436" s="4">
        <v>16</v>
      </c>
      <c r="E436" s="5">
        <v>5.82</v>
      </c>
      <c r="F436" s="4">
        <v>23</v>
      </c>
      <c r="G436" s="5">
        <v>16.55</v>
      </c>
      <c r="H436" s="4">
        <v>0</v>
      </c>
    </row>
    <row r="437" spans="1:8" x14ac:dyDescent="0.2">
      <c r="A437" s="2" t="s">
        <v>44</v>
      </c>
      <c r="B437" s="4">
        <v>19</v>
      </c>
      <c r="C437" s="5">
        <v>4.5199999999999996</v>
      </c>
      <c r="D437" s="4">
        <v>12</v>
      </c>
      <c r="E437" s="5">
        <v>4.3600000000000003</v>
      </c>
      <c r="F437" s="4">
        <v>7</v>
      </c>
      <c r="G437" s="5">
        <v>5.04</v>
      </c>
      <c r="H437" s="4">
        <v>0</v>
      </c>
    </row>
    <row r="438" spans="1:8" x14ac:dyDescent="0.2">
      <c r="A438" s="2" t="s">
        <v>45</v>
      </c>
      <c r="B438" s="4">
        <v>0</v>
      </c>
      <c r="C438" s="5">
        <v>0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2">
      <c r="A439" s="2" t="s">
        <v>46</v>
      </c>
      <c r="B439" s="4">
        <v>4</v>
      </c>
      <c r="C439" s="5">
        <v>0.95</v>
      </c>
      <c r="D439" s="4">
        <v>1</v>
      </c>
      <c r="E439" s="5">
        <v>0.36</v>
      </c>
      <c r="F439" s="4">
        <v>3</v>
      </c>
      <c r="G439" s="5">
        <v>2.16</v>
      </c>
      <c r="H439" s="4">
        <v>0</v>
      </c>
    </row>
    <row r="440" spans="1:8" x14ac:dyDescent="0.2">
      <c r="A440" s="2" t="s">
        <v>47</v>
      </c>
      <c r="B440" s="4">
        <v>0</v>
      </c>
      <c r="C440" s="5">
        <v>0</v>
      </c>
      <c r="D440" s="4">
        <v>0</v>
      </c>
      <c r="E440" s="5">
        <v>0</v>
      </c>
      <c r="F440" s="4">
        <v>0</v>
      </c>
      <c r="G440" s="5">
        <v>0</v>
      </c>
      <c r="H440" s="4">
        <v>0</v>
      </c>
    </row>
    <row r="441" spans="1:8" x14ac:dyDescent="0.2">
      <c r="A441" s="2" t="s">
        <v>48</v>
      </c>
      <c r="B441" s="4">
        <v>97</v>
      </c>
      <c r="C441" s="5">
        <v>23.1</v>
      </c>
      <c r="D441" s="4">
        <v>51</v>
      </c>
      <c r="E441" s="5">
        <v>18.55</v>
      </c>
      <c r="F441" s="4">
        <v>46</v>
      </c>
      <c r="G441" s="5">
        <v>33.090000000000003</v>
      </c>
      <c r="H441" s="4">
        <v>0</v>
      </c>
    </row>
    <row r="442" spans="1:8" x14ac:dyDescent="0.2">
      <c r="A442" s="2" t="s">
        <v>49</v>
      </c>
      <c r="B442" s="4">
        <v>4</v>
      </c>
      <c r="C442" s="5">
        <v>0.95</v>
      </c>
      <c r="D442" s="4">
        <v>2</v>
      </c>
      <c r="E442" s="5">
        <v>0.73</v>
      </c>
      <c r="F442" s="4">
        <v>2</v>
      </c>
      <c r="G442" s="5">
        <v>1.44</v>
      </c>
      <c r="H442" s="4">
        <v>0</v>
      </c>
    </row>
    <row r="443" spans="1:8" x14ac:dyDescent="0.2">
      <c r="A443" s="2" t="s">
        <v>50</v>
      </c>
      <c r="B443" s="4">
        <v>43</v>
      </c>
      <c r="C443" s="5">
        <v>10.24</v>
      </c>
      <c r="D443" s="4">
        <v>22</v>
      </c>
      <c r="E443" s="5">
        <v>8</v>
      </c>
      <c r="F443" s="4">
        <v>21</v>
      </c>
      <c r="G443" s="5">
        <v>15.11</v>
      </c>
      <c r="H443" s="4">
        <v>0</v>
      </c>
    </row>
    <row r="444" spans="1:8" x14ac:dyDescent="0.2">
      <c r="A444" s="2" t="s">
        <v>51</v>
      </c>
      <c r="B444" s="4">
        <v>20</v>
      </c>
      <c r="C444" s="5">
        <v>4.76</v>
      </c>
      <c r="D444" s="4">
        <v>13</v>
      </c>
      <c r="E444" s="5">
        <v>4.7300000000000004</v>
      </c>
      <c r="F444" s="4">
        <v>6</v>
      </c>
      <c r="G444" s="5">
        <v>4.32</v>
      </c>
      <c r="H444" s="4">
        <v>0</v>
      </c>
    </row>
    <row r="445" spans="1:8" x14ac:dyDescent="0.2">
      <c r="A445" s="2" t="s">
        <v>52</v>
      </c>
      <c r="B445" s="4">
        <v>70</v>
      </c>
      <c r="C445" s="5">
        <v>16.670000000000002</v>
      </c>
      <c r="D445" s="4">
        <v>67</v>
      </c>
      <c r="E445" s="5">
        <v>24.36</v>
      </c>
      <c r="F445" s="4">
        <v>3</v>
      </c>
      <c r="G445" s="5">
        <v>2.16</v>
      </c>
      <c r="H445" s="4">
        <v>0</v>
      </c>
    </row>
    <row r="446" spans="1:8" x14ac:dyDescent="0.2">
      <c r="A446" s="2" t="s">
        <v>53</v>
      </c>
      <c r="B446" s="4">
        <v>49</v>
      </c>
      <c r="C446" s="5">
        <v>11.67</v>
      </c>
      <c r="D446" s="4">
        <v>40</v>
      </c>
      <c r="E446" s="5">
        <v>14.55</v>
      </c>
      <c r="F446" s="4">
        <v>9</v>
      </c>
      <c r="G446" s="5">
        <v>6.47</v>
      </c>
      <c r="H446" s="4">
        <v>0</v>
      </c>
    </row>
    <row r="447" spans="1:8" x14ac:dyDescent="0.2">
      <c r="A447" s="2" t="s">
        <v>54</v>
      </c>
      <c r="B447" s="4">
        <v>31</v>
      </c>
      <c r="C447" s="5">
        <v>7.38</v>
      </c>
      <c r="D447" s="4">
        <v>26</v>
      </c>
      <c r="E447" s="5">
        <v>9.4499999999999993</v>
      </c>
      <c r="F447" s="4">
        <v>2</v>
      </c>
      <c r="G447" s="5">
        <v>1.44</v>
      </c>
      <c r="H447" s="4">
        <v>0</v>
      </c>
    </row>
    <row r="448" spans="1:8" x14ac:dyDescent="0.2">
      <c r="A448" s="2" t="s">
        <v>55</v>
      </c>
      <c r="B448" s="4">
        <v>24</v>
      </c>
      <c r="C448" s="5">
        <v>5.71</v>
      </c>
      <c r="D448" s="4">
        <v>11</v>
      </c>
      <c r="E448" s="5">
        <v>4</v>
      </c>
      <c r="F448" s="4">
        <v>11</v>
      </c>
      <c r="G448" s="5">
        <v>7.91</v>
      </c>
      <c r="H448" s="4">
        <v>0</v>
      </c>
    </row>
    <row r="449" spans="1:8" x14ac:dyDescent="0.2">
      <c r="A449" s="2" t="s">
        <v>56</v>
      </c>
      <c r="B449" s="4">
        <v>20</v>
      </c>
      <c r="C449" s="5">
        <v>4.76</v>
      </c>
      <c r="D449" s="4">
        <v>14</v>
      </c>
      <c r="E449" s="5">
        <v>5.09</v>
      </c>
      <c r="F449" s="4">
        <v>6</v>
      </c>
      <c r="G449" s="5">
        <v>4.32</v>
      </c>
      <c r="H449" s="4">
        <v>0</v>
      </c>
    </row>
    <row r="450" spans="1:8" x14ac:dyDescent="0.2">
      <c r="A450" s="1" t="s">
        <v>28</v>
      </c>
      <c r="B450" s="4">
        <v>898</v>
      </c>
      <c r="C450" s="5">
        <v>100.00000000000001</v>
      </c>
      <c r="D450" s="4">
        <v>585</v>
      </c>
      <c r="E450" s="5">
        <v>99.98</v>
      </c>
      <c r="F450" s="4">
        <v>303</v>
      </c>
      <c r="G450" s="5">
        <v>99.990000000000009</v>
      </c>
      <c r="H450" s="4">
        <v>4</v>
      </c>
    </row>
    <row r="451" spans="1:8" x14ac:dyDescent="0.2">
      <c r="A451" s="2" t="s">
        <v>42</v>
      </c>
      <c r="B451" s="4">
        <v>1</v>
      </c>
      <c r="C451" s="5">
        <v>0.11</v>
      </c>
      <c r="D451" s="4">
        <v>1</v>
      </c>
      <c r="E451" s="5">
        <v>0.17</v>
      </c>
      <c r="F451" s="4">
        <v>0</v>
      </c>
      <c r="G451" s="5">
        <v>0</v>
      </c>
      <c r="H451" s="4">
        <v>0</v>
      </c>
    </row>
    <row r="452" spans="1:8" x14ac:dyDescent="0.2">
      <c r="A452" s="2" t="s">
        <v>43</v>
      </c>
      <c r="B452" s="4">
        <v>105</v>
      </c>
      <c r="C452" s="5">
        <v>11.69</v>
      </c>
      <c r="D452" s="4">
        <v>35</v>
      </c>
      <c r="E452" s="5">
        <v>5.98</v>
      </c>
      <c r="F452" s="4">
        <v>70</v>
      </c>
      <c r="G452" s="5">
        <v>23.1</v>
      </c>
      <c r="H452" s="4">
        <v>0</v>
      </c>
    </row>
    <row r="453" spans="1:8" x14ac:dyDescent="0.2">
      <c r="A453" s="2" t="s">
        <v>44</v>
      </c>
      <c r="B453" s="4">
        <v>72</v>
      </c>
      <c r="C453" s="5">
        <v>8.02</v>
      </c>
      <c r="D453" s="4">
        <v>55</v>
      </c>
      <c r="E453" s="5">
        <v>9.4</v>
      </c>
      <c r="F453" s="4">
        <v>17</v>
      </c>
      <c r="G453" s="5">
        <v>5.61</v>
      </c>
      <c r="H453" s="4">
        <v>0</v>
      </c>
    </row>
    <row r="454" spans="1:8" x14ac:dyDescent="0.2">
      <c r="A454" s="2" t="s">
        <v>45</v>
      </c>
      <c r="B454" s="4">
        <v>0</v>
      </c>
      <c r="C454" s="5">
        <v>0</v>
      </c>
      <c r="D454" s="4">
        <v>0</v>
      </c>
      <c r="E454" s="5">
        <v>0</v>
      </c>
      <c r="F454" s="4">
        <v>0</v>
      </c>
      <c r="G454" s="5">
        <v>0</v>
      </c>
      <c r="H454" s="4">
        <v>0</v>
      </c>
    </row>
    <row r="455" spans="1:8" x14ac:dyDescent="0.2">
      <c r="A455" s="2" t="s">
        <v>46</v>
      </c>
      <c r="B455" s="4">
        <v>3</v>
      </c>
      <c r="C455" s="5">
        <v>0.33</v>
      </c>
      <c r="D455" s="4">
        <v>1</v>
      </c>
      <c r="E455" s="5">
        <v>0.17</v>
      </c>
      <c r="F455" s="4">
        <v>2</v>
      </c>
      <c r="G455" s="5">
        <v>0.66</v>
      </c>
      <c r="H455" s="4">
        <v>0</v>
      </c>
    </row>
    <row r="456" spans="1:8" x14ac:dyDescent="0.2">
      <c r="A456" s="2" t="s">
        <v>47</v>
      </c>
      <c r="B456" s="4">
        <v>6</v>
      </c>
      <c r="C456" s="5">
        <v>0.67</v>
      </c>
      <c r="D456" s="4">
        <v>5</v>
      </c>
      <c r="E456" s="5">
        <v>0.85</v>
      </c>
      <c r="F456" s="4">
        <v>1</v>
      </c>
      <c r="G456" s="5">
        <v>0.33</v>
      </c>
      <c r="H456" s="4">
        <v>0</v>
      </c>
    </row>
    <row r="457" spans="1:8" x14ac:dyDescent="0.2">
      <c r="A457" s="2" t="s">
        <v>48</v>
      </c>
      <c r="B457" s="4">
        <v>145</v>
      </c>
      <c r="C457" s="5">
        <v>16.149999999999999</v>
      </c>
      <c r="D457" s="4">
        <v>79</v>
      </c>
      <c r="E457" s="5">
        <v>13.5</v>
      </c>
      <c r="F457" s="4">
        <v>66</v>
      </c>
      <c r="G457" s="5">
        <v>21.78</v>
      </c>
      <c r="H457" s="4">
        <v>0</v>
      </c>
    </row>
    <row r="458" spans="1:8" x14ac:dyDescent="0.2">
      <c r="A458" s="2" t="s">
        <v>49</v>
      </c>
      <c r="B458" s="4">
        <v>7</v>
      </c>
      <c r="C458" s="5">
        <v>0.78</v>
      </c>
      <c r="D458" s="4">
        <v>2</v>
      </c>
      <c r="E458" s="5">
        <v>0.34</v>
      </c>
      <c r="F458" s="4">
        <v>5</v>
      </c>
      <c r="G458" s="5">
        <v>1.65</v>
      </c>
      <c r="H458" s="4">
        <v>0</v>
      </c>
    </row>
    <row r="459" spans="1:8" x14ac:dyDescent="0.2">
      <c r="A459" s="2" t="s">
        <v>50</v>
      </c>
      <c r="B459" s="4">
        <v>212</v>
      </c>
      <c r="C459" s="5">
        <v>23.61</v>
      </c>
      <c r="D459" s="4">
        <v>151</v>
      </c>
      <c r="E459" s="5">
        <v>25.81</v>
      </c>
      <c r="F459" s="4">
        <v>61</v>
      </c>
      <c r="G459" s="5">
        <v>20.13</v>
      </c>
      <c r="H459" s="4">
        <v>0</v>
      </c>
    </row>
    <row r="460" spans="1:8" x14ac:dyDescent="0.2">
      <c r="A460" s="2" t="s">
        <v>51</v>
      </c>
      <c r="B460" s="4">
        <v>38</v>
      </c>
      <c r="C460" s="5">
        <v>4.2300000000000004</v>
      </c>
      <c r="D460" s="4">
        <v>23</v>
      </c>
      <c r="E460" s="5">
        <v>3.93</v>
      </c>
      <c r="F460" s="4">
        <v>15</v>
      </c>
      <c r="G460" s="5">
        <v>4.95</v>
      </c>
      <c r="H460" s="4">
        <v>0</v>
      </c>
    </row>
    <row r="461" spans="1:8" x14ac:dyDescent="0.2">
      <c r="A461" s="2" t="s">
        <v>52</v>
      </c>
      <c r="B461" s="4">
        <v>74</v>
      </c>
      <c r="C461" s="5">
        <v>8.24</v>
      </c>
      <c r="D461" s="4">
        <v>64</v>
      </c>
      <c r="E461" s="5">
        <v>10.94</v>
      </c>
      <c r="F461" s="4">
        <v>10</v>
      </c>
      <c r="G461" s="5">
        <v>3.3</v>
      </c>
      <c r="H461" s="4">
        <v>0</v>
      </c>
    </row>
    <row r="462" spans="1:8" x14ac:dyDescent="0.2">
      <c r="A462" s="2" t="s">
        <v>53</v>
      </c>
      <c r="B462" s="4">
        <v>110</v>
      </c>
      <c r="C462" s="5">
        <v>12.25</v>
      </c>
      <c r="D462" s="4">
        <v>85</v>
      </c>
      <c r="E462" s="5">
        <v>14.53</v>
      </c>
      <c r="F462" s="4">
        <v>25</v>
      </c>
      <c r="G462" s="5">
        <v>8.25</v>
      </c>
      <c r="H462" s="4">
        <v>0</v>
      </c>
    </row>
    <row r="463" spans="1:8" x14ac:dyDescent="0.2">
      <c r="A463" s="2" t="s">
        <v>54</v>
      </c>
      <c r="B463" s="4">
        <v>59</v>
      </c>
      <c r="C463" s="5">
        <v>6.57</v>
      </c>
      <c r="D463" s="4">
        <v>53</v>
      </c>
      <c r="E463" s="5">
        <v>9.06</v>
      </c>
      <c r="F463" s="4">
        <v>5</v>
      </c>
      <c r="G463" s="5">
        <v>1.65</v>
      </c>
      <c r="H463" s="4">
        <v>0</v>
      </c>
    </row>
    <row r="464" spans="1:8" x14ac:dyDescent="0.2">
      <c r="A464" s="2" t="s">
        <v>55</v>
      </c>
      <c r="B464" s="4">
        <v>35</v>
      </c>
      <c r="C464" s="5">
        <v>3.9</v>
      </c>
      <c r="D464" s="4">
        <v>15</v>
      </c>
      <c r="E464" s="5">
        <v>2.56</v>
      </c>
      <c r="F464" s="4">
        <v>16</v>
      </c>
      <c r="G464" s="5">
        <v>5.28</v>
      </c>
      <c r="H464" s="4">
        <v>0</v>
      </c>
    </row>
    <row r="465" spans="1:8" x14ac:dyDescent="0.2">
      <c r="A465" s="2" t="s">
        <v>56</v>
      </c>
      <c r="B465" s="4">
        <v>31</v>
      </c>
      <c r="C465" s="5">
        <v>3.45</v>
      </c>
      <c r="D465" s="4">
        <v>16</v>
      </c>
      <c r="E465" s="5">
        <v>2.74</v>
      </c>
      <c r="F465" s="4">
        <v>10</v>
      </c>
      <c r="G465" s="5">
        <v>3.3</v>
      </c>
      <c r="H465" s="4">
        <v>4</v>
      </c>
    </row>
    <row r="466" spans="1:8" x14ac:dyDescent="0.2">
      <c r="A466" s="1" t="s">
        <v>29</v>
      </c>
      <c r="B466" s="4">
        <v>71</v>
      </c>
      <c r="C466" s="5">
        <v>100</v>
      </c>
      <c r="D466" s="4">
        <v>53</v>
      </c>
      <c r="E466" s="5">
        <v>100.01</v>
      </c>
      <c r="F466" s="4">
        <v>12</v>
      </c>
      <c r="G466" s="5">
        <v>100</v>
      </c>
      <c r="H466" s="4">
        <v>0</v>
      </c>
    </row>
    <row r="467" spans="1:8" x14ac:dyDescent="0.2">
      <c r="A467" s="2" t="s">
        <v>42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2">
      <c r="A468" s="2" t="s">
        <v>43</v>
      </c>
      <c r="B468" s="4">
        <v>4</v>
      </c>
      <c r="C468" s="5">
        <v>5.63</v>
      </c>
      <c r="D468" s="4">
        <v>3</v>
      </c>
      <c r="E468" s="5">
        <v>5.66</v>
      </c>
      <c r="F468" s="4">
        <v>1</v>
      </c>
      <c r="G468" s="5">
        <v>8.33</v>
      </c>
      <c r="H468" s="4">
        <v>0</v>
      </c>
    </row>
    <row r="469" spans="1:8" x14ac:dyDescent="0.2">
      <c r="A469" s="2" t="s">
        <v>44</v>
      </c>
      <c r="B469" s="4">
        <v>1</v>
      </c>
      <c r="C469" s="5">
        <v>1.41</v>
      </c>
      <c r="D469" s="4">
        <v>1</v>
      </c>
      <c r="E469" s="5">
        <v>1.89</v>
      </c>
      <c r="F469" s="4">
        <v>0</v>
      </c>
      <c r="G469" s="5">
        <v>0</v>
      </c>
      <c r="H469" s="4">
        <v>0</v>
      </c>
    </row>
    <row r="470" spans="1:8" x14ac:dyDescent="0.2">
      <c r="A470" s="2" t="s">
        <v>45</v>
      </c>
      <c r="B470" s="4">
        <v>1</v>
      </c>
      <c r="C470" s="5">
        <v>1.41</v>
      </c>
      <c r="D470" s="4">
        <v>0</v>
      </c>
      <c r="E470" s="5">
        <v>0</v>
      </c>
      <c r="F470" s="4">
        <v>0</v>
      </c>
      <c r="G470" s="5">
        <v>0</v>
      </c>
      <c r="H470" s="4">
        <v>0</v>
      </c>
    </row>
    <row r="471" spans="1:8" x14ac:dyDescent="0.2">
      <c r="A471" s="2" t="s">
        <v>46</v>
      </c>
      <c r="B471" s="4">
        <v>1</v>
      </c>
      <c r="C471" s="5">
        <v>1.41</v>
      </c>
      <c r="D471" s="4">
        <v>1</v>
      </c>
      <c r="E471" s="5">
        <v>1.89</v>
      </c>
      <c r="F471" s="4">
        <v>0</v>
      </c>
      <c r="G471" s="5">
        <v>0</v>
      </c>
      <c r="H471" s="4">
        <v>0</v>
      </c>
    </row>
    <row r="472" spans="1:8" x14ac:dyDescent="0.2">
      <c r="A472" s="2" t="s">
        <v>47</v>
      </c>
      <c r="B472" s="4">
        <v>3</v>
      </c>
      <c r="C472" s="5">
        <v>4.2300000000000004</v>
      </c>
      <c r="D472" s="4">
        <v>2</v>
      </c>
      <c r="E472" s="5">
        <v>3.77</v>
      </c>
      <c r="F472" s="4">
        <v>1</v>
      </c>
      <c r="G472" s="5">
        <v>8.33</v>
      </c>
      <c r="H472" s="4">
        <v>0</v>
      </c>
    </row>
    <row r="473" spans="1:8" x14ac:dyDescent="0.2">
      <c r="A473" s="2" t="s">
        <v>48</v>
      </c>
      <c r="B473" s="4">
        <v>4</v>
      </c>
      <c r="C473" s="5">
        <v>5.63</v>
      </c>
      <c r="D473" s="4">
        <v>3</v>
      </c>
      <c r="E473" s="5">
        <v>5.66</v>
      </c>
      <c r="F473" s="4">
        <v>1</v>
      </c>
      <c r="G473" s="5">
        <v>8.33</v>
      </c>
      <c r="H473" s="4">
        <v>0</v>
      </c>
    </row>
    <row r="474" spans="1:8" x14ac:dyDescent="0.2">
      <c r="A474" s="2" t="s">
        <v>49</v>
      </c>
      <c r="B474" s="4">
        <v>0</v>
      </c>
      <c r="C474" s="5">
        <v>0</v>
      </c>
      <c r="D474" s="4">
        <v>0</v>
      </c>
      <c r="E474" s="5">
        <v>0</v>
      </c>
      <c r="F474" s="4">
        <v>0</v>
      </c>
      <c r="G474" s="5">
        <v>0</v>
      </c>
      <c r="H474" s="4">
        <v>0</v>
      </c>
    </row>
    <row r="475" spans="1:8" x14ac:dyDescent="0.2">
      <c r="A475" s="2" t="s">
        <v>50</v>
      </c>
      <c r="B475" s="4">
        <v>4</v>
      </c>
      <c r="C475" s="5">
        <v>5.63</v>
      </c>
      <c r="D475" s="4">
        <v>2</v>
      </c>
      <c r="E475" s="5">
        <v>3.77</v>
      </c>
      <c r="F475" s="4">
        <v>2</v>
      </c>
      <c r="G475" s="5">
        <v>16.670000000000002</v>
      </c>
      <c r="H475" s="4">
        <v>0</v>
      </c>
    </row>
    <row r="476" spans="1:8" x14ac:dyDescent="0.2">
      <c r="A476" s="2" t="s">
        <v>51</v>
      </c>
      <c r="B476" s="4">
        <v>2</v>
      </c>
      <c r="C476" s="5">
        <v>2.82</v>
      </c>
      <c r="D476" s="4">
        <v>2</v>
      </c>
      <c r="E476" s="5">
        <v>3.77</v>
      </c>
      <c r="F476" s="4">
        <v>0</v>
      </c>
      <c r="G476" s="5">
        <v>0</v>
      </c>
      <c r="H476" s="4">
        <v>0</v>
      </c>
    </row>
    <row r="477" spans="1:8" x14ac:dyDescent="0.2">
      <c r="A477" s="2" t="s">
        <v>52</v>
      </c>
      <c r="B477" s="4">
        <v>24</v>
      </c>
      <c r="C477" s="5">
        <v>33.799999999999997</v>
      </c>
      <c r="D477" s="4">
        <v>20</v>
      </c>
      <c r="E477" s="5">
        <v>37.74</v>
      </c>
      <c r="F477" s="4">
        <v>3</v>
      </c>
      <c r="G477" s="5">
        <v>25</v>
      </c>
      <c r="H477" s="4">
        <v>0</v>
      </c>
    </row>
    <row r="478" spans="1:8" x14ac:dyDescent="0.2">
      <c r="A478" s="2" t="s">
        <v>53</v>
      </c>
      <c r="B478" s="4">
        <v>20</v>
      </c>
      <c r="C478" s="5">
        <v>28.17</v>
      </c>
      <c r="D478" s="4">
        <v>17</v>
      </c>
      <c r="E478" s="5">
        <v>32.08</v>
      </c>
      <c r="F478" s="4">
        <v>2</v>
      </c>
      <c r="G478" s="5">
        <v>16.670000000000002</v>
      </c>
      <c r="H478" s="4">
        <v>0</v>
      </c>
    </row>
    <row r="479" spans="1:8" x14ac:dyDescent="0.2">
      <c r="A479" s="2" t="s">
        <v>54</v>
      </c>
      <c r="B479" s="4">
        <v>0</v>
      </c>
      <c r="C479" s="5">
        <v>0</v>
      </c>
      <c r="D479" s="4">
        <v>0</v>
      </c>
      <c r="E479" s="5">
        <v>0</v>
      </c>
      <c r="F479" s="4">
        <v>0</v>
      </c>
      <c r="G479" s="5">
        <v>0</v>
      </c>
      <c r="H479" s="4">
        <v>0</v>
      </c>
    </row>
    <row r="480" spans="1:8" x14ac:dyDescent="0.2">
      <c r="A480" s="2" t="s">
        <v>55</v>
      </c>
      <c r="B480" s="4">
        <v>3</v>
      </c>
      <c r="C480" s="5">
        <v>4.2300000000000004</v>
      </c>
      <c r="D480" s="4">
        <v>1</v>
      </c>
      <c r="E480" s="5">
        <v>1.89</v>
      </c>
      <c r="F480" s="4">
        <v>0</v>
      </c>
      <c r="G480" s="5">
        <v>0</v>
      </c>
      <c r="H480" s="4">
        <v>0</v>
      </c>
    </row>
    <row r="481" spans="1:8" x14ac:dyDescent="0.2">
      <c r="A481" s="2" t="s">
        <v>56</v>
      </c>
      <c r="B481" s="4">
        <v>4</v>
      </c>
      <c r="C481" s="5">
        <v>5.63</v>
      </c>
      <c r="D481" s="4">
        <v>1</v>
      </c>
      <c r="E481" s="5">
        <v>1.89</v>
      </c>
      <c r="F481" s="4">
        <v>2</v>
      </c>
      <c r="G481" s="5">
        <v>16.670000000000002</v>
      </c>
      <c r="H481" s="4">
        <v>0</v>
      </c>
    </row>
    <row r="482" spans="1:8" x14ac:dyDescent="0.2">
      <c r="A482" s="1" t="s">
        <v>30</v>
      </c>
      <c r="B482" s="4">
        <v>150</v>
      </c>
      <c r="C482" s="5">
        <v>100</v>
      </c>
      <c r="D482" s="4">
        <v>126</v>
      </c>
      <c r="E482" s="5">
        <v>99.990000000000009</v>
      </c>
      <c r="F482" s="4">
        <v>19</v>
      </c>
      <c r="G482" s="5">
        <v>99.990000000000009</v>
      </c>
      <c r="H482" s="4">
        <v>0</v>
      </c>
    </row>
    <row r="483" spans="1:8" x14ac:dyDescent="0.2">
      <c r="A483" s="2" t="s">
        <v>42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2">
      <c r="A484" s="2" t="s">
        <v>43</v>
      </c>
      <c r="B484" s="4">
        <v>4</v>
      </c>
      <c r="C484" s="5">
        <v>2.67</v>
      </c>
      <c r="D484" s="4">
        <v>3</v>
      </c>
      <c r="E484" s="5">
        <v>2.38</v>
      </c>
      <c r="F484" s="4">
        <v>1</v>
      </c>
      <c r="G484" s="5">
        <v>5.26</v>
      </c>
      <c r="H484" s="4">
        <v>0</v>
      </c>
    </row>
    <row r="485" spans="1:8" x14ac:dyDescent="0.2">
      <c r="A485" s="2" t="s">
        <v>44</v>
      </c>
      <c r="B485" s="4">
        <v>2</v>
      </c>
      <c r="C485" s="5">
        <v>1.33</v>
      </c>
      <c r="D485" s="4">
        <v>1</v>
      </c>
      <c r="E485" s="5">
        <v>0.79</v>
      </c>
      <c r="F485" s="4">
        <v>1</v>
      </c>
      <c r="G485" s="5">
        <v>5.26</v>
      </c>
      <c r="H485" s="4">
        <v>0</v>
      </c>
    </row>
    <row r="486" spans="1:8" x14ac:dyDescent="0.2">
      <c r="A486" s="2" t="s">
        <v>45</v>
      </c>
      <c r="B486" s="4">
        <v>1</v>
      </c>
      <c r="C486" s="5">
        <v>0.67</v>
      </c>
      <c r="D486" s="4">
        <v>0</v>
      </c>
      <c r="E486" s="5">
        <v>0</v>
      </c>
      <c r="F486" s="4">
        <v>0</v>
      </c>
      <c r="G486" s="5">
        <v>0</v>
      </c>
      <c r="H486" s="4">
        <v>0</v>
      </c>
    </row>
    <row r="487" spans="1:8" x14ac:dyDescent="0.2">
      <c r="A487" s="2" t="s">
        <v>46</v>
      </c>
      <c r="B487" s="4">
        <v>0</v>
      </c>
      <c r="C487" s="5">
        <v>0</v>
      </c>
      <c r="D487" s="4">
        <v>0</v>
      </c>
      <c r="E487" s="5">
        <v>0</v>
      </c>
      <c r="F487" s="4">
        <v>0</v>
      </c>
      <c r="G487" s="5">
        <v>0</v>
      </c>
      <c r="H487" s="4">
        <v>0</v>
      </c>
    </row>
    <row r="488" spans="1:8" x14ac:dyDescent="0.2">
      <c r="A488" s="2" t="s">
        <v>47</v>
      </c>
      <c r="B488" s="4">
        <v>3</v>
      </c>
      <c r="C488" s="5">
        <v>2</v>
      </c>
      <c r="D488" s="4">
        <v>2</v>
      </c>
      <c r="E488" s="5">
        <v>1.59</v>
      </c>
      <c r="F488" s="4">
        <v>0</v>
      </c>
      <c r="G488" s="5">
        <v>0</v>
      </c>
      <c r="H488" s="4">
        <v>0</v>
      </c>
    </row>
    <row r="489" spans="1:8" x14ac:dyDescent="0.2">
      <c r="A489" s="2" t="s">
        <v>48</v>
      </c>
      <c r="B489" s="4">
        <v>15</v>
      </c>
      <c r="C489" s="5">
        <v>10</v>
      </c>
      <c r="D489" s="4">
        <v>12</v>
      </c>
      <c r="E489" s="5">
        <v>9.52</v>
      </c>
      <c r="F489" s="4">
        <v>3</v>
      </c>
      <c r="G489" s="5">
        <v>15.79</v>
      </c>
      <c r="H489" s="4">
        <v>0</v>
      </c>
    </row>
    <row r="490" spans="1:8" x14ac:dyDescent="0.2">
      <c r="A490" s="2" t="s">
        <v>49</v>
      </c>
      <c r="B490" s="4">
        <v>0</v>
      </c>
      <c r="C490" s="5">
        <v>0</v>
      </c>
      <c r="D490" s="4">
        <v>0</v>
      </c>
      <c r="E490" s="5">
        <v>0</v>
      </c>
      <c r="F490" s="4">
        <v>0</v>
      </c>
      <c r="G490" s="5">
        <v>0</v>
      </c>
      <c r="H490" s="4">
        <v>0</v>
      </c>
    </row>
    <row r="491" spans="1:8" x14ac:dyDescent="0.2">
      <c r="A491" s="2" t="s">
        <v>50</v>
      </c>
      <c r="B491" s="4">
        <v>9</v>
      </c>
      <c r="C491" s="5">
        <v>6</v>
      </c>
      <c r="D491" s="4">
        <v>8</v>
      </c>
      <c r="E491" s="5">
        <v>6.35</v>
      </c>
      <c r="F491" s="4">
        <v>1</v>
      </c>
      <c r="G491" s="5">
        <v>5.26</v>
      </c>
      <c r="H491" s="4">
        <v>0</v>
      </c>
    </row>
    <row r="492" spans="1:8" x14ac:dyDescent="0.2">
      <c r="A492" s="2" t="s">
        <v>51</v>
      </c>
      <c r="B492" s="4">
        <v>0</v>
      </c>
      <c r="C492" s="5">
        <v>0</v>
      </c>
      <c r="D492" s="4">
        <v>0</v>
      </c>
      <c r="E492" s="5">
        <v>0</v>
      </c>
      <c r="F492" s="4">
        <v>0</v>
      </c>
      <c r="G492" s="5">
        <v>0</v>
      </c>
      <c r="H492" s="4">
        <v>0</v>
      </c>
    </row>
    <row r="493" spans="1:8" x14ac:dyDescent="0.2">
      <c r="A493" s="2" t="s">
        <v>52</v>
      </c>
      <c r="B493" s="4">
        <v>75</v>
      </c>
      <c r="C493" s="5">
        <v>50</v>
      </c>
      <c r="D493" s="4">
        <v>66</v>
      </c>
      <c r="E493" s="5">
        <v>52.38</v>
      </c>
      <c r="F493" s="4">
        <v>8</v>
      </c>
      <c r="G493" s="5">
        <v>42.11</v>
      </c>
      <c r="H493" s="4">
        <v>0</v>
      </c>
    </row>
    <row r="494" spans="1:8" x14ac:dyDescent="0.2">
      <c r="A494" s="2" t="s">
        <v>53</v>
      </c>
      <c r="B494" s="4">
        <v>36</v>
      </c>
      <c r="C494" s="5">
        <v>24</v>
      </c>
      <c r="D494" s="4">
        <v>31</v>
      </c>
      <c r="E494" s="5">
        <v>24.6</v>
      </c>
      <c r="F494" s="4">
        <v>4</v>
      </c>
      <c r="G494" s="5">
        <v>21.05</v>
      </c>
      <c r="H494" s="4">
        <v>0</v>
      </c>
    </row>
    <row r="495" spans="1:8" x14ac:dyDescent="0.2">
      <c r="A495" s="2" t="s">
        <v>54</v>
      </c>
      <c r="B495" s="4">
        <v>3</v>
      </c>
      <c r="C495" s="5">
        <v>2</v>
      </c>
      <c r="D495" s="4">
        <v>3</v>
      </c>
      <c r="E495" s="5">
        <v>2.38</v>
      </c>
      <c r="F495" s="4">
        <v>0</v>
      </c>
      <c r="G495" s="5">
        <v>0</v>
      </c>
      <c r="H495" s="4">
        <v>0</v>
      </c>
    </row>
    <row r="496" spans="1:8" x14ac:dyDescent="0.2">
      <c r="A496" s="2" t="s">
        <v>55</v>
      </c>
      <c r="B496" s="4">
        <v>2</v>
      </c>
      <c r="C496" s="5">
        <v>1.33</v>
      </c>
      <c r="D496" s="4">
        <v>0</v>
      </c>
      <c r="E496" s="5">
        <v>0</v>
      </c>
      <c r="F496" s="4">
        <v>1</v>
      </c>
      <c r="G496" s="5">
        <v>5.26</v>
      </c>
      <c r="H496" s="4">
        <v>0</v>
      </c>
    </row>
    <row r="497" spans="1:8" x14ac:dyDescent="0.2">
      <c r="A497" s="2" t="s">
        <v>56</v>
      </c>
      <c r="B497" s="4">
        <v>0</v>
      </c>
      <c r="C497" s="5">
        <v>0</v>
      </c>
      <c r="D497" s="4">
        <v>0</v>
      </c>
      <c r="E497" s="5">
        <v>0</v>
      </c>
      <c r="F497" s="4">
        <v>0</v>
      </c>
      <c r="G497" s="5">
        <v>0</v>
      </c>
      <c r="H497" s="4">
        <v>0</v>
      </c>
    </row>
    <row r="498" spans="1:8" x14ac:dyDescent="0.2">
      <c r="A498" s="1" t="s">
        <v>31</v>
      </c>
      <c r="B498" s="4">
        <v>38</v>
      </c>
      <c r="C498" s="5">
        <v>100</v>
      </c>
      <c r="D498" s="4">
        <v>30</v>
      </c>
      <c r="E498" s="5">
        <v>100</v>
      </c>
      <c r="F498" s="4">
        <v>4</v>
      </c>
      <c r="G498" s="5">
        <v>100</v>
      </c>
      <c r="H498" s="4">
        <v>1</v>
      </c>
    </row>
    <row r="499" spans="1:8" x14ac:dyDescent="0.2">
      <c r="A499" s="2" t="s">
        <v>42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2">
      <c r="A500" s="2" t="s">
        <v>43</v>
      </c>
      <c r="B500" s="4">
        <v>1</v>
      </c>
      <c r="C500" s="5">
        <v>2.63</v>
      </c>
      <c r="D500" s="4">
        <v>1</v>
      </c>
      <c r="E500" s="5">
        <v>3.33</v>
      </c>
      <c r="F500" s="4">
        <v>0</v>
      </c>
      <c r="G500" s="5">
        <v>0</v>
      </c>
      <c r="H500" s="4">
        <v>0</v>
      </c>
    </row>
    <row r="501" spans="1:8" x14ac:dyDescent="0.2">
      <c r="A501" s="2" t="s">
        <v>44</v>
      </c>
      <c r="B501" s="4">
        <v>4</v>
      </c>
      <c r="C501" s="5">
        <v>10.53</v>
      </c>
      <c r="D501" s="4">
        <v>2</v>
      </c>
      <c r="E501" s="5">
        <v>6.67</v>
      </c>
      <c r="F501" s="4">
        <v>2</v>
      </c>
      <c r="G501" s="5">
        <v>50</v>
      </c>
      <c r="H501" s="4">
        <v>0</v>
      </c>
    </row>
    <row r="502" spans="1:8" x14ac:dyDescent="0.2">
      <c r="A502" s="2" t="s">
        <v>45</v>
      </c>
      <c r="B502" s="4">
        <v>2</v>
      </c>
      <c r="C502" s="5">
        <v>5.26</v>
      </c>
      <c r="D502" s="4">
        <v>0</v>
      </c>
      <c r="E502" s="5">
        <v>0</v>
      </c>
      <c r="F502" s="4">
        <v>1</v>
      </c>
      <c r="G502" s="5">
        <v>25</v>
      </c>
      <c r="H502" s="4">
        <v>0</v>
      </c>
    </row>
    <row r="503" spans="1:8" x14ac:dyDescent="0.2">
      <c r="A503" s="2" t="s">
        <v>46</v>
      </c>
      <c r="B503" s="4">
        <v>0</v>
      </c>
      <c r="C503" s="5">
        <v>0</v>
      </c>
      <c r="D503" s="4">
        <v>0</v>
      </c>
      <c r="E503" s="5">
        <v>0</v>
      </c>
      <c r="F503" s="4">
        <v>0</v>
      </c>
      <c r="G503" s="5">
        <v>0</v>
      </c>
      <c r="H503" s="4">
        <v>0</v>
      </c>
    </row>
    <row r="504" spans="1:8" x14ac:dyDescent="0.2">
      <c r="A504" s="2" t="s">
        <v>47</v>
      </c>
      <c r="B504" s="4">
        <v>4</v>
      </c>
      <c r="C504" s="5">
        <v>10.53</v>
      </c>
      <c r="D504" s="4">
        <v>3</v>
      </c>
      <c r="E504" s="5">
        <v>10</v>
      </c>
      <c r="F504" s="4">
        <v>0</v>
      </c>
      <c r="G504" s="5">
        <v>0</v>
      </c>
      <c r="H504" s="4">
        <v>0</v>
      </c>
    </row>
    <row r="505" spans="1:8" x14ac:dyDescent="0.2">
      <c r="A505" s="2" t="s">
        <v>48</v>
      </c>
      <c r="B505" s="4">
        <v>10</v>
      </c>
      <c r="C505" s="5">
        <v>26.32</v>
      </c>
      <c r="D505" s="4">
        <v>9</v>
      </c>
      <c r="E505" s="5">
        <v>30</v>
      </c>
      <c r="F505" s="4">
        <v>0</v>
      </c>
      <c r="G505" s="5">
        <v>0</v>
      </c>
      <c r="H505" s="4">
        <v>1</v>
      </c>
    </row>
    <row r="506" spans="1:8" x14ac:dyDescent="0.2">
      <c r="A506" s="2" t="s">
        <v>49</v>
      </c>
      <c r="B506" s="4">
        <v>0</v>
      </c>
      <c r="C506" s="5">
        <v>0</v>
      </c>
      <c r="D506" s="4">
        <v>0</v>
      </c>
      <c r="E506" s="5">
        <v>0</v>
      </c>
      <c r="F506" s="4">
        <v>0</v>
      </c>
      <c r="G506" s="5">
        <v>0</v>
      </c>
      <c r="H506" s="4">
        <v>0</v>
      </c>
    </row>
    <row r="507" spans="1:8" x14ac:dyDescent="0.2">
      <c r="A507" s="2" t="s">
        <v>50</v>
      </c>
      <c r="B507" s="4">
        <v>0</v>
      </c>
      <c r="C507" s="5">
        <v>0</v>
      </c>
      <c r="D507" s="4">
        <v>0</v>
      </c>
      <c r="E507" s="5">
        <v>0</v>
      </c>
      <c r="F507" s="4">
        <v>0</v>
      </c>
      <c r="G507" s="5">
        <v>0</v>
      </c>
      <c r="H507" s="4">
        <v>0</v>
      </c>
    </row>
    <row r="508" spans="1:8" x14ac:dyDescent="0.2">
      <c r="A508" s="2" t="s">
        <v>51</v>
      </c>
      <c r="B508" s="4">
        <v>0</v>
      </c>
      <c r="C508" s="5">
        <v>0</v>
      </c>
      <c r="D508" s="4">
        <v>0</v>
      </c>
      <c r="E508" s="5">
        <v>0</v>
      </c>
      <c r="F508" s="4">
        <v>0</v>
      </c>
      <c r="G508" s="5">
        <v>0</v>
      </c>
      <c r="H508" s="4">
        <v>0</v>
      </c>
    </row>
    <row r="509" spans="1:8" x14ac:dyDescent="0.2">
      <c r="A509" s="2" t="s">
        <v>52</v>
      </c>
      <c r="B509" s="4">
        <v>12</v>
      </c>
      <c r="C509" s="5">
        <v>31.58</v>
      </c>
      <c r="D509" s="4">
        <v>12</v>
      </c>
      <c r="E509" s="5">
        <v>40</v>
      </c>
      <c r="F509" s="4">
        <v>0</v>
      </c>
      <c r="G509" s="5">
        <v>0</v>
      </c>
      <c r="H509" s="4">
        <v>0</v>
      </c>
    </row>
    <row r="510" spans="1:8" x14ac:dyDescent="0.2">
      <c r="A510" s="2" t="s">
        <v>53</v>
      </c>
      <c r="B510" s="4">
        <v>3</v>
      </c>
      <c r="C510" s="5">
        <v>7.89</v>
      </c>
      <c r="D510" s="4">
        <v>3</v>
      </c>
      <c r="E510" s="5">
        <v>10</v>
      </c>
      <c r="F510" s="4">
        <v>0</v>
      </c>
      <c r="G510" s="5">
        <v>0</v>
      </c>
      <c r="H510" s="4">
        <v>0</v>
      </c>
    </row>
    <row r="511" spans="1:8" x14ac:dyDescent="0.2">
      <c r="A511" s="2" t="s">
        <v>54</v>
      </c>
      <c r="B511" s="4">
        <v>0</v>
      </c>
      <c r="C511" s="5">
        <v>0</v>
      </c>
      <c r="D511" s="4">
        <v>0</v>
      </c>
      <c r="E511" s="5">
        <v>0</v>
      </c>
      <c r="F511" s="4">
        <v>0</v>
      </c>
      <c r="G511" s="5">
        <v>0</v>
      </c>
      <c r="H511" s="4">
        <v>0</v>
      </c>
    </row>
    <row r="512" spans="1:8" x14ac:dyDescent="0.2">
      <c r="A512" s="2" t="s">
        <v>55</v>
      </c>
      <c r="B512" s="4">
        <v>2</v>
      </c>
      <c r="C512" s="5">
        <v>5.26</v>
      </c>
      <c r="D512" s="4">
        <v>0</v>
      </c>
      <c r="E512" s="5">
        <v>0</v>
      </c>
      <c r="F512" s="4">
        <v>1</v>
      </c>
      <c r="G512" s="5">
        <v>25</v>
      </c>
      <c r="H512" s="4">
        <v>0</v>
      </c>
    </row>
    <row r="513" spans="1:8" x14ac:dyDescent="0.2">
      <c r="A513" s="2" t="s">
        <v>56</v>
      </c>
      <c r="B513" s="4">
        <v>0</v>
      </c>
      <c r="C513" s="5">
        <v>0</v>
      </c>
      <c r="D513" s="4">
        <v>0</v>
      </c>
      <c r="E513" s="5">
        <v>0</v>
      </c>
      <c r="F513" s="4">
        <v>0</v>
      </c>
      <c r="G513" s="5">
        <v>0</v>
      </c>
      <c r="H513" s="4">
        <v>0</v>
      </c>
    </row>
    <row r="514" spans="1:8" x14ac:dyDescent="0.2">
      <c r="A514" s="1" t="s">
        <v>32</v>
      </c>
      <c r="B514" s="4">
        <v>16</v>
      </c>
      <c r="C514" s="5">
        <v>100</v>
      </c>
      <c r="D514" s="4">
        <v>9</v>
      </c>
      <c r="E514" s="5">
        <v>100</v>
      </c>
      <c r="F514" s="4">
        <v>5</v>
      </c>
      <c r="G514" s="5">
        <v>100</v>
      </c>
      <c r="H514" s="4">
        <v>0</v>
      </c>
    </row>
    <row r="515" spans="1:8" x14ac:dyDescent="0.2">
      <c r="A515" s="2" t="s">
        <v>42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2">
      <c r="A516" s="2" t="s">
        <v>43</v>
      </c>
      <c r="B516" s="4">
        <v>0</v>
      </c>
      <c r="C516" s="5">
        <v>0</v>
      </c>
      <c r="D516" s="4">
        <v>0</v>
      </c>
      <c r="E516" s="5">
        <v>0</v>
      </c>
      <c r="F516" s="4">
        <v>0</v>
      </c>
      <c r="G516" s="5">
        <v>0</v>
      </c>
      <c r="H516" s="4">
        <v>0</v>
      </c>
    </row>
    <row r="517" spans="1:8" x14ac:dyDescent="0.2">
      <c r="A517" s="2" t="s">
        <v>44</v>
      </c>
      <c r="B517" s="4">
        <v>1</v>
      </c>
      <c r="C517" s="5">
        <v>6.25</v>
      </c>
      <c r="D517" s="4">
        <v>0</v>
      </c>
      <c r="E517" s="5">
        <v>0</v>
      </c>
      <c r="F517" s="4">
        <v>1</v>
      </c>
      <c r="G517" s="5">
        <v>20</v>
      </c>
      <c r="H517" s="4">
        <v>0</v>
      </c>
    </row>
    <row r="518" spans="1:8" x14ac:dyDescent="0.2">
      <c r="A518" s="2" t="s">
        <v>45</v>
      </c>
      <c r="B518" s="4">
        <v>2</v>
      </c>
      <c r="C518" s="5">
        <v>12.5</v>
      </c>
      <c r="D518" s="4">
        <v>0</v>
      </c>
      <c r="E518" s="5">
        <v>0</v>
      </c>
      <c r="F518" s="4">
        <v>1</v>
      </c>
      <c r="G518" s="5">
        <v>20</v>
      </c>
      <c r="H518" s="4">
        <v>0</v>
      </c>
    </row>
    <row r="519" spans="1:8" x14ac:dyDescent="0.2">
      <c r="A519" s="2" t="s">
        <v>46</v>
      </c>
      <c r="B519" s="4">
        <v>0</v>
      </c>
      <c r="C519" s="5">
        <v>0</v>
      </c>
      <c r="D519" s="4">
        <v>0</v>
      </c>
      <c r="E519" s="5">
        <v>0</v>
      </c>
      <c r="F519" s="4">
        <v>0</v>
      </c>
      <c r="G519" s="5">
        <v>0</v>
      </c>
      <c r="H519" s="4">
        <v>0</v>
      </c>
    </row>
    <row r="520" spans="1:8" x14ac:dyDescent="0.2">
      <c r="A520" s="2" t="s">
        <v>47</v>
      </c>
      <c r="B520" s="4">
        <v>1</v>
      </c>
      <c r="C520" s="5">
        <v>6.25</v>
      </c>
      <c r="D520" s="4">
        <v>0</v>
      </c>
      <c r="E520" s="5">
        <v>0</v>
      </c>
      <c r="F520" s="4">
        <v>1</v>
      </c>
      <c r="G520" s="5">
        <v>20</v>
      </c>
      <c r="H520" s="4">
        <v>0</v>
      </c>
    </row>
    <row r="521" spans="1:8" x14ac:dyDescent="0.2">
      <c r="A521" s="2" t="s">
        <v>48</v>
      </c>
      <c r="B521" s="4">
        <v>5</v>
      </c>
      <c r="C521" s="5">
        <v>31.25</v>
      </c>
      <c r="D521" s="4">
        <v>4</v>
      </c>
      <c r="E521" s="5">
        <v>44.44</v>
      </c>
      <c r="F521" s="4">
        <v>1</v>
      </c>
      <c r="G521" s="5">
        <v>20</v>
      </c>
      <c r="H521" s="4">
        <v>0</v>
      </c>
    </row>
    <row r="522" spans="1:8" x14ac:dyDescent="0.2">
      <c r="A522" s="2" t="s">
        <v>49</v>
      </c>
      <c r="B522" s="4">
        <v>0</v>
      </c>
      <c r="C522" s="5">
        <v>0</v>
      </c>
      <c r="D522" s="4">
        <v>0</v>
      </c>
      <c r="E522" s="5">
        <v>0</v>
      </c>
      <c r="F522" s="4">
        <v>0</v>
      </c>
      <c r="G522" s="5">
        <v>0</v>
      </c>
      <c r="H522" s="4">
        <v>0</v>
      </c>
    </row>
    <row r="523" spans="1:8" x14ac:dyDescent="0.2">
      <c r="A523" s="2" t="s">
        <v>50</v>
      </c>
      <c r="B523" s="4">
        <v>0</v>
      </c>
      <c r="C523" s="5">
        <v>0</v>
      </c>
      <c r="D523" s="4">
        <v>0</v>
      </c>
      <c r="E523" s="5">
        <v>0</v>
      </c>
      <c r="F523" s="4">
        <v>0</v>
      </c>
      <c r="G523" s="5">
        <v>0</v>
      </c>
      <c r="H523" s="4">
        <v>0</v>
      </c>
    </row>
    <row r="524" spans="1:8" x14ac:dyDescent="0.2">
      <c r="A524" s="2" t="s">
        <v>51</v>
      </c>
      <c r="B524" s="4">
        <v>0</v>
      </c>
      <c r="C524" s="5">
        <v>0</v>
      </c>
      <c r="D524" s="4">
        <v>0</v>
      </c>
      <c r="E524" s="5">
        <v>0</v>
      </c>
      <c r="F524" s="4">
        <v>0</v>
      </c>
      <c r="G524" s="5">
        <v>0</v>
      </c>
      <c r="H524" s="4">
        <v>0</v>
      </c>
    </row>
    <row r="525" spans="1:8" x14ac:dyDescent="0.2">
      <c r="A525" s="2" t="s">
        <v>52</v>
      </c>
      <c r="B525" s="4">
        <v>6</v>
      </c>
      <c r="C525" s="5">
        <v>37.5</v>
      </c>
      <c r="D525" s="4">
        <v>5</v>
      </c>
      <c r="E525" s="5">
        <v>55.56</v>
      </c>
      <c r="F525" s="4">
        <v>1</v>
      </c>
      <c r="G525" s="5">
        <v>20</v>
      </c>
      <c r="H525" s="4">
        <v>0</v>
      </c>
    </row>
    <row r="526" spans="1:8" x14ac:dyDescent="0.2">
      <c r="A526" s="2" t="s">
        <v>53</v>
      </c>
      <c r="B526" s="4">
        <v>0</v>
      </c>
      <c r="C526" s="5">
        <v>0</v>
      </c>
      <c r="D526" s="4">
        <v>0</v>
      </c>
      <c r="E526" s="5">
        <v>0</v>
      </c>
      <c r="F526" s="4">
        <v>0</v>
      </c>
      <c r="G526" s="5">
        <v>0</v>
      </c>
      <c r="H526" s="4">
        <v>0</v>
      </c>
    </row>
    <row r="527" spans="1:8" x14ac:dyDescent="0.2">
      <c r="A527" s="2" t="s">
        <v>54</v>
      </c>
      <c r="B527" s="4">
        <v>0</v>
      </c>
      <c r="C527" s="5">
        <v>0</v>
      </c>
      <c r="D527" s="4">
        <v>0</v>
      </c>
      <c r="E527" s="5">
        <v>0</v>
      </c>
      <c r="F527" s="4">
        <v>0</v>
      </c>
      <c r="G527" s="5">
        <v>0</v>
      </c>
      <c r="H527" s="4">
        <v>0</v>
      </c>
    </row>
    <row r="528" spans="1:8" x14ac:dyDescent="0.2">
      <c r="A528" s="2" t="s">
        <v>55</v>
      </c>
      <c r="B528" s="4">
        <v>1</v>
      </c>
      <c r="C528" s="5">
        <v>6.25</v>
      </c>
      <c r="D528" s="4">
        <v>0</v>
      </c>
      <c r="E528" s="5">
        <v>0</v>
      </c>
      <c r="F528" s="4">
        <v>0</v>
      </c>
      <c r="G528" s="5">
        <v>0</v>
      </c>
      <c r="H528" s="4">
        <v>0</v>
      </c>
    </row>
    <row r="529" spans="1:8" x14ac:dyDescent="0.2">
      <c r="A529" s="2" t="s">
        <v>56</v>
      </c>
      <c r="B529" s="4">
        <v>0</v>
      </c>
      <c r="C529" s="5">
        <v>0</v>
      </c>
      <c r="D529" s="4">
        <v>0</v>
      </c>
      <c r="E529" s="5">
        <v>0</v>
      </c>
      <c r="F529" s="4">
        <v>0</v>
      </c>
      <c r="G529" s="5">
        <v>0</v>
      </c>
      <c r="H529" s="4">
        <v>0</v>
      </c>
    </row>
    <row r="530" spans="1:8" x14ac:dyDescent="0.2">
      <c r="A530" s="1" t="s">
        <v>33</v>
      </c>
      <c r="B530" s="4">
        <v>50</v>
      </c>
      <c r="C530" s="5">
        <v>100</v>
      </c>
      <c r="D530" s="4">
        <v>30</v>
      </c>
      <c r="E530" s="5">
        <v>100</v>
      </c>
      <c r="F530" s="4">
        <v>17</v>
      </c>
      <c r="G530" s="5">
        <v>99.97999999999999</v>
      </c>
      <c r="H530" s="4">
        <v>0</v>
      </c>
    </row>
    <row r="531" spans="1:8" x14ac:dyDescent="0.2">
      <c r="A531" s="2" t="s">
        <v>42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2">
      <c r="A532" s="2" t="s">
        <v>43</v>
      </c>
      <c r="B532" s="4">
        <v>1</v>
      </c>
      <c r="C532" s="5">
        <v>2</v>
      </c>
      <c r="D532" s="4">
        <v>0</v>
      </c>
      <c r="E532" s="5">
        <v>0</v>
      </c>
      <c r="F532" s="4">
        <v>1</v>
      </c>
      <c r="G532" s="5">
        <v>5.88</v>
      </c>
      <c r="H532" s="4">
        <v>0</v>
      </c>
    </row>
    <row r="533" spans="1:8" x14ac:dyDescent="0.2">
      <c r="A533" s="2" t="s">
        <v>44</v>
      </c>
      <c r="B533" s="4">
        <v>2</v>
      </c>
      <c r="C533" s="5">
        <v>4</v>
      </c>
      <c r="D533" s="4">
        <v>0</v>
      </c>
      <c r="E533" s="5">
        <v>0</v>
      </c>
      <c r="F533" s="4">
        <v>2</v>
      </c>
      <c r="G533" s="5">
        <v>11.76</v>
      </c>
      <c r="H533" s="4">
        <v>0</v>
      </c>
    </row>
    <row r="534" spans="1:8" x14ac:dyDescent="0.2">
      <c r="A534" s="2" t="s">
        <v>45</v>
      </c>
      <c r="B534" s="4">
        <v>1</v>
      </c>
      <c r="C534" s="5">
        <v>2</v>
      </c>
      <c r="D534" s="4">
        <v>0</v>
      </c>
      <c r="E534" s="5">
        <v>0</v>
      </c>
      <c r="F534" s="4">
        <v>1</v>
      </c>
      <c r="G534" s="5">
        <v>5.88</v>
      </c>
      <c r="H534" s="4">
        <v>0</v>
      </c>
    </row>
    <row r="535" spans="1:8" x14ac:dyDescent="0.2">
      <c r="A535" s="2" t="s">
        <v>46</v>
      </c>
      <c r="B535" s="4">
        <v>0</v>
      </c>
      <c r="C535" s="5">
        <v>0</v>
      </c>
      <c r="D535" s="4">
        <v>0</v>
      </c>
      <c r="E535" s="5">
        <v>0</v>
      </c>
      <c r="F535" s="4">
        <v>0</v>
      </c>
      <c r="G535" s="5">
        <v>0</v>
      </c>
      <c r="H535" s="4">
        <v>0</v>
      </c>
    </row>
    <row r="536" spans="1:8" x14ac:dyDescent="0.2">
      <c r="A536" s="2" t="s">
        <v>47</v>
      </c>
      <c r="B536" s="4">
        <v>3</v>
      </c>
      <c r="C536" s="5">
        <v>6</v>
      </c>
      <c r="D536" s="4">
        <v>0</v>
      </c>
      <c r="E536" s="5">
        <v>0</v>
      </c>
      <c r="F536" s="4">
        <v>3</v>
      </c>
      <c r="G536" s="5">
        <v>17.649999999999999</v>
      </c>
      <c r="H536" s="4">
        <v>0</v>
      </c>
    </row>
    <row r="537" spans="1:8" x14ac:dyDescent="0.2">
      <c r="A537" s="2" t="s">
        <v>48</v>
      </c>
      <c r="B537" s="4">
        <v>9</v>
      </c>
      <c r="C537" s="5">
        <v>18</v>
      </c>
      <c r="D537" s="4">
        <v>5</v>
      </c>
      <c r="E537" s="5">
        <v>16.670000000000002</v>
      </c>
      <c r="F537" s="4">
        <v>4</v>
      </c>
      <c r="G537" s="5">
        <v>23.53</v>
      </c>
      <c r="H537" s="4">
        <v>0</v>
      </c>
    </row>
    <row r="538" spans="1:8" x14ac:dyDescent="0.2">
      <c r="A538" s="2" t="s">
        <v>49</v>
      </c>
      <c r="B538" s="4">
        <v>0</v>
      </c>
      <c r="C538" s="5">
        <v>0</v>
      </c>
      <c r="D538" s="4">
        <v>0</v>
      </c>
      <c r="E538" s="5">
        <v>0</v>
      </c>
      <c r="F538" s="4">
        <v>0</v>
      </c>
      <c r="G538" s="5">
        <v>0</v>
      </c>
      <c r="H538" s="4">
        <v>0</v>
      </c>
    </row>
    <row r="539" spans="1:8" x14ac:dyDescent="0.2">
      <c r="A539" s="2" t="s">
        <v>50</v>
      </c>
      <c r="B539" s="4">
        <v>1</v>
      </c>
      <c r="C539" s="5">
        <v>2</v>
      </c>
      <c r="D539" s="4">
        <v>0</v>
      </c>
      <c r="E539" s="5">
        <v>0</v>
      </c>
      <c r="F539" s="4">
        <v>1</v>
      </c>
      <c r="G539" s="5">
        <v>5.88</v>
      </c>
      <c r="H539" s="4">
        <v>0</v>
      </c>
    </row>
    <row r="540" spans="1:8" x14ac:dyDescent="0.2">
      <c r="A540" s="2" t="s">
        <v>51</v>
      </c>
      <c r="B540" s="4">
        <v>2</v>
      </c>
      <c r="C540" s="5">
        <v>4</v>
      </c>
      <c r="D540" s="4">
        <v>0</v>
      </c>
      <c r="E540" s="5">
        <v>0</v>
      </c>
      <c r="F540" s="4">
        <v>1</v>
      </c>
      <c r="G540" s="5">
        <v>5.88</v>
      </c>
      <c r="H540" s="4">
        <v>0</v>
      </c>
    </row>
    <row r="541" spans="1:8" x14ac:dyDescent="0.2">
      <c r="A541" s="2" t="s">
        <v>52</v>
      </c>
      <c r="B541" s="4">
        <v>19</v>
      </c>
      <c r="C541" s="5">
        <v>38</v>
      </c>
      <c r="D541" s="4">
        <v>19</v>
      </c>
      <c r="E541" s="5">
        <v>63.33</v>
      </c>
      <c r="F541" s="4">
        <v>0</v>
      </c>
      <c r="G541" s="5">
        <v>0</v>
      </c>
      <c r="H541" s="4">
        <v>0</v>
      </c>
    </row>
    <row r="542" spans="1:8" x14ac:dyDescent="0.2">
      <c r="A542" s="2" t="s">
        <v>53</v>
      </c>
      <c r="B542" s="4">
        <v>4</v>
      </c>
      <c r="C542" s="5">
        <v>8</v>
      </c>
      <c r="D542" s="4">
        <v>3</v>
      </c>
      <c r="E542" s="5">
        <v>10</v>
      </c>
      <c r="F542" s="4">
        <v>1</v>
      </c>
      <c r="G542" s="5">
        <v>5.88</v>
      </c>
      <c r="H542" s="4">
        <v>0</v>
      </c>
    </row>
    <row r="543" spans="1:8" x14ac:dyDescent="0.2">
      <c r="A543" s="2" t="s">
        <v>54</v>
      </c>
      <c r="B543" s="4">
        <v>3</v>
      </c>
      <c r="C543" s="5">
        <v>6</v>
      </c>
      <c r="D543" s="4">
        <v>1</v>
      </c>
      <c r="E543" s="5">
        <v>3.33</v>
      </c>
      <c r="F543" s="4">
        <v>1</v>
      </c>
      <c r="G543" s="5">
        <v>5.88</v>
      </c>
      <c r="H543" s="4">
        <v>0</v>
      </c>
    </row>
    <row r="544" spans="1:8" x14ac:dyDescent="0.2">
      <c r="A544" s="2" t="s">
        <v>55</v>
      </c>
      <c r="B544" s="4">
        <v>0</v>
      </c>
      <c r="C544" s="5">
        <v>0</v>
      </c>
      <c r="D544" s="4">
        <v>0</v>
      </c>
      <c r="E544" s="5">
        <v>0</v>
      </c>
      <c r="F544" s="4">
        <v>0</v>
      </c>
      <c r="G544" s="5">
        <v>0</v>
      </c>
      <c r="H544" s="4">
        <v>0</v>
      </c>
    </row>
    <row r="545" spans="1:8" x14ac:dyDescent="0.2">
      <c r="A545" s="2" t="s">
        <v>56</v>
      </c>
      <c r="B545" s="4">
        <v>5</v>
      </c>
      <c r="C545" s="5">
        <v>10</v>
      </c>
      <c r="D545" s="4">
        <v>2</v>
      </c>
      <c r="E545" s="5">
        <v>6.67</v>
      </c>
      <c r="F545" s="4">
        <v>2</v>
      </c>
      <c r="G545" s="5">
        <v>11.76</v>
      </c>
      <c r="H545" s="4">
        <v>0</v>
      </c>
    </row>
    <row r="546" spans="1:8" x14ac:dyDescent="0.2">
      <c r="A546" s="1" t="s">
        <v>34</v>
      </c>
      <c r="B546" s="4">
        <v>32</v>
      </c>
      <c r="C546" s="5">
        <v>100.03999999999999</v>
      </c>
      <c r="D546" s="4">
        <v>14</v>
      </c>
      <c r="E546" s="5">
        <v>100</v>
      </c>
      <c r="F546" s="4">
        <v>6</v>
      </c>
      <c r="G546" s="5">
        <v>100.01</v>
      </c>
      <c r="H546" s="4">
        <v>1</v>
      </c>
    </row>
    <row r="547" spans="1:8" x14ac:dyDescent="0.2">
      <c r="A547" s="2" t="s">
        <v>42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2">
      <c r="A548" s="2" t="s">
        <v>43</v>
      </c>
      <c r="B548" s="4">
        <v>1</v>
      </c>
      <c r="C548" s="5">
        <v>3.13</v>
      </c>
      <c r="D548" s="4">
        <v>0</v>
      </c>
      <c r="E548" s="5">
        <v>0</v>
      </c>
      <c r="F548" s="4">
        <v>1</v>
      </c>
      <c r="G548" s="5">
        <v>16.670000000000002</v>
      </c>
      <c r="H548" s="4">
        <v>0</v>
      </c>
    </row>
    <row r="549" spans="1:8" x14ac:dyDescent="0.2">
      <c r="A549" s="2" t="s">
        <v>44</v>
      </c>
      <c r="B549" s="4">
        <v>1</v>
      </c>
      <c r="C549" s="5">
        <v>3.13</v>
      </c>
      <c r="D549" s="4">
        <v>0</v>
      </c>
      <c r="E549" s="5">
        <v>0</v>
      </c>
      <c r="F549" s="4">
        <v>1</v>
      </c>
      <c r="G549" s="5">
        <v>16.670000000000002</v>
      </c>
      <c r="H549" s="4">
        <v>0</v>
      </c>
    </row>
    <row r="550" spans="1:8" x14ac:dyDescent="0.2">
      <c r="A550" s="2" t="s">
        <v>45</v>
      </c>
      <c r="B550" s="4">
        <v>2</v>
      </c>
      <c r="C550" s="5">
        <v>6.25</v>
      </c>
      <c r="D550" s="4">
        <v>0</v>
      </c>
      <c r="E550" s="5">
        <v>0</v>
      </c>
      <c r="F550" s="4">
        <v>1</v>
      </c>
      <c r="G550" s="5">
        <v>16.670000000000002</v>
      </c>
      <c r="H550" s="4">
        <v>0</v>
      </c>
    </row>
    <row r="551" spans="1:8" x14ac:dyDescent="0.2">
      <c r="A551" s="2" t="s">
        <v>46</v>
      </c>
      <c r="B551" s="4">
        <v>0</v>
      </c>
      <c r="C551" s="5">
        <v>0</v>
      </c>
      <c r="D551" s="4">
        <v>0</v>
      </c>
      <c r="E551" s="5">
        <v>0</v>
      </c>
      <c r="F551" s="4">
        <v>0</v>
      </c>
      <c r="G551" s="5">
        <v>0</v>
      </c>
      <c r="H551" s="4">
        <v>0</v>
      </c>
    </row>
    <row r="552" spans="1:8" x14ac:dyDescent="0.2">
      <c r="A552" s="2" t="s">
        <v>47</v>
      </c>
      <c r="B552" s="4">
        <v>5</v>
      </c>
      <c r="C552" s="5">
        <v>15.63</v>
      </c>
      <c r="D552" s="4">
        <v>2</v>
      </c>
      <c r="E552" s="5">
        <v>14.29</v>
      </c>
      <c r="F552" s="4">
        <v>1</v>
      </c>
      <c r="G552" s="5">
        <v>16.670000000000002</v>
      </c>
      <c r="H552" s="4">
        <v>0</v>
      </c>
    </row>
    <row r="553" spans="1:8" x14ac:dyDescent="0.2">
      <c r="A553" s="2" t="s">
        <v>48</v>
      </c>
      <c r="B553" s="4">
        <v>9</v>
      </c>
      <c r="C553" s="5">
        <v>28.13</v>
      </c>
      <c r="D553" s="4">
        <v>6</v>
      </c>
      <c r="E553" s="5">
        <v>42.86</v>
      </c>
      <c r="F553" s="4">
        <v>2</v>
      </c>
      <c r="G553" s="5">
        <v>33.33</v>
      </c>
      <c r="H553" s="4">
        <v>1</v>
      </c>
    </row>
    <row r="554" spans="1:8" x14ac:dyDescent="0.2">
      <c r="A554" s="2" t="s">
        <v>49</v>
      </c>
      <c r="B554" s="4">
        <v>0</v>
      </c>
      <c r="C554" s="5">
        <v>0</v>
      </c>
      <c r="D554" s="4">
        <v>0</v>
      </c>
      <c r="E554" s="5">
        <v>0</v>
      </c>
      <c r="F554" s="4">
        <v>0</v>
      </c>
      <c r="G554" s="5">
        <v>0</v>
      </c>
      <c r="H554" s="4">
        <v>0</v>
      </c>
    </row>
    <row r="555" spans="1:8" x14ac:dyDescent="0.2">
      <c r="A555" s="2" t="s">
        <v>50</v>
      </c>
      <c r="B555" s="4">
        <v>0</v>
      </c>
      <c r="C555" s="5">
        <v>0</v>
      </c>
      <c r="D555" s="4">
        <v>0</v>
      </c>
      <c r="E555" s="5">
        <v>0</v>
      </c>
      <c r="F555" s="4">
        <v>0</v>
      </c>
      <c r="G555" s="5">
        <v>0</v>
      </c>
      <c r="H555" s="4">
        <v>0</v>
      </c>
    </row>
    <row r="556" spans="1:8" x14ac:dyDescent="0.2">
      <c r="A556" s="2" t="s">
        <v>51</v>
      </c>
      <c r="B556" s="4">
        <v>1</v>
      </c>
      <c r="C556" s="5">
        <v>3.13</v>
      </c>
      <c r="D556" s="4">
        <v>0</v>
      </c>
      <c r="E556" s="5">
        <v>0</v>
      </c>
      <c r="F556" s="4">
        <v>0</v>
      </c>
      <c r="G556" s="5">
        <v>0</v>
      </c>
      <c r="H556" s="4">
        <v>0</v>
      </c>
    </row>
    <row r="557" spans="1:8" x14ac:dyDescent="0.2">
      <c r="A557" s="2" t="s">
        <v>52</v>
      </c>
      <c r="B557" s="4">
        <v>6</v>
      </c>
      <c r="C557" s="5">
        <v>18.75</v>
      </c>
      <c r="D557" s="4">
        <v>4</v>
      </c>
      <c r="E557" s="5">
        <v>28.57</v>
      </c>
      <c r="F557" s="4">
        <v>0</v>
      </c>
      <c r="G557" s="5">
        <v>0</v>
      </c>
      <c r="H557" s="4">
        <v>0</v>
      </c>
    </row>
    <row r="558" spans="1:8" x14ac:dyDescent="0.2">
      <c r="A558" s="2" t="s">
        <v>53</v>
      </c>
      <c r="B558" s="4">
        <v>1</v>
      </c>
      <c r="C558" s="5">
        <v>3.13</v>
      </c>
      <c r="D558" s="4">
        <v>1</v>
      </c>
      <c r="E558" s="5">
        <v>7.14</v>
      </c>
      <c r="F558" s="4">
        <v>0</v>
      </c>
      <c r="G558" s="5">
        <v>0</v>
      </c>
      <c r="H558" s="4">
        <v>0</v>
      </c>
    </row>
    <row r="559" spans="1:8" x14ac:dyDescent="0.2">
      <c r="A559" s="2" t="s">
        <v>54</v>
      </c>
      <c r="B559" s="4">
        <v>1</v>
      </c>
      <c r="C559" s="5">
        <v>3.13</v>
      </c>
      <c r="D559" s="4">
        <v>0</v>
      </c>
      <c r="E559" s="5">
        <v>0</v>
      </c>
      <c r="F559" s="4">
        <v>0</v>
      </c>
      <c r="G559" s="5">
        <v>0</v>
      </c>
      <c r="H559" s="4">
        <v>0</v>
      </c>
    </row>
    <row r="560" spans="1:8" x14ac:dyDescent="0.2">
      <c r="A560" s="2" t="s">
        <v>55</v>
      </c>
      <c r="B560" s="4">
        <v>1</v>
      </c>
      <c r="C560" s="5">
        <v>3.13</v>
      </c>
      <c r="D560" s="4">
        <v>0</v>
      </c>
      <c r="E560" s="5">
        <v>0</v>
      </c>
      <c r="F560" s="4">
        <v>0</v>
      </c>
      <c r="G560" s="5">
        <v>0</v>
      </c>
      <c r="H560" s="4">
        <v>0</v>
      </c>
    </row>
    <row r="561" spans="1:8" x14ac:dyDescent="0.2">
      <c r="A561" s="2" t="s">
        <v>56</v>
      </c>
      <c r="B561" s="4">
        <v>4</v>
      </c>
      <c r="C561" s="5">
        <v>12.5</v>
      </c>
      <c r="D561" s="4">
        <v>1</v>
      </c>
      <c r="E561" s="5">
        <v>7.14</v>
      </c>
      <c r="F561" s="4">
        <v>0</v>
      </c>
      <c r="G561" s="5">
        <v>0</v>
      </c>
      <c r="H561" s="4">
        <v>0</v>
      </c>
    </row>
    <row r="562" spans="1:8" x14ac:dyDescent="0.2">
      <c r="A562" s="1" t="s">
        <v>35</v>
      </c>
      <c r="B562" s="4">
        <v>53</v>
      </c>
      <c r="C562" s="5">
        <v>100.00999999999999</v>
      </c>
      <c r="D562" s="4">
        <v>33</v>
      </c>
      <c r="E562" s="5">
        <v>99.990000000000009</v>
      </c>
      <c r="F562" s="4">
        <v>15</v>
      </c>
      <c r="G562" s="5">
        <v>100.01</v>
      </c>
      <c r="H562" s="4">
        <v>1</v>
      </c>
    </row>
    <row r="563" spans="1:8" x14ac:dyDescent="0.2">
      <c r="A563" s="2" t="s">
        <v>42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2">
      <c r="A564" s="2" t="s">
        <v>43</v>
      </c>
      <c r="B564" s="4">
        <v>4</v>
      </c>
      <c r="C564" s="5">
        <v>7.55</v>
      </c>
      <c r="D564" s="4">
        <v>1</v>
      </c>
      <c r="E564" s="5">
        <v>3.03</v>
      </c>
      <c r="F564" s="4">
        <v>3</v>
      </c>
      <c r="G564" s="5">
        <v>20</v>
      </c>
      <c r="H564" s="4">
        <v>0</v>
      </c>
    </row>
    <row r="565" spans="1:8" x14ac:dyDescent="0.2">
      <c r="A565" s="2" t="s">
        <v>44</v>
      </c>
      <c r="B565" s="4">
        <v>9</v>
      </c>
      <c r="C565" s="5">
        <v>16.98</v>
      </c>
      <c r="D565" s="4">
        <v>4</v>
      </c>
      <c r="E565" s="5">
        <v>12.12</v>
      </c>
      <c r="F565" s="4">
        <v>4</v>
      </c>
      <c r="G565" s="5">
        <v>26.67</v>
      </c>
      <c r="H565" s="4">
        <v>1</v>
      </c>
    </row>
    <row r="566" spans="1:8" x14ac:dyDescent="0.2">
      <c r="A566" s="2" t="s">
        <v>45</v>
      </c>
      <c r="B566" s="4">
        <v>0</v>
      </c>
      <c r="C566" s="5">
        <v>0</v>
      </c>
      <c r="D566" s="4">
        <v>0</v>
      </c>
      <c r="E566" s="5">
        <v>0</v>
      </c>
      <c r="F566" s="4">
        <v>0</v>
      </c>
      <c r="G566" s="5">
        <v>0</v>
      </c>
      <c r="H566" s="4">
        <v>0</v>
      </c>
    </row>
    <row r="567" spans="1:8" x14ac:dyDescent="0.2">
      <c r="A567" s="2" t="s">
        <v>46</v>
      </c>
      <c r="B567" s="4">
        <v>0</v>
      </c>
      <c r="C567" s="5">
        <v>0</v>
      </c>
      <c r="D567" s="4">
        <v>0</v>
      </c>
      <c r="E567" s="5">
        <v>0</v>
      </c>
      <c r="F567" s="4">
        <v>0</v>
      </c>
      <c r="G567" s="5">
        <v>0</v>
      </c>
      <c r="H567" s="4">
        <v>0</v>
      </c>
    </row>
    <row r="568" spans="1:8" x14ac:dyDescent="0.2">
      <c r="A568" s="2" t="s">
        <v>47</v>
      </c>
      <c r="B568" s="4">
        <v>2</v>
      </c>
      <c r="C568" s="5">
        <v>3.77</v>
      </c>
      <c r="D568" s="4">
        <v>1</v>
      </c>
      <c r="E568" s="5">
        <v>3.03</v>
      </c>
      <c r="F568" s="4">
        <v>1</v>
      </c>
      <c r="G568" s="5">
        <v>6.67</v>
      </c>
      <c r="H568" s="4">
        <v>0</v>
      </c>
    </row>
    <row r="569" spans="1:8" x14ac:dyDescent="0.2">
      <c r="A569" s="2" t="s">
        <v>48</v>
      </c>
      <c r="B569" s="4">
        <v>17</v>
      </c>
      <c r="C569" s="5">
        <v>32.08</v>
      </c>
      <c r="D569" s="4">
        <v>11</v>
      </c>
      <c r="E569" s="5">
        <v>33.33</v>
      </c>
      <c r="F569" s="4">
        <v>6</v>
      </c>
      <c r="G569" s="5">
        <v>40</v>
      </c>
      <c r="H569" s="4">
        <v>0</v>
      </c>
    </row>
    <row r="570" spans="1:8" x14ac:dyDescent="0.2">
      <c r="A570" s="2" t="s">
        <v>49</v>
      </c>
      <c r="B570" s="4">
        <v>0</v>
      </c>
      <c r="C570" s="5">
        <v>0</v>
      </c>
      <c r="D570" s="4">
        <v>0</v>
      </c>
      <c r="E570" s="5">
        <v>0</v>
      </c>
      <c r="F570" s="4">
        <v>0</v>
      </c>
      <c r="G570" s="5">
        <v>0</v>
      </c>
      <c r="H570" s="4">
        <v>0</v>
      </c>
    </row>
    <row r="571" spans="1:8" x14ac:dyDescent="0.2">
      <c r="A571" s="2" t="s">
        <v>50</v>
      </c>
      <c r="B571" s="4">
        <v>1</v>
      </c>
      <c r="C571" s="5">
        <v>1.89</v>
      </c>
      <c r="D571" s="4">
        <v>0</v>
      </c>
      <c r="E571" s="5">
        <v>0</v>
      </c>
      <c r="F571" s="4">
        <v>0</v>
      </c>
      <c r="G571" s="5">
        <v>0</v>
      </c>
      <c r="H571" s="4">
        <v>0</v>
      </c>
    </row>
    <row r="572" spans="1:8" x14ac:dyDescent="0.2">
      <c r="A572" s="2" t="s">
        <v>51</v>
      </c>
      <c r="B572" s="4">
        <v>0</v>
      </c>
      <c r="C572" s="5">
        <v>0</v>
      </c>
      <c r="D572" s="4">
        <v>0</v>
      </c>
      <c r="E572" s="5">
        <v>0</v>
      </c>
      <c r="F572" s="4">
        <v>0</v>
      </c>
      <c r="G572" s="5">
        <v>0</v>
      </c>
      <c r="H572" s="4">
        <v>0</v>
      </c>
    </row>
    <row r="573" spans="1:8" x14ac:dyDescent="0.2">
      <c r="A573" s="2" t="s">
        <v>52</v>
      </c>
      <c r="B573" s="4">
        <v>12</v>
      </c>
      <c r="C573" s="5">
        <v>22.64</v>
      </c>
      <c r="D573" s="4">
        <v>12</v>
      </c>
      <c r="E573" s="5">
        <v>36.36</v>
      </c>
      <c r="F573" s="4">
        <v>0</v>
      </c>
      <c r="G573" s="5">
        <v>0</v>
      </c>
      <c r="H573" s="4">
        <v>0</v>
      </c>
    </row>
    <row r="574" spans="1:8" x14ac:dyDescent="0.2">
      <c r="A574" s="2" t="s">
        <v>53</v>
      </c>
      <c r="B574" s="4">
        <v>3</v>
      </c>
      <c r="C574" s="5">
        <v>5.66</v>
      </c>
      <c r="D574" s="4">
        <v>3</v>
      </c>
      <c r="E574" s="5">
        <v>9.09</v>
      </c>
      <c r="F574" s="4">
        <v>0</v>
      </c>
      <c r="G574" s="5">
        <v>0</v>
      </c>
      <c r="H574" s="4">
        <v>0</v>
      </c>
    </row>
    <row r="575" spans="1:8" x14ac:dyDescent="0.2">
      <c r="A575" s="2" t="s">
        <v>54</v>
      </c>
      <c r="B575" s="4">
        <v>1</v>
      </c>
      <c r="C575" s="5">
        <v>1.89</v>
      </c>
      <c r="D575" s="4">
        <v>0</v>
      </c>
      <c r="E575" s="5">
        <v>0</v>
      </c>
      <c r="F575" s="4">
        <v>0</v>
      </c>
      <c r="G575" s="5">
        <v>0</v>
      </c>
      <c r="H575" s="4">
        <v>0</v>
      </c>
    </row>
    <row r="576" spans="1:8" x14ac:dyDescent="0.2">
      <c r="A576" s="2" t="s">
        <v>55</v>
      </c>
      <c r="B576" s="4">
        <v>1</v>
      </c>
      <c r="C576" s="5">
        <v>1.89</v>
      </c>
      <c r="D576" s="4">
        <v>0</v>
      </c>
      <c r="E576" s="5">
        <v>0</v>
      </c>
      <c r="F576" s="4">
        <v>0</v>
      </c>
      <c r="G576" s="5">
        <v>0</v>
      </c>
      <c r="H576" s="4">
        <v>0</v>
      </c>
    </row>
    <row r="577" spans="1:8" x14ac:dyDescent="0.2">
      <c r="A577" s="2" t="s">
        <v>56</v>
      </c>
      <c r="B577" s="4">
        <v>3</v>
      </c>
      <c r="C577" s="5">
        <v>5.66</v>
      </c>
      <c r="D577" s="4">
        <v>1</v>
      </c>
      <c r="E577" s="5">
        <v>3.03</v>
      </c>
      <c r="F577" s="4">
        <v>1</v>
      </c>
      <c r="G577" s="5">
        <v>6.67</v>
      </c>
      <c r="H577" s="4">
        <v>0</v>
      </c>
    </row>
    <row r="578" spans="1:8" x14ac:dyDescent="0.2">
      <c r="A578" s="1" t="s">
        <v>36</v>
      </c>
      <c r="B578" s="4">
        <v>61</v>
      </c>
      <c r="C578" s="5">
        <v>100.01000000000002</v>
      </c>
      <c r="D578" s="4">
        <v>35</v>
      </c>
      <c r="E578" s="5">
        <v>100.00999999999999</v>
      </c>
      <c r="F578" s="4">
        <v>20</v>
      </c>
      <c r="G578" s="5">
        <v>100</v>
      </c>
      <c r="H578" s="4">
        <v>1</v>
      </c>
    </row>
    <row r="579" spans="1:8" x14ac:dyDescent="0.2">
      <c r="A579" s="2" t="s">
        <v>42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2">
      <c r="A580" s="2" t="s">
        <v>43</v>
      </c>
      <c r="B580" s="4">
        <v>12</v>
      </c>
      <c r="C580" s="5">
        <v>19.670000000000002</v>
      </c>
      <c r="D580" s="4">
        <v>1</v>
      </c>
      <c r="E580" s="5">
        <v>2.86</v>
      </c>
      <c r="F580" s="4">
        <v>11</v>
      </c>
      <c r="G580" s="5">
        <v>55</v>
      </c>
      <c r="H580" s="4">
        <v>0</v>
      </c>
    </row>
    <row r="581" spans="1:8" x14ac:dyDescent="0.2">
      <c r="A581" s="2" t="s">
        <v>44</v>
      </c>
      <c r="B581" s="4">
        <v>3</v>
      </c>
      <c r="C581" s="5">
        <v>4.92</v>
      </c>
      <c r="D581" s="4">
        <v>0</v>
      </c>
      <c r="E581" s="5">
        <v>0</v>
      </c>
      <c r="F581" s="4">
        <v>3</v>
      </c>
      <c r="G581" s="5">
        <v>15</v>
      </c>
      <c r="H581" s="4">
        <v>0</v>
      </c>
    </row>
    <row r="582" spans="1:8" x14ac:dyDescent="0.2">
      <c r="A582" s="2" t="s">
        <v>45</v>
      </c>
      <c r="B582" s="4">
        <v>0</v>
      </c>
      <c r="C582" s="5">
        <v>0</v>
      </c>
      <c r="D582" s="4">
        <v>0</v>
      </c>
      <c r="E582" s="5">
        <v>0</v>
      </c>
      <c r="F582" s="4">
        <v>0</v>
      </c>
      <c r="G582" s="5">
        <v>0</v>
      </c>
      <c r="H582" s="4">
        <v>0</v>
      </c>
    </row>
    <row r="583" spans="1:8" x14ac:dyDescent="0.2">
      <c r="A583" s="2" t="s">
        <v>46</v>
      </c>
      <c r="B583" s="4">
        <v>0</v>
      </c>
      <c r="C583" s="5">
        <v>0</v>
      </c>
      <c r="D583" s="4">
        <v>0</v>
      </c>
      <c r="E583" s="5">
        <v>0</v>
      </c>
      <c r="F583" s="4">
        <v>0</v>
      </c>
      <c r="G583" s="5">
        <v>0</v>
      </c>
      <c r="H583" s="4">
        <v>0</v>
      </c>
    </row>
    <row r="584" spans="1:8" x14ac:dyDescent="0.2">
      <c r="A584" s="2" t="s">
        <v>47</v>
      </c>
      <c r="B584" s="4">
        <v>1</v>
      </c>
      <c r="C584" s="5">
        <v>1.64</v>
      </c>
      <c r="D584" s="4">
        <v>0</v>
      </c>
      <c r="E584" s="5">
        <v>0</v>
      </c>
      <c r="F584" s="4">
        <v>1</v>
      </c>
      <c r="G584" s="5">
        <v>5</v>
      </c>
      <c r="H584" s="4">
        <v>0</v>
      </c>
    </row>
    <row r="585" spans="1:8" x14ac:dyDescent="0.2">
      <c r="A585" s="2" t="s">
        <v>48</v>
      </c>
      <c r="B585" s="4">
        <v>18</v>
      </c>
      <c r="C585" s="5">
        <v>29.51</v>
      </c>
      <c r="D585" s="4">
        <v>14</v>
      </c>
      <c r="E585" s="5">
        <v>40</v>
      </c>
      <c r="F585" s="4">
        <v>3</v>
      </c>
      <c r="G585" s="5">
        <v>15</v>
      </c>
      <c r="H585" s="4">
        <v>1</v>
      </c>
    </row>
    <row r="586" spans="1:8" x14ac:dyDescent="0.2">
      <c r="A586" s="2" t="s">
        <v>49</v>
      </c>
      <c r="B586" s="4">
        <v>0</v>
      </c>
      <c r="C586" s="5">
        <v>0</v>
      </c>
      <c r="D586" s="4">
        <v>0</v>
      </c>
      <c r="E586" s="5">
        <v>0</v>
      </c>
      <c r="F586" s="4">
        <v>0</v>
      </c>
      <c r="G586" s="5">
        <v>0</v>
      </c>
      <c r="H586" s="4">
        <v>0</v>
      </c>
    </row>
    <row r="587" spans="1:8" x14ac:dyDescent="0.2">
      <c r="A587" s="2" t="s">
        <v>50</v>
      </c>
      <c r="B587" s="4">
        <v>2</v>
      </c>
      <c r="C587" s="5">
        <v>3.28</v>
      </c>
      <c r="D587" s="4">
        <v>1</v>
      </c>
      <c r="E587" s="5">
        <v>2.86</v>
      </c>
      <c r="F587" s="4">
        <v>0</v>
      </c>
      <c r="G587" s="5">
        <v>0</v>
      </c>
      <c r="H587" s="4">
        <v>0</v>
      </c>
    </row>
    <row r="588" spans="1:8" x14ac:dyDescent="0.2">
      <c r="A588" s="2" t="s">
        <v>51</v>
      </c>
      <c r="B588" s="4">
        <v>0</v>
      </c>
      <c r="C588" s="5">
        <v>0</v>
      </c>
      <c r="D588" s="4">
        <v>0</v>
      </c>
      <c r="E588" s="5">
        <v>0</v>
      </c>
      <c r="F588" s="4">
        <v>0</v>
      </c>
      <c r="G588" s="5">
        <v>0</v>
      </c>
      <c r="H588" s="4">
        <v>0</v>
      </c>
    </row>
    <row r="589" spans="1:8" x14ac:dyDescent="0.2">
      <c r="A589" s="2" t="s">
        <v>52</v>
      </c>
      <c r="B589" s="4">
        <v>15</v>
      </c>
      <c r="C589" s="5">
        <v>24.59</v>
      </c>
      <c r="D589" s="4">
        <v>14</v>
      </c>
      <c r="E589" s="5">
        <v>40</v>
      </c>
      <c r="F589" s="4">
        <v>1</v>
      </c>
      <c r="G589" s="5">
        <v>5</v>
      </c>
      <c r="H589" s="4">
        <v>0</v>
      </c>
    </row>
    <row r="590" spans="1:8" x14ac:dyDescent="0.2">
      <c r="A590" s="2" t="s">
        <v>53</v>
      </c>
      <c r="B590" s="4">
        <v>6</v>
      </c>
      <c r="C590" s="5">
        <v>9.84</v>
      </c>
      <c r="D590" s="4">
        <v>5</v>
      </c>
      <c r="E590" s="5">
        <v>14.29</v>
      </c>
      <c r="F590" s="4">
        <v>0</v>
      </c>
      <c r="G590" s="5">
        <v>0</v>
      </c>
      <c r="H590" s="4">
        <v>0</v>
      </c>
    </row>
    <row r="591" spans="1:8" x14ac:dyDescent="0.2">
      <c r="A591" s="2" t="s">
        <v>54</v>
      </c>
      <c r="B591" s="4">
        <v>1</v>
      </c>
      <c r="C591" s="5">
        <v>1.64</v>
      </c>
      <c r="D591" s="4">
        <v>0</v>
      </c>
      <c r="E591" s="5">
        <v>0</v>
      </c>
      <c r="F591" s="4">
        <v>0</v>
      </c>
      <c r="G591" s="5">
        <v>0</v>
      </c>
      <c r="H591" s="4">
        <v>0</v>
      </c>
    </row>
    <row r="592" spans="1:8" x14ac:dyDescent="0.2">
      <c r="A592" s="2" t="s">
        <v>55</v>
      </c>
      <c r="B592" s="4">
        <v>1</v>
      </c>
      <c r="C592" s="5">
        <v>1.64</v>
      </c>
      <c r="D592" s="4">
        <v>0</v>
      </c>
      <c r="E592" s="5">
        <v>0</v>
      </c>
      <c r="F592" s="4">
        <v>0</v>
      </c>
      <c r="G592" s="5">
        <v>0</v>
      </c>
      <c r="H592" s="4">
        <v>0</v>
      </c>
    </row>
    <row r="593" spans="1:8" x14ac:dyDescent="0.2">
      <c r="A593" s="2" t="s">
        <v>56</v>
      </c>
      <c r="B593" s="4">
        <v>2</v>
      </c>
      <c r="C593" s="5">
        <v>3.28</v>
      </c>
      <c r="D593" s="4">
        <v>0</v>
      </c>
      <c r="E593" s="5">
        <v>0</v>
      </c>
      <c r="F593" s="4">
        <v>1</v>
      </c>
      <c r="G593" s="5">
        <v>5</v>
      </c>
      <c r="H593" s="4">
        <v>0</v>
      </c>
    </row>
    <row r="594" spans="1:8" x14ac:dyDescent="0.2">
      <c r="A594" s="1" t="s">
        <v>37</v>
      </c>
      <c r="B594" s="4">
        <v>381</v>
      </c>
      <c r="C594" s="5">
        <v>100</v>
      </c>
      <c r="D594" s="4">
        <v>311</v>
      </c>
      <c r="E594" s="5">
        <v>99.990000000000009</v>
      </c>
      <c r="F594" s="4">
        <v>65</v>
      </c>
      <c r="G594" s="5">
        <v>100.00000000000001</v>
      </c>
      <c r="H594" s="4">
        <v>0</v>
      </c>
    </row>
    <row r="595" spans="1:8" x14ac:dyDescent="0.2">
      <c r="A595" s="2" t="s">
        <v>42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2">
      <c r="A596" s="2" t="s">
        <v>43</v>
      </c>
      <c r="B596" s="4">
        <v>12</v>
      </c>
      <c r="C596" s="5">
        <v>3.15</v>
      </c>
      <c r="D596" s="4">
        <v>6</v>
      </c>
      <c r="E596" s="5">
        <v>1.93</v>
      </c>
      <c r="F596" s="4">
        <v>6</v>
      </c>
      <c r="G596" s="5">
        <v>9.23</v>
      </c>
      <c r="H596" s="4">
        <v>0</v>
      </c>
    </row>
    <row r="597" spans="1:8" x14ac:dyDescent="0.2">
      <c r="A597" s="2" t="s">
        <v>44</v>
      </c>
      <c r="B597" s="4">
        <v>83</v>
      </c>
      <c r="C597" s="5">
        <v>21.78</v>
      </c>
      <c r="D597" s="4">
        <v>71</v>
      </c>
      <c r="E597" s="5">
        <v>22.83</v>
      </c>
      <c r="F597" s="4">
        <v>12</v>
      </c>
      <c r="G597" s="5">
        <v>18.46</v>
      </c>
      <c r="H597" s="4">
        <v>0</v>
      </c>
    </row>
    <row r="598" spans="1:8" x14ac:dyDescent="0.2">
      <c r="A598" s="2" t="s">
        <v>45</v>
      </c>
      <c r="B598" s="4">
        <v>0</v>
      </c>
      <c r="C598" s="5">
        <v>0</v>
      </c>
      <c r="D598" s="4">
        <v>0</v>
      </c>
      <c r="E598" s="5">
        <v>0</v>
      </c>
      <c r="F598" s="4">
        <v>0</v>
      </c>
      <c r="G598" s="5">
        <v>0</v>
      </c>
      <c r="H598" s="4">
        <v>0</v>
      </c>
    </row>
    <row r="599" spans="1:8" x14ac:dyDescent="0.2">
      <c r="A599" s="2" t="s">
        <v>46</v>
      </c>
      <c r="B599" s="4">
        <v>0</v>
      </c>
      <c r="C599" s="5">
        <v>0</v>
      </c>
      <c r="D599" s="4">
        <v>0</v>
      </c>
      <c r="E599" s="5">
        <v>0</v>
      </c>
      <c r="F599" s="4">
        <v>0</v>
      </c>
      <c r="G599" s="5">
        <v>0</v>
      </c>
      <c r="H599" s="4">
        <v>0</v>
      </c>
    </row>
    <row r="600" spans="1:8" x14ac:dyDescent="0.2">
      <c r="A600" s="2" t="s">
        <v>47</v>
      </c>
      <c r="B600" s="4">
        <v>5</v>
      </c>
      <c r="C600" s="5">
        <v>1.31</v>
      </c>
      <c r="D600" s="4">
        <v>1</v>
      </c>
      <c r="E600" s="5">
        <v>0.32</v>
      </c>
      <c r="F600" s="4">
        <v>4</v>
      </c>
      <c r="G600" s="5">
        <v>6.15</v>
      </c>
      <c r="H600" s="4">
        <v>0</v>
      </c>
    </row>
    <row r="601" spans="1:8" x14ac:dyDescent="0.2">
      <c r="A601" s="2" t="s">
        <v>48</v>
      </c>
      <c r="B601" s="4">
        <v>80</v>
      </c>
      <c r="C601" s="5">
        <v>21</v>
      </c>
      <c r="D601" s="4">
        <v>63</v>
      </c>
      <c r="E601" s="5">
        <v>20.260000000000002</v>
      </c>
      <c r="F601" s="4">
        <v>17</v>
      </c>
      <c r="G601" s="5">
        <v>26.15</v>
      </c>
      <c r="H601" s="4">
        <v>0</v>
      </c>
    </row>
    <row r="602" spans="1:8" x14ac:dyDescent="0.2">
      <c r="A602" s="2" t="s">
        <v>49</v>
      </c>
      <c r="B602" s="4">
        <v>3</v>
      </c>
      <c r="C602" s="5">
        <v>0.79</v>
      </c>
      <c r="D602" s="4">
        <v>1</v>
      </c>
      <c r="E602" s="5">
        <v>0.32</v>
      </c>
      <c r="F602" s="4">
        <v>2</v>
      </c>
      <c r="G602" s="5">
        <v>3.08</v>
      </c>
      <c r="H602" s="4">
        <v>0</v>
      </c>
    </row>
    <row r="603" spans="1:8" x14ac:dyDescent="0.2">
      <c r="A603" s="2" t="s">
        <v>50</v>
      </c>
      <c r="B603" s="4">
        <v>41</v>
      </c>
      <c r="C603" s="5">
        <v>10.76</v>
      </c>
      <c r="D603" s="4">
        <v>34</v>
      </c>
      <c r="E603" s="5">
        <v>10.93</v>
      </c>
      <c r="F603" s="4">
        <v>6</v>
      </c>
      <c r="G603" s="5">
        <v>9.23</v>
      </c>
      <c r="H603" s="4">
        <v>0</v>
      </c>
    </row>
    <row r="604" spans="1:8" x14ac:dyDescent="0.2">
      <c r="A604" s="2" t="s">
        <v>51</v>
      </c>
      <c r="B604" s="4">
        <v>7</v>
      </c>
      <c r="C604" s="5">
        <v>1.84</v>
      </c>
      <c r="D604" s="4">
        <v>4</v>
      </c>
      <c r="E604" s="5">
        <v>1.29</v>
      </c>
      <c r="F604" s="4">
        <v>2</v>
      </c>
      <c r="G604" s="5">
        <v>3.08</v>
      </c>
      <c r="H604" s="4">
        <v>0</v>
      </c>
    </row>
    <row r="605" spans="1:8" x14ac:dyDescent="0.2">
      <c r="A605" s="2" t="s">
        <v>52</v>
      </c>
      <c r="B605" s="4">
        <v>73</v>
      </c>
      <c r="C605" s="5">
        <v>19.16</v>
      </c>
      <c r="D605" s="4">
        <v>68</v>
      </c>
      <c r="E605" s="5">
        <v>21.86</v>
      </c>
      <c r="F605" s="4">
        <v>4</v>
      </c>
      <c r="G605" s="5">
        <v>6.15</v>
      </c>
      <c r="H605" s="4">
        <v>0</v>
      </c>
    </row>
    <row r="606" spans="1:8" x14ac:dyDescent="0.2">
      <c r="A606" s="2" t="s">
        <v>53</v>
      </c>
      <c r="B606" s="4">
        <v>44</v>
      </c>
      <c r="C606" s="5">
        <v>11.55</v>
      </c>
      <c r="D606" s="4">
        <v>40</v>
      </c>
      <c r="E606" s="5">
        <v>12.86</v>
      </c>
      <c r="F606" s="4">
        <v>3</v>
      </c>
      <c r="G606" s="5">
        <v>4.62</v>
      </c>
      <c r="H606" s="4">
        <v>0</v>
      </c>
    </row>
    <row r="607" spans="1:8" x14ac:dyDescent="0.2">
      <c r="A607" s="2" t="s">
        <v>54</v>
      </c>
      <c r="B607" s="4">
        <v>10</v>
      </c>
      <c r="C607" s="5">
        <v>2.62</v>
      </c>
      <c r="D607" s="4">
        <v>9</v>
      </c>
      <c r="E607" s="5">
        <v>2.89</v>
      </c>
      <c r="F607" s="4">
        <v>1</v>
      </c>
      <c r="G607" s="5">
        <v>1.54</v>
      </c>
      <c r="H607" s="4">
        <v>0</v>
      </c>
    </row>
    <row r="608" spans="1:8" x14ac:dyDescent="0.2">
      <c r="A608" s="2" t="s">
        <v>55</v>
      </c>
      <c r="B608" s="4">
        <v>12</v>
      </c>
      <c r="C608" s="5">
        <v>3.15</v>
      </c>
      <c r="D608" s="4">
        <v>6</v>
      </c>
      <c r="E608" s="5">
        <v>1.93</v>
      </c>
      <c r="F608" s="4">
        <v>6</v>
      </c>
      <c r="G608" s="5">
        <v>9.23</v>
      </c>
      <c r="H608" s="4">
        <v>0</v>
      </c>
    </row>
    <row r="609" spans="1:8" x14ac:dyDescent="0.2">
      <c r="A609" s="2" t="s">
        <v>56</v>
      </c>
      <c r="B609" s="4">
        <v>11</v>
      </c>
      <c r="C609" s="5">
        <v>2.89</v>
      </c>
      <c r="D609" s="4">
        <v>8</v>
      </c>
      <c r="E609" s="5">
        <v>2.57</v>
      </c>
      <c r="F609" s="4">
        <v>2</v>
      </c>
      <c r="G609" s="5">
        <v>3.08</v>
      </c>
      <c r="H609" s="4">
        <v>0</v>
      </c>
    </row>
    <row r="610" spans="1:8" x14ac:dyDescent="0.2">
      <c r="A610" s="1" t="s">
        <v>38</v>
      </c>
      <c r="B610" s="4">
        <v>523</v>
      </c>
      <c r="C610" s="5">
        <v>100.01</v>
      </c>
      <c r="D610" s="4">
        <v>339</v>
      </c>
      <c r="E610" s="5">
        <v>99.97</v>
      </c>
      <c r="F610" s="4">
        <v>179</v>
      </c>
      <c r="G610" s="5">
        <v>100.02000000000002</v>
      </c>
      <c r="H610" s="4">
        <v>2</v>
      </c>
    </row>
    <row r="611" spans="1:8" x14ac:dyDescent="0.2">
      <c r="A611" s="2" t="s">
        <v>42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2">
      <c r="A612" s="2" t="s">
        <v>43</v>
      </c>
      <c r="B612" s="4">
        <v>84</v>
      </c>
      <c r="C612" s="5">
        <v>16.059999999999999</v>
      </c>
      <c r="D612" s="4">
        <v>30</v>
      </c>
      <c r="E612" s="5">
        <v>8.85</v>
      </c>
      <c r="F612" s="4">
        <v>54</v>
      </c>
      <c r="G612" s="5">
        <v>30.17</v>
      </c>
      <c r="H612" s="4">
        <v>0</v>
      </c>
    </row>
    <row r="613" spans="1:8" x14ac:dyDescent="0.2">
      <c r="A613" s="2" t="s">
        <v>44</v>
      </c>
      <c r="B613" s="4">
        <v>39</v>
      </c>
      <c r="C613" s="5">
        <v>7.46</v>
      </c>
      <c r="D613" s="4">
        <v>20</v>
      </c>
      <c r="E613" s="5">
        <v>5.9</v>
      </c>
      <c r="F613" s="4">
        <v>18</v>
      </c>
      <c r="G613" s="5">
        <v>10.06</v>
      </c>
      <c r="H613" s="4">
        <v>1</v>
      </c>
    </row>
    <row r="614" spans="1:8" x14ac:dyDescent="0.2">
      <c r="A614" s="2" t="s">
        <v>45</v>
      </c>
      <c r="B614" s="4">
        <v>0</v>
      </c>
      <c r="C614" s="5">
        <v>0</v>
      </c>
      <c r="D614" s="4">
        <v>0</v>
      </c>
      <c r="E614" s="5">
        <v>0</v>
      </c>
      <c r="F614" s="4">
        <v>0</v>
      </c>
      <c r="G614" s="5">
        <v>0</v>
      </c>
      <c r="H614" s="4">
        <v>0</v>
      </c>
    </row>
    <row r="615" spans="1:8" x14ac:dyDescent="0.2">
      <c r="A615" s="2" t="s">
        <v>46</v>
      </c>
      <c r="B615" s="4">
        <v>2</v>
      </c>
      <c r="C615" s="5">
        <v>0.38</v>
      </c>
      <c r="D615" s="4">
        <v>1</v>
      </c>
      <c r="E615" s="5">
        <v>0.28999999999999998</v>
      </c>
      <c r="F615" s="4">
        <v>1</v>
      </c>
      <c r="G615" s="5">
        <v>0.56000000000000005</v>
      </c>
      <c r="H615" s="4">
        <v>0</v>
      </c>
    </row>
    <row r="616" spans="1:8" x14ac:dyDescent="0.2">
      <c r="A616" s="2" t="s">
        <v>47</v>
      </c>
      <c r="B616" s="4">
        <v>10</v>
      </c>
      <c r="C616" s="5">
        <v>1.91</v>
      </c>
      <c r="D616" s="4">
        <v>10</v>
      </c>
      <c r="E616" s="5">
        <v>2.95</v>
      </c>
      <c r="F616" s="4">
        <v>0</v>
      </c>
      <c r="G616" s="5">
        <v>0</v>
      </c>
      <c r="H616" s="4">
        <v>0</v>
      </c>
    </row>
    <row r="617" spans="1:8" x14ac:dyDescent="0.2">
      <c r="A617" s="2" t="s">
        <v>48</v>
      </c>
      <c r="B617" s="4">
        <v>127</v>
      </c>
      <c r="C617" s="5">
        <v>24.28</v>
      </c>
      <c r="D617" s="4">
        <v>89</v>
      </c>
      <c r="E617" s="5">
        <v>26.25</v>
      </c>
      <c r="F617" s="4">
        <v>38</v>
      </c>
      <c r="G617" s="5">
        <v>21.23</v>
      </c>
      <c r="H617" s="4">
        <v>0</v>
      </c>
    </row>
    <row r="618" spans="1:8" x14ac:dyDescent="0.2">
      <c r="A618" s="2" t="s">
        <v>49</v>
      </c>
      <c r="B618" s="4">
        <v>1</v>
      </c>
      <c r="C618" s="5">
        <v>0.19</v>
      </c>
      <c r="D618" s="4">
        <v>0</v>
      </c>
      <c r="E618" s="5">
        <v>0</v>
      </c>
      <c r="F618" s="4">
        <v>1</v>
      </c>
      <c r="G618" s="5">
        <v>0.56000000000000005</v>
      </c>
      <c r="H618" s="4">
        <v>0</v>
      </c>
    </row>
    <row r="619" spans="1:8" x14ac:dyDescent="0.2">
      <c r="A619" s="2" t="s">
        <v>50</v>
      </c>
      <c r="B619" s="4">
        <v>46</v>
      </c>
      <c r="C619" s="5">
        <v>8.8000000000000007</v>
      </c>
      <c r="D619" s="4">
        <v>24</v>
      </c>
      <c r="E619" s="5">
        <v>7.08</v>
      </c>
      <c r="F619" s="4">
        <v>22</v>
      </c>
      <c r="G619" s="5">
        <v>12.29</v>
      </c>
      <c r="H619" s="4">
        <v>0</v>
      </c>
    </row>
    <row r="620" spans="1:8" x14ac:dyDescent="0.2">
      <c r="A620" s="2" t="s">
        <v>51</v>
      </c>
      <c r="B620" s="4">
        <v>22</v>
      </c>
      <c r="C620" s="5">
        <v>4.21</v>
      </c>
      <c r="D620" s="4">
        <v>13</v>
      </c>
      <c r="E620" s="5">
        <v>3.83</v>
      </c>
      <c r="F620" s="4">
        <v>9</v>
      </c>
      <c r="G620" s="5">
        <v>5.03</v>
      </c>
      <c r="H620" s="4">
        <v>0</v>
      </c>
    </row>
    <row r="621" spans="1:8" x14ac:dyDescent="0.2">
      <c r="A621" s="2" t="s">
        <v>52</v>
      </c>
      <c r="B621" s="4">
        <v>46</v>
      </c>
      <c r="C621" s="5">
        <v>8.8000000000000007</v>
      </c>
      <c r="D621" s="4">
        <v>44</v>
      </c>
      <c r="E621" s="5">
        <v>12.98</v>
      </c>
      <c r="F621" s="4">
        <v>2</v>
      </c>
      <c r="G621" s="5">
        <v>1.1200000000000001</v>
      </c>
      <c r="H621" s="4">
        <v>0</v>
      </c>
    </row>
    <row r="622" spans="1:8" x14ac:dyDescent="0.2">
      <c r="A622" s="2" t="s">
        <v>53</v>
      </c>
      <c r="B622" s="4">
        <v>71</v>
      </c>
      <c r="C622" s="5">
        <v>13.58</v>
      </c>
      <c r="D622" s="4">
        <v>59</v>
      </c>
      <c r="E622" s="5">
        <v>17.399999999999999</v>
      </c>
      <c r="F622" s="4">
        <v>11</v>
      </c>
      <c r="G622" s="5">
        <v>6.15</v>
      </c>
      <c r="H622" s="4">
        <v>0</v>
      </c>
    </row>
    <row r="623" spans="1:8" x14ac:dyDescent="0.2">
      <c r="A623" s="2" t="s">
        <v>54</v>
      </c>
      <c r="B623" s="4">
        <v>26</v>
      </c>
      <c r="C623" s="5">
        <v>4.97</v>
      </c>
      <c r="D623" s="4">
        <v>23</v>
      </c>
      <c r="E623" s="5">
        <v>6.78</v>
      </c>
      <c r="F623" s="4">
        <v>3</v>
      </c>
      <c r="G623" s="5">
        <v>1.68</v>
      </c>
      <c r="H623" s="4">
        <v>0</v>
      </c>
    </row>
    <row r="624" spans="1:8" x14ac:dyDescent="0.2">
      <c r="A624" s="2" t="s">
        <v>55</v>
      </c>
      <c r="B624" s="4">
        <v>25</v>
      </c>
      <c r="C624" s="5">
        <v>4.78</v>
      </c>
      <c r="D624" s="4">
        <v>11</v>
      </c>
      <c r="E624" s="5">
        <v>3.24</v>
      </c>
      <c r="F624" s="4">
        <v>12</v>
      </c>
      <c r="G624" s="5">
        <v>6.7</v>
      </c>
      <c r="H624" s="4">
        <v>0</v>
      </c>
    </row>
    <row r="625" spans="1:8" x14ac:dyDescent="0.2">
      <c r="A625" s="2" t="s">
        <v>56</v>
      </c>
      <c r="B625" s="4">
        <v>24</v>
      </c>
      <c r="C625" s="5">
        <v>4.59</v>
      </c>
      <c r="D625" s="4">
        <v>15</v>
      </c>
      <c r="E625" s="5">
        <v>4.42</v>
      </c>
      <c r="F625" s="4">
        <v>8</v>
      </c>
      <c r="G625" s="5">
        <v>4.47</v>
      </c>
      <c r="H625" s="4">
        <v>1</v>
      </c>
    </row>
    <row r="626" spans="1:8" x14ac:dyDescent="0.2">
      <c r="A626" s="1" t="s">
        <v>39</v>
      </c>
      <c r="B626" s="4">
        <v>54</v>
      </c>
      <c r="C626" s="5">
        <v>99.990000000000023</v>
      </c>
      <c r="D626" s="4">
        <v>32</v>
      </c>
      <c r="E626" s="5">
        <v>100.03</v>
      </c>
      <c r="F626" s="4">
        <v>17</v>
      </c>
      <c r="G626" s="5">
        <v>99.99</v>
      </c>
      <c r="H626" s="4">
        <v>0</v>
      </c>
    </row>
    <row r="627" spans="1:8" x14ac:dyDescent="0.2">
      <c r="A627" s="2" t="s">
        <v>42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2">
      <c r="A628" s="2" t="s">
        <v>43</v>
      </c>
      <c r="B628" s="4">
        <v>7</v>
      </c>
      <c r="C628" s="5">
        <v>12.96</v>
      </c>
      <c r="D628" s="4">
        <v>1</v>
      </c>
      <c r="E628" s="5">
        <v>3.13</v>
      </c>
      <c r="F628" s="4">
        <v>6</v>
      </c>
      <c r="G628" s="5">
        <v>35.29</v>
      </c>
      <c r="H628" s="4">
        <v>0</v>
      </c>
    </row>
    <row r="629" spans="1:8" x14ac:dyDescent="0.2">
      <c r="A629" s="2" t="s">
        <v>44</v>
      </c>
      <c r="B629" s="4">
        <v>5</v>
      </c>
      <c r="C629" s="5">
        <v>9.26</v>
      </c>
      <c r="D629" s="4">
        <v>1</v>
      </c>
      <c r="E629" s="5">
        <v>3.13</v>
      </c>
      <c r="F629" s="4">
        <v>4</v>
      </c>
      <c r="G629" s="5">
        <v>23.53</v>
      </c>
      <c r="H629" s="4">
        <v>0</v>
      </c>
    </row>
    <row r="630" spans="1:8" x14ac:dyDescent="0.2">
      <c r="A630" s="2" t="s">
        <v>45</v>
      </c>
      <c r="B630" s="4">
        <v>2</v>
      </c>
      <c r="C630" s="5">
        <v>3.7</v>
      </c>
      <c r="D630" s="4">
        <v>0</v>
      </c>
      <c r="E630" s="5">
        <v>0</v>
      </c>
      <c r="F630" s="4">
        <v>1</v>
      </c>
      <c r="G630" s="5">
        <v>5.88</v>
      </c>
      <c r="H630" s="4">
        <v>0</v>
      </c>
    </row>
    <row r="631" spans="1:8" x14ac:dyDescent="0.2">
      <c r="A631" s="2" t="s">
        <v>46</v>
      </c>
      <c r="B631" s="4">
        <v>0</v>
      </c>
      <c r="C631" s="5">
        <v>0</v>
      </c>
      <c r="D631" s="4">
        <v>0</v>
      </c>
      <c r="E631" s="5">
        <v>0</v>
      </c>
      <c r="F631" s="4">
        <v>0</v>
      </c>
      <c r="G631" s="5">
        <v>0</v>
      </c>
      <c r="H631" s="4">
        <v>0</v>
      </c>
    </row>
    <row r="632" spans="1:8" x14ac:dyDescent="0.2">
      <c r="A632" s="2" t="s">
        <v>47</v>
      </c>
      <c r="B632" s="4">
        <v>1</v>
      </c>
      <c r="C632" s="5">
        <v>1.85</v>
      </c>
      <c r="D632" s="4">
        <v>1</v>
      </c>
      <c r="E632" s="5">
        <v>3.13</v>
      </c>
      <c r="F632" s="4">
        <v>0</v>
      </c>
      <c r="G632" s="5">
        <v>0</v>
      </c>
      <c r="H632" s="4">
        <v>0</v>
      </c>
    </row>
    <row r="633" spans="1:8" x14ac:dyDescent="0.2">
      <c r="A633" s="2" t="s">
        <v>48</v>
      </c>
      <c r="B633" s="4">
        <v>14</v>
      </c>
      <c r="C633" s="5">
        <v>25.93</v>
      </c>
      <c r="D633" s="4">
        <v>10</v>
      </c>
      <c r="E633" s="5">
        <v>31.25</v>
      </c>
      <c r="F633" s="4">
        <v>4</v>
      </c>
      <c r="G633" s="5">
        <v>23.53</v>
      </c>
      <c r="H633" s="4">
        <v>0</v>
      </c>
    </row>
    <row r="634" spans="1:8" x14ac:dyDescent="0.2">
      <c r="A634" s="2" t="s">
        <v>49</v>
      </c>
      <c r="B634" s="4">
        <v>0</v>
      </c>
      <c r="C634" s="5">
        <v>0</v>
      </c>
      <c r="D634" s="4">
        <v>0</v>
      </c>
      <c r="E634" s="5">
        <v>0</v>
      </c>
      <c r="F634" s="4">
        <v>0</v>
      </c>
      <c r="G634" s="5">
        <v>0</v>
      </c>
      <c r="H634" s="4">
        <v>0</v>
      </c>
    </row>
    <row r="635" spans="1:8" x14ac:dyDescent="0.2">
      <c r="A635" s="2" t="s">
        <v>50</v>
      </c>
      <c r="B635" s="4">
        <v>1</v>
      </c>
      <c r="C635" s="5">
        <v>1.85</v>
      </c>
      <c r="D635" s="4">
        <v>1</v>
      </c>
      <c r="E635" s="5">
        <v>3.13</v>
      </c>
      <c r="F635" s="4">
        <v>0</v>
      </c>
      <c r="G635" s="5">
        <v>0</v>
      </c>
      <c r="H635" s="4">
        <v>0</v>
      </c>
    </row>
    <row r="636" spans="1:8" x14ac:dyDescent="0.2">
      <c r="A636" s="2" t="s">
        <v>51</v>
      </c>
      <c r="B636" s="4">
        <v>1</v>
      </c>
      <c r="C636" s="5">
        <v>1.85</v>
      </c>
      <c r="D636" s="4">
        <v>0</v>
      </c>
      <c r="E636" s="5">
        <v>0</v>
      </c>
      <c r="F636" s="4">
        <v>1</v>
      </c>
      <c r="G636" s="5">
        <v>5.88</v>
      </c>
      <c r="H636" s="4">
        <v>0</v>
      </c>
    </row>
    <row r="637" spans="1:8" x14ac:dyDescent="0.2">
      <c r="A637" s="2" t="s">
        <v>52</v>
      </c>
      <c r="B637" s="4">
        <v>11</v>
      </c>
      <c r="C637" s="5">
        <v>20.37</v>
      </c>
      <c r="D637" s="4">
        <v>10</v>
      </c>
      <c r="E637" s="5">
        <v>31.25</v>
      </c>
      <c r="F637" s="4">
        <v>1</v>
      </c>
      <c r="G637" s="5">
        <v>5.88</v>
      </c>
      <c r="H637" s="4">
        <v>0</v>
      </c>
    </row>
    <row r="638" spans="1:8" x14ac:dyDescent="0.2">
      <c r="A638" s="2" t="s">
        <v>53</v>
      </c>
      <c r="B638" s="4">
        <v>5</v>
      </c>
      <c r="C638" s="5">
        <v>9.26</v>
      </c>
      <c r="D638" s="4">
        <v>5</v>
      </c>
      <c r="E638" s="5">
        <v>15.63</v>
      </c>
      <c r="F638" s="4">
        <v>0</v>
      </c>
      <c r="G638" s="5">
        <v>0</v>
      </c>
      <c r="H638" s="4">
        <v>0</v>
      </c>
    </row>
    <row r="639" spans="1:8" x14ac:dyDescent="0.2">
      <c r="A639" s="2" t="s">
        <v>54</v>
      </c>
      <c r="B639" s="4">
        <v>3</v>
      </c>
      <c r="C639" s="5">
        <v>5.56</v>
      </c>
      <c r="D639" s="4">
        <v>0</v>
      </c>
      <c r="E639" s="5">
        <v>0</v>
      </c>
      <c r="F639" s="4">
        <v>0</v>
      </c>
      <c r="G639" s="5">
        <v>0</v>
      </c>
      <c r="H639" s="4">
        <v>0</v>
      </c>
    </row>
    <row r="640" spans="1:8" x14ac:dyDescent="0.2">
      <c r="A640" s="2" t="s">
        <v>55</v>
      </c>
      <c r="B640" s="4">
        <v>2</v>
      </c>
      <c r="C640" s="5">
        <v>3.7</v>
      </c>
      <c r="D640" s="4">
        <v>1</v>
      </c>
      <c r="E640" s="5">
        <v>3.13</v>
      </c>
      <c r="F640" s="4">
        <v>0</v>
      </c>
      <c r="G640" s="5">
        <v>0</v>
      </c>
      <c r="H640" s="4">
        <v>0</v>
      </c>
    </row>
    <row r="641" spans="1:8" x14ac:dyDescent="0.2">
      <c r="A641" s="2" t="s">
        <v>56</v>
      </c>
      <c r="B641" s="4">
        <v>2</v>
      </c>
      <c r="C641" s="5">
        <v>3.7</v>
      </c>
      <c r="D641" s="4">
        <v>2</v>
      </c>
      <c r="E641" s="5">
        <v>6.25</v>
      </c>
      <c r="F641" s="4">
        <v>0</v>
      </c>
      <c r="G641" s="5">
        <v>0</v>
      </c>
      <c r="H641" s="4">
        <v>0</v>
      </c>
    </row>
    <row r="642" spans="1:8" x14ac:dyDescent="0.2">
      <c r="A642" s="1" t="s">
        <v>40</v>
      </c>
      <c r="B642" s="4">
        <v>342</v>
      </c>
      <c r="C642" s="5">
        <v>100.00999999999998</v>
      </c>
      <c r="D642" s="4">
        <v>265</v>
      </c>
      <c r="E642" s="5">
        <v>99.999999999999986</v>
      </c>
      <c r="F642" s="4">
        <v>71</v>
      </c>
      <c r="G642" s="5">
        <v>100</v>
      </c>
      <c r="H642" s="4">
        <v>2</v>
      </c>
    </row>
    <row r="643" spans="1:8" x14ac:dyDescent="0.2">
      <c r="A643" s="2" t="s">
        <v>42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2">
      <c r="A644" s="2" t="s">
        <v>43</v>
      </c>
      <c r="B644" s="4">
        <v>8</v>
      </c>
      <c r="C644" s="5">
        <v>2.34</v>
      </c>
      <c r="D644" s="4">
        <v>1</v>
      </c>
      <c r="E644" s="5">
        <v>0.38</v>
      </c>
      <c r="F644" s="4">
        <v>7</v>
      </c>
      <c r="G644" s="5">
        <v>9.86</v>
      </c>
      <c r="H644" s="4">
        <v>0</v>
      </c>
    </row>
    <row r="645" spans="1:8" x14ac:dyDescent="0.2">
      <c r="A645" s="2" t="s">
        <v>44</v>
      </c>
      <c r="B645" s="4">
        <v>23</v>
      </c>
      <c r="C645" s="5">
        <v>6.73</v>
      </c>
      <c r="D645" s="4">
        <v>11</v>
      </c>
      <c r="E645" s="5">
        <v>4.1500000000000004</v>
      </c>
      <c r="F645" s="4">
        <v>12</v>
      </c>
      <c r="G645" s="5">
        <v>16.899999999999999</v>
      </c>
      <c r="H645" s="4">
        <v>0</v>
      </c>
    </row>
    <row r="646" spans="1:8" x14ac:dyDescent="0.2">
      <c r="A646" s="2" t="s">
        <v>45</v>
      </c>
      <c r="B646" s="4">
        <v>1</v>
      </c>
      <c r="C646" s="5">
        <v>0.28999999999999998</v>
      </c>
      <c r="D646" s="4">
        <v>0</v>
      </c>
      <c r="E646" s="5">
        <v>0</v>
      </c>
      <c r="F646" s="4">
        <v>1</v>
      </c>
      <c r="G646" s="5">
        <v>1.41</v>
      </c>
      <c r="H646" s="4">
        <v>0</v>
      </c>
    </row>
    <row r="647" spans="1:8" x14ac:dyDescent="0.2">
      <c r="A647" s="2" t="s">
        <v>46</v>
      </c>
      <c r="B647" s="4">
        <v>0</v>
      </c>
      <c r="C647" s="5">
        <v>0</v>
      </c>
      <c r="D647" s="4">
        <v>0</v>
      </c>
      <c r="E647" s="5">
        <v>0</v>
      </c>
      <c r="F647" s="4">
        <v>0</v>
      </c>
      <c r="G647" s="5">
        <v>0</v>
      </c>
      <c r="H647" s="4">
        <v>0</v>
      </c>
    </row>
    <row r="648" spans="1:8" x14ac:dyDescent="0.2">
      <c r="A648" s="2" t="s">
        <v>47</v>
      </c>
      <c r="B648" s="4">
        <v>21</v>
      </c>
      <c r="C648" s="5">
        <v>6.14</v>
      </c>
      <c r="D648" s="4">
        <v>12</v>
      </c>
      <c r="E648" s="5">
        <v>4.53</v>
      </c>
      <c r="F648" s="4">
        <v>8</v>
      </c>
      <c r="G648" s="5">
        <v>11.27</v>
      </c>
      <c r="H648" s="4">
        <v>0</v>
      </c>
    </row>
    <row r="649" spans="1:8" x14ac:dyDescent="0.2">
      <c r="A649" s="2" t="s">
        <v>48</v>
      </c>
      <c r="B649" s="4">
        <v>46</v>
      </c>
      <c r="C649" s="5">
        <v>13.45</v>
      </c>
      <c r="D649" s="4">
        <v>34</v>
      </c>
      <c r="E649" s="5">
        <v>12.83</v>
      </c>
      <c r="F649" s="4">
        <v>11</v>
      </c>
      <c r="G649" s="5">
        <v>15.49</v>
      </c>
      <c r="H649" s="4">
        <v>1</v>
      </c>
    </row>
    <row r="650" spans="1:8" x14ac:dyDescent="0.2">
      <c r="A650" s="2" t="s">
        <v>49</v>
      </c>
      <c r="B650" s="4">
        <v>0</v>
      </c>
      <c r="C650" s="5">
        <v>0</v>
      </c>
      <c r="D650" s="4">
        <v>0</v>
      </c>
      <c r="E650" s="5">
        <v>0</v>
      </c>
      <c r="F650" s="4">
        <v>0</v>
      </c>
      <c r="G650" s="5">
        <v>0</v>
      </c>
      <c r="H650" s="4">
        <v>0</v>
      </c>
    </row>
    <row r="651" spans="1:8" x14ac:dyDescent="0.2">
      <c r="A651" s="2" t="s">
        <v>50</v>
      </c>
      <c r="B651" s="4">
        <v>19</v>
      </c>
      <c r="C651" s="5">
        <v>5.56</v>
      </c>
      <c r="D651" s="4">
        <v>12</v>
      </c>
      <c r="E651" s="5">
        <v>4.53</v>
      </c>
      <c r="F651" s="4">
        <v>7</v>
      </c>
      <c r="G651" s="5">
        <v>9.86</v>
      </c>
      <c r="H651" s="4">
        <v>0</v>
      </c>
    </row>
    <row r="652" spans="1:8" x14ac:dyDescent="0.2">
      <c r="A652" s="2" t="s">
        <v>51</v>
      </c>
      <c r="B652" s="4">
        <v>6</v>
      </c>
      <c r="C652" s="5">
        <v>1.75</v>
      </c>
      <c r="D652" s="4">
        <v>1</v>
      </c>
      <c r="E652" s="5">
        <v>0.38</v>
      </c>
      <c r="F652" s="4">
        <v>5</v>
      </c>
      <c r="G652" s="5">
        <v>7.04</v>
      </c>
      <c r="H652" s="4">
        <v>0</v>
      </c>
    </row>
    <row r="653" spans="1:8" x14ac:dyDescent="0.2">
      <c r="A653" s="2" t="s">
        <v>52</v>
      </c>
      <c r="B653" s="4">
        <v>140</v>
      </c>
      <c r="C653" s="5">
        <v>40.94</v>
      </c>
      <c r="D653" s="4">
        <v>133</v>
      </c>
      <c r="E653" s="5">
        <v>50.19</v>
      </c>
      <c r="F653" s="4">
        <v>6</v>
      </c>
      <c r="G653" s="5">
        <v>8.4499999999999993</v>
      </c>
      <c r="H653" s="4">
        <v>0</v>
      </c>
    </row>
    <row r="654" spans="1:8" x14ac:dyDescent="0.2">
      <c r="A654" s="2" t="s">
        <v>53</v>
      </c>
      <c r="B654" s="4">
        <v>68</v>
      </c>
      <c r="C654" s="5">
        <v>19.88</v>
      </c>
      <c r="D654" s="4">
        <v>56</v>
      </c>
      <c r="E654" s="5">
        <v>21.13</v>
      </c>
      <c r="F654" s="4">
        <v>12</v>
      </c>
      <c r="G654" s="5">
        <v>16.899999999999999</v>
      </c>
      <c r="H654" s="4">
        <v>0</v>
      </c>
    </row>
    <row r="655" spans="1:8" x14ac:dyDescent="0.2">
      <c r="A655" s="2" t="s">
        <v>54</v>
      </c>
      <c r="B655" s="4">
        <v>3</v>
      </c>
      <c r="C655" s="5">
        <v>0.88</v>
      </c>
      <c r="D655" s="4">
        <v>2</v>
      </c>
      <c r="E655" s="5">
        <v>0.75</v>
      </c>
      <c r="F655" s="4">
        <v>0</v>
      </c>
      <c r="G655" s="5">
        <v>0</v>
      </c>
      <c r="H655" s="4">
        <v>1</v>
      </c>
    </row>
    <row r="656" spans="1:8" x14ac:dyDescent="0.2">
      <c r="A656" s="2" t="s">
        <v>55</v>
      </c>
      <c r="B656" s="4">
        <v>4</v>
      </c>
      <c r="C656" s="5">
        <v>1.17</v>
      </c>
      <c r="D656" s="4">
        <v>1</v>
      </c>
      <c r="E656" s="5">
        <v>0.38</v>
      </c>
      <c r="F656" s="4">
        <v>1</v>
      </c>
      <c r="G656" s="5">
        <v>1.41</v>
      </c>
      <c r="H656" s="4">
        <v>0</v>
      </c>
    </row>
    <row r="657" spans="1:8" x14ac:dyDescent="0.2">
      <c r="A657" s="2" t="s">
        <v>56</v>
      </c>
      <c r="B657" s="4">
        <v>3</v>
      </c>
      <c r="C657" s="5">
        <v>0.88</v>
      </c>
      <c r="D657" s="4">
        <v>2</v>
      </c>
      <c r="E657" s="5">
        <v>0.75</v>
      </c>
      <c r="F657" s="4">
        <v>1</v>
      </c>
      <c r="G657" s="5">
        <v>1.41</v>
      </c>
      <c r="H657" s="4">
        <v>0</v>
      </c>
    </row>
    <row r="658" spans="1:8" x14ac:dyDescent="0.2">
      <c r="A658" s="1" t="s">
        <v>41</v>
      </c>
      <c r="B658" s="4">
        <v>139</v>
      </c>
      <c r="C658" s="5">
        <v>100.02</v>
      </c>
      <c r="D658" s="4">
        <v>105</v>
      </c>
      <c r="E658" s="5">
        <v>99.980000000000018</v>
      </c>
      <c r="F658" s="4">
        <v>28</v>
      </c>
      <c r="G658" s="5">
        <v>99.989999999999981</v>
      </c>
      <c r="H658" s="4">
        <v>3</v>
      </c>
    </row>
    <row r="659" spans="1:8" x14ac:dyDescent="0.2">
      <c r="A659" s="2" t="s">
        <v>42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2">
      <c r="A660" s="2" t="s">
        <v>43</v>
      </c>
      <c r="B660" s="4">
        <v>5</v>
      </c>
      <c r="C660" s="5">
        <v>3.6</v>
      </c>
      <c r="D660" s="4">
        <v>2</v>
      </c>
      <c r="E660" s="5">
        <v>1.9</v>
      </c>
      <c r="F660" s="4">
        <v>3</v>
      </c>
      <c r="G660" s="5">
        <v>10.71</v>
      </c>
      <c r="H660" s="4">
        <v>0</v>
      </c>
    </row>
    <row r="661" spans="1:8" x14ac:dyDescent="0.2">
      <c r="A661" s="2" t="s">
        <v>44</v>
      </c>
      <c r="B661" s="4">
        <v>53</v>
      </c>
      <c r="C661" s="5">
        <v>38.130000000000003</v>
      </c>
      <c r="D661" s="4">
        <v>43</v>
      </c>
      <c r="E661" s="5">
        <v>40.950000000000003</v>
      </c>
      <c r="F661" s="4">
        <v>10</v>
      </c>
      <c r="G661" s="5">
        <v>35.71</v>
      </c>
      <c r="H661" s="4">
        <v>0</v>
      </c>
    </row>
    <row r="662" spans="1:8" x14ac:dyDescent="0.2">
      <c r="A662" s="2" t="s">
        <v>45</v>
      </c>
      <c r="B662" s="4">
        <v>2</v>
      </c>
      <c r="C662" s="5">
        <v>1.44</v>
      </c>
      <c r="D662" s="4">
        <v>0</v>
      </c>
      <c r="E662" s="5">
        <v>0</v>
      </c>
      <c r="F662" s="4">
        <v>1</v>
      </c>
      <c r="G662" s="5">
        <v>3.57</v>
      </c>
      <c r="H662" s="4">
        <v>0</v>
      </c>
    </row>
    <row r="663" spans="1:8" x14ac:dyDescent="0.2">
      <c r="A663" s="2" t="s">
        <v>46</v>
      </c>
      <c r="B663" s="4">
        <v>0</v>
      </c>
      <c r="C663" s="5">
        <v>0</v>
      </c>
      <c r="D663" s="4">
        <v>0</v>
      </c>
      <c r="E663" s="5">
        <v>0</v>
      </c>
      <c r="F663" s="4">
        <v>0</v>
      </c>
      <c r="G663" s="5">
        <v>0</v>
      </c>
      <c r="H663" s="4">
        <v>0</v>
      </c>
    </row>
    <row r="664" spans="1:8" x14ac:dyDescent="0.2">
      <c r="A664" s="2" t="s">
        <v>47</v>
      </c>
      <c r="B664" s="4">
        <v>2</v>
      </c>
      <c r="C664" s="5">
        <v>1.44</v>
      </c>
      <c r="D664" s="4">
        <v>1</v>
      </c>
      <c r="E664" s="5">
        <v>0.95</v>
      </c>
      <c r="F664" s="4">
        <v>0</v>
      </c>
      <c r="G664" s="5">
        <v>0</v>
      </c>
      <c r="H664" s="4">
        <v>1</v>
      </c>
    </row>
    <row r="665" spans="1:8" x14ac:dyDescent="0.2">
      <c r="A665" s="2" t="s">
        <v>48</v>
      </c>
      <c r="B665" s="4">
        <v>18</v>
      </c>
      <c r="C665" s="5">
        <v>12.95</v>
      </c>
      <c r="D665" s="4">
        <v>14</v>
      </c>
      <c r="E665" s="5">
        <v>13.33</v>
      </c>
      <c r="F665" s="4">
        <v>4</v>
      </c>
      <c r="G665" s="5">
        <v>14.29</v>
      </c>
      <c r="H665" s="4">
        <v>0</v>
      </c>
    </row>
    <row r="666" spans="1:8" x14ac:dyDescent="0.2">
      <c r="A666" s="2" t="s">
        <v>49</v>
      </c>
      <c r="B666" s="4">
        <v>0</v>
      </c>
      <c r="C666" s="5">
        <v>0</v>
      </c>
      <c r="D666" s="4">
        <v>0</v>
      </c>
      <c r="E666" s="5">
        <v>0</v>
      </c>
      <c r="F666" s="4">
        <v>0</v>
      </c>
      <c r="G666" s="5">
        <v>0</v>
      </c>
      <c r="H666" s="4">
        <v>0</v>
      </c>
    </row>
    <row r="667" spans="1:8" x14ac:dyDescent="0.2">
      <c r="A667" s="2" t="s">
        <v>50</v>
      </c>
      <c r="B667" s="4">
        <v>4</v>
      </c>
      <c r="C667" s="5">
        <v>2.88</v>
      </c>
      <c r="D667" s="4">
        <v>4</v>
      </c>
      <c r="E667" s="5">
        <v>3.81</v>
      </c>
      <c r="F667" s="4">
        <v>0</v>
      </c>
      <c r="G667" s="5">
        <v>0</v>
      </c>
      <c r="H667" s="4">
        <v>0</v>
      </c>
    </row>
    <row r="668" spans="1:8" x14ac:dyDescent="0.2">
      <c r="A668" s="2" t="s">
        <v>51</v>
      </c>
      <c r="B668" s="4">
        <v>1</v>
      </c>
      <c r="C668" s="5">
        <v>0.72</v>
      </c>
      <c r="D668" s="4">
        <v>1</v>
      </c>
      <c r="E668" s="5">
        <v>0.95</v>
      </c>
      <c r="F668" s="4">
        <v>0</v>
      </c>
      <c r="G668" s="5">
        <v>0</v>
      </c>
      <c r="H668" s="4">
        <v>0</v>
      </c>
    </row>
    <row r="669" spans="1:8" x14ac:dyDescent="0.2">
      <c r="A669" s="2" t="s">
        <v>52</v>
      </c>
      <c r="B669" s="4">
        <v>35</v>
      </c>
      <c r="C669" s="5">
        <v>25.18</v>
      </c>
      <c r="D669" s="4">
        <v>29</v>
      </c>
      <c r="E669" s="5">
        <v>27.62</v>
      </c>
      <c r="F669" s="4">
        <v>6</v>
      </c>
      <c r="G669" s="5">
        <v>21.43</v>
      </c>
      <c r="H669" s="4">
        <v>0</v>
      </c>
    </row>
    <row r="670" spans="1:8" x14ac:dyDescent="0.2">
      <c r="A670" s="2" t="s">
        <v>53</v>
      </c>
      <c r="B670" s="4">
        <v>8</v>
      </c>
      <c r="C670" s="5">
        <v>5.76</v>
      </c>
      <c r="D670" s="4">
        <v>5</v>
      </c>
      <c r="E670" s="5">
        <v>4.76</v>
      </c>
      <c r="F670" s="4">
        <v>1</v>
      </c>
      <c r="G670" s="5">
        <v>3.57</v>
      </c>
      <c r="H670" s="4">
        <v>2</v>
      </c>
    </row>
    <row r="671" spans="1:8" x14ac:dyDescent="0.2">
      <c r="A671" s="2" t="s">
        <v>54</v>
      </c>
      <c r="B671" s="4">
        <v>5</v>
      </c>
      <c r="C671" s="5">
        <v>3.6</v>
      </c>
      <c r="D671" s="4">
        <v>3</v>
      </c>
      <c r="E671" s="5">
        <v>2.86</v>
      </c>
      <c r="F671" s="4">
        <v>1</v>
      </c>
      <c r="G671" s="5">
        <v>3.57</v>
      </c>
      <c r="H671" s="4">
        <v>0</v>
      </c>
    </row>
    <row r="672" spans="1:8" x14ac:dyDescent="0.2">
      <c r="A672" s="2" t="s">
        <v>55</v>
      </c>
      <c r="B672" s="4">
        <v>4</v>
      </c>
      <c r="C672" s="5">
        <v>2.88</v>
      </c>
      <c r="D672" s="4">
        <v>2</v>
      </c>
      <c r="E672" s="5">
        <v>1.9</v>
      </c>
      <c r="F672" s="4">
        <v>1</v>
      </c>
      <c r="G672" s="5">
        <v>3.57</v>
      </c>
      <c r="H672" s="4">
        <v>0</v>
      </c>
    </row>
    <row r="673" spans="1:8" x14ac:dyDescent="0.2">
      <c r="A673" s="2" t="s">
        <v>56</v>
      </c>
      <c r="B673" s="4">
        <v>2</v>
      </c>
      <c r="C673" s="5">
        <v>1.44</v>
      </c>
      <c r="D673" s="4">
        <v>1</v>
      </c>
      <c r="E673" s="5">
        <v>0.95</v>
      </c>
      <c r="F673" s="4">
        <v>1</v>
      </c>
      <c r="G673" s="5">
        <v>3.57</v>
      </c>
      <c r="H673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917CE-7F03-4DC2-B704-ED203503725E}">
  <sheetPr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278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26</v>
      </c>
      <c r="D6" s="8">
        <v>9.09</v>
      </c>
      <c r="E6" s="12">
        <v>12</v>
      </c>
      <c r="F6" s="8">
        <v>5.53</v>
      </c>
      <c r="G6" s="12">
        <v>14</v>
      </c>
      <c r="H6" s="8">
        <v>23.33</v>
      </c>
      <c r="I6" s="12">
        <v>0</v>
      </c>
    </row>
    <row r="7" spans="2:9" ht="15" customHeight="1" x14ac:dyDescent="0.2">
      <c r="B7" t="s">
        <v>44</v>
      </c>
      <c r="C7" s="12">
        <v>16</v>
      </c>
      <c r="D7" s="8">
        <v>5.59</v>
      </c>
      <c r="E7" s="12">
        <v>9</v>
      </c>
      <c r="F7" s="8">
        <v>4.1500000000000004</v>
      </c>
      <c r="G7" s="12">
        <v>7</v>
      </c>
      <c r="H7" s="8">
        <v>11.67</v>
      </c>
      <c r="I7" s="12">
        <v>0</v>
      </c>
    </row>
    <row r="8" spans="2:9" ht="15" customHeight="1" x14ac:dyDescent="0.2">
      <c r="B8" t="s">
        <v>45</v>
      </c>
      <c r="C8" s="12">
        <v>1</v>
      </c>
      <c r="D8" s="8">
        <v>0.35</v>
      </c>
      <c r="E8" s="12">
        <v>0</v>
      </c>
      <c r="F8" s="8">
        <v>0</v>
      </c>
      <c r="G8" s="12">
        <v>1</v>
      </c>
      <c r="H8" s="8">
        <v>1.67</v>
      </c>
      <c r="I8" s="12">
        <v>0</v>
      </c>
    </row>
    <row r="9" spans="2:9" ht="15" customHeight="1" x14ac:dyDescent="0.2">
      <c r="B9" t="s">
        <v>46</v>
      </c>
      <c r="C9" s="12">
        <v>1</v>
      </c>
      <c r="D9" s="8">
        <v>0.35</v>
      </c>
      <c r="E9" s="12">
        <v>0</v>
      </c>
      <c r="F9" s="8">
        <v>0</v>
      </c>
      <c r="G9" s="12">
        <v>1</v>
      </c>
      <c r="H9" s="8">
        <v>1.67</v>
      </c>
      <c r="I9" s="12">
        <v>0</v>
      </c>
    </row>
    <row r="10" spans="2:9" ht="15" customHeight="1" x14ac:dyDescent="0.2">
      <c r="B10" t="s">
        <v>47</v>
      </c>
      <c r="C10" s="12">
        <v>3</v>
      </c>
      <c r="D10" s="8">
        <v>1.05</v>
      </c>
      <c r="E10" s="12">
        <v>1</v>
      </c>
      <c r="F10" s="8">
        <v>0.46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48</v>
      </c>
      <c r="C11" s="12">
        <v>68</v>
      </c>
      <c r="D11" s="8">
        <v>23.78</v>
      </c>
      <c r="E11" s="12">
        <v>60</v>
      </c>
      <c r="F11" s="8">
        <v>27.65</v>
      </c>
      <c r="G11" s="12">
        <v>8</v>
      </c>
      <c r="H11" s="8">
        <v>13.33</v>
      </c>
      <c r="I11" s="12">
        <v>0</v>
      </c>
    </row>
    <row r="12" spans="2:9" ht="15" customHeight="1" x14ac:dyDescent="0.2">
      <c r="B12" t="s">
        <v>49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50</v>
      </c>
      <c r="C13" s="12">
        <v>18</v>
      </c>
      <c r="D13" s="8">
        <v>6.29</v>
      </c>
      <c r="E13" s="12">
        <v>13</v>
      </c>
      <c r="F13" s="8">
        <v>5.99</v>
      </c>
      <c r="G13" s="12">
        <v>5</v>
      </c>
      <c r="H13" s="8">
        <v>8.33</v>
      </c>
      <c r="I13" s="12">
        <v>0</v>
      </c>
    </row>
    <row r="14" spans="2:9" ht="15" customHeight="1" x14ac:dyDescent="0.2">
      <c r="B14" t="s">
        <v>51</v>
      </c>
      <c r="C14" s="12">
        <v>4</v>
      </c>
      <c r="D14" s="8">
        <v>1.4</v>
      </c>
      <c r="E14" s="12">
        <v>4</v>
      </c>
      <c r="F14" s="8">
        <v>1.84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52</v>
      </c>
      <c r="C15" s="12">
        <v>91</v>
      </c>
      <c r="D15" s="8">
        <v>31.82</v>
      </c>
      <c r="E15" s="12">
        <v>73</v>
      </c>
      <c r="F15" s="8">
        <v>33.64</v>
      </c>
      <c r="G15" s="12">
        <v>18</v>
      </c>
      <c r="H15" s="8">
        <v>30</v>
      </c>
      <c r="I15" s="12">
        <v>0</v>
      </c>
    </row>
    <row r="16" spans="2:9" ht="15" customHeight="1" x14ac:dyDescent="0.2">
      <c r="B16" t="s">
        <v>53</v>
      </c>
      <c r="C16" s="12">
        <v>29</v>
      </c>
      <c r="D16" s="8">
        <v>10.14</v>
      </c>
      <c r="E16" s="12">
        <v>27</v>
      </c>
      <c r="F16" s="8">
        <v>12.44</v>
      </c>
      <c r="G16" s="12">
        <v>2</v>
      </c>
      <c r="H16" s="8">
        <v>3.33</v>
      </c>
      <c r="I16" s="12">
        <v>0</v>
      </c>
    </row>
    <row r="17" spans="2:9" ht="15" customHeight="1" x14ac:dyDescent="0.2">
      <c r="B17" t="s">
        <v>54</v>
      </c>
      <c r="C17" s="12">
        <v>9</v>
      </c>
      <c r="D17" s="8">
        <v>3.15</v>
      </c>
      <c r="E17" s="12">
        <v>8</v>
      </c>
      <c r="F17" s="8">
        <v>3.69</v>
      </c>
      <c r="G17" s="12">
        <v>0</v>
      </c>
      <c r="H17" s="8">
        <v>0</v>
      </c>
      <c r="I17" s="12">
        <v>1</v>
      </c>
    </row>
    <row r="18" spans="2:9" ht="15" customHeight="1" x14ac:dyDescent="0.2">
      <c r="B18" t="s">
        <v>55</v>
      </c>
      <c r="C18" s="12">
        <v>5</v>
      </c>
      <c r="D18" s="8">
        <v>1.75</v>
      </c>
      <c r="E18" s="12">
        <v>1</v>
      </c>
      <c r="F18" s="8">
        <v>0.46</v>
      </c>
      <c r="G18" s="12">
        <v>3</v>
      </c>
      <c r="H18" s="8">
        <v>5</v>
      </c>
      <c r="I18" s="12">
        <v>0</v>
      </c>
    </row>
    <row r="19" spans="2:9" ht="15" customHeight="1" x14ac:dyDescent="0.2">
      <c r="B19" t="s">
        <v>56</v>
      </c>
      <c r="C19" s="12">
        <v>15</v>
      </c>
      <c r="D19" s="8">
        <v>5.24</v>
      </c>
      <c r="E19" s="12">
        <v>9</v>
      </c>
      <c r="F19" s="8">
        <v>4.1500000000000004</v>
      </c>
      <c r="G19" s="12">
        <v>1</v>
      </c>
      <c r="H19" s="8">
        <v>1.67</v>
      </c>
      <c r="I19" s="12">
        <v>5</v>
      </c>
    </row>
    <row r="20" spans="2:9" ht="15" customHeight="1" x14ac:dyDescent="0.2">
      <c r="B20" s="9" t="s">
        <v>260</v>
      </c>
      <c r="C20" s="12">
        <f>SUM(LTBL_47306[総数／事業所数])</f>
        <v>286</v>
      </c>
      <c r="E20" s="12">
        <f>SUBTOTAL(109,LTBL_47306[個人／事業所数])</f>
        <v>217</v>
      </c>
      <c r="G20" s="12">
        <f>SUBTOTAL(109,LTBL_47306[法人／事業所数])</f>
        <v>60</v>
      </c>
      <c r="I20" s="12">
        <f>SUBTOTAL(109,LTBL_47306[法人以外の団体／事業所数])</f>
        <v>6</v>
      </c>
    </row>
    <row r="21" spans="2:9" ht="15" customHeight="1" x14ac:dyDescent="0.2">
      <c r="E21" s="11">
        <f>LTBL_47306[[#Totals],[個人／事業所数]]/LTBL_47306[[#Totals],[総数／事業所数]]</f>
        <v>0.75874125874125875</v>
      </c>
      <c r="G21" s="11">
        <f>LTBL_47306[[#Totals],[法人／事業所数]]/LTBL_47306[[#Totals],[総数／事業所数]]</f>
        <v>0.20979020979020979</v>
      </c>
      <c r="I21" s="11">
        <f>LTBL_47306[[#Totals],[法人以外の団体／事業所数]]/LTBL_47306[[#Totals],[総数／事業所数]]</f>
        <v>2.097902097902098E-2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77</v>
      </c>
      <c r="C24" s="12">
        <v>51</v>
      </c>
      <c r="D24" s="8">
        <v>17.829999999999998</v>
      </c>
      <c r="E24" s="12">
        <v>47</v>
      </c>
      <c r="F24" s="8">
        <v>21.66</v>
      </c>
      <c r="G24" s="12">
        <v>4</v>
      </c>
      <c r="H24" s="8">
        <v>6.67</v>
      </c>
      <c r="I24" s="12">
        <v>0</v>
      </c>
    </row>
    <row r="25" spans="2:9" ht="15" customHeight="1" x14ac:dyDescent="0.2">
      <c r="B25" t="s">
        <v>76</v>
      </c>
      <c r="C25" s="12">
        <v>36</v>
      </c>
      <c r="D25" s="8">
        <v>12.59</v>
      </c>
      <c r="E25" s="12">
        <v>23</v>
      </c>
      <c r="F25" s="8">
        <v>10.6</v>
      </c>
      <c r="G25" s="12">
        <v>13</v>
      </c>
      <c r="H25" s="8">
        <v>21.67</v>
      </c>
      <c r="I25" s="12">
        <v>0</v>
      </c>
    </row>
    <row r="26" spans="2:9" ht="15" customHeight="1" x14ac:dyDescent="0.2">
      <c r="B26" t="s">
        <v>71</v>
      </c>
      <c r="C26" s="12">
        <v>33</v>
      </c>
      <c r="D26" s="8">
        <v>11.54</v>
      </c>
      <c r="E26" s="12">
        <v>31</v>
      </c>
      <c r="F26" s="8">
        <v>14.29</v>
      </c>
      <c r="G26" s="12">
        <v>2</v>
      </c>
      <c r="H26" s="8">
        <v>3.33</v>
      </c>
      <c r="I26" s="12">
        <v>0</v>
      </c>
    </row>
    <row r="27" spans="2:9" ht="15" customHeight="1" x14ac:dyDescent="0.2">
      <c r="B27" t="s">
        <v>69</v>
      </c>
      <c r="C27" s="12">
        <v>23</v>
      </c>
      <c r="D27" s="8">
        <v>8.0399999999999991</v>
      </c>
      <c r="E27" s="12">
        <v>22</v>
      </c>
      <c r="F27" s="8">
        <v>10.14</v>
      </c>
      <c r="G27" s="12">
        <v>1</v>
      </c>
      <c r="H27" s="8">
        <v>1.67</v>
      </c>
      <c r="I27" s="12">
        <v>0</v>
      </c>
    </row>
    <row r="28" spans="2:9" ht="15" customHeight="1" x14ac:dyDescent="0.2">
      <c r="B28" t="s">
        <v>78</v>
      </c>
      <c r="C28" s="12">
        <v>23</v>
      </c>
      <c r="D28" s="8">
        <v>8.0399999999999991</v>
      </c>
      <c r="E28" s="12">
        <v>22</v>
      </c>
      <c r="F28" s="8">
        <v>10.14</v>
      </c>
      <c r="G28" s="12">
        <v>1</v>
      </c>
      <c r="H28" s="8">
        <v>1.67</v>
      </c>
      <c r="I28" s="12">
        <v>0</v>
      </c>
    </row>
    <row r="29" spans="2:9" ht="15" customHeight="1" x14ac:dyDescent="0.2">
      <c r="B29" t="s">
        <v>73</v>
      </c>
      <c r="C29" s="12">
        <v>15</v>
      </c>
      <c r="D29" s="8">
        <v>5.24</v>
      </c>
      <c r="E29" s="12">
        <v>12</v>
      </c>
      <c r="F29" s="8">
        <v>5.53</v>
      </c>
      <c r="G29" s="12">
        <v>3</v>
      </c>
      <c r="H29" s="8">
        <v>5</v>
      </c>
      <c r="I29" s="12">
        <v>0</v>
      </c>
    </row>
    <row r="30" spans="2:9" ht="15" customHeight="1" x14ac:dyDescent="0.2">
      <c r="B30" t="s">
        <v>65</v>
      </c>
      <c r="C30" s="12">
        <v>12</v>
      </c>
      <c r="D30" s="8">
        <v>4.2</v>
      </c>
      <c r="E30" s="12">
        <v>1</v>
      </c>
      <c r="F30" s="8">
        <v>0.46</v>
      </c>
      <c r="G30" s="12">
        <v>11</v>
      </c>
      <c r="H30" s="8">
        <v>18.329999999999998</v>
      </c>
      <c r="I30" s="12">
        <v>0</v>
      </c>
    </row>
    <row r="31" spans="2:9" ht="15" customHeight="1" x14ac:dyDescent="0.2">
      <c r="B31" t="s">
        <v>66</v>
      </c>
      <c r="C31" s="12">
        <v>9</v>
      </c>
      <c r="D31" s="8">
        <v>3.15</v>
      </c>
      <c r="E31" s="12">
        <v>9</v>
      </c>
      <c r="F31" s="8">
        <v>4.1500000000000004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81</v>
      </c>
      <c r="C32" s="12">
        <v>9</v>
      </c>
      <c r="D32" s="8">
        <v>3.15</v>
      </c>
      <c r="E32" s="12">
        <v>8</v>
      </c>
      <c r="F32" s="8">
        <v>3.69</v>
      </c>
      <c r="G32" s="12">
        <v>0</v>
      </c>
      <c r="H32" s="8">
        <v>0</v>
      </c>
      <c r="I32" s="12">
        <v>1</v>
      </c>
    </row>
    <row r="33" spans="2:9" ht="15" customHeight="1" x14ac:dyDescent="0.2">
      <c r="B33" t="s">
        <v>88</v>
      </c>
      <c r="C33" s="12">
        <v>7</v>
      </c>
      <c r="D33" s="8">
        <v>2.4500000000000002</v>
      </c>
      <c r="E33" s="12">
        <v>3</v>
      </c>
      <c r="F33" s="8">
        <v>1.38</v>
      </c>
      <c r="G33" s="12">
        <v>4</v>
      </c>
      <c r="H33" s="8">
        <v>6.67</v>
      </c>
      <c r="I33" s="12">
        <v>0</v>
      </c>
    </row>
    <row r="34" spans="2:9" ht="15" customHeight="1" x14ac:dyDescent="0.2">
      <c r="B34" t="s">
        <v>84</v>
      </c>
      <c r="C34" s="12">
        <v>7</v>
      </c>
      <c r="D34" s="8">
        <v>2.4500000000000002</v>
      </c>
      <c r="E34" s="12">
        <v>7</v>
      </c>
      <c r="F34" s="8">
        <v>3.23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80</v>
      </c>
      <c r="C35" s="12">
        <v>6</v>
      </c>
      <c r="D35" s="8">
        <v>2.1</v>
      </c>
      <c r="E35" s="12">
        <v>5</v>
      </c>
      <c r="F35" s="8">
        <v>2.2999999999999998</v>
      </c>
      <c r="G35" s="12">
        <v>1</v>
      </c>
      <c r="H35" s="8">
        <v>1.67</v>
      </c>
      <c r="I35" s="12">
        <v>0</v>
      </c>
    </row>
    <row r="36" spans="2:9" ht="15" customHeight="1" x14ac:dyDescent="0.2">
      <c r="B36" t="s">
        <v>67</v>
      </c>
      <c r="C36" s="12">
        <v>5</v>
      </c>
      <c r="D36" s="8">
        <v>1.75</v>
      </c>
      <c r="E36" s="12">
        <v>2</v>
      </c>
      <c r="F36" s="8">
        <v>0.92</v>
      </c>
      <c r="G36" s="12">
        <v>3</v>
      </c>
      <c r="H36" s="8">
        <v>5</v>
      </c>
      <c r="I36" s="12">
        <v>0</v>
      </c>
    </row>
    <row r="37" spans="2:9" ht="15" customHeight="1" x14ac:dyDescent="0.2">
      <c r="B37" t="s">
        <v>70</v>
      </c>
      <c r="C37" s="12">
        <v>5</v>
      </c>
      <c r="D37" s="8">
        <v>1.75</v>
      </c>
      <c r="E37" s="12">
        <v>4</v>
      </c>
      <c r="F37" s="8">
        <v>1.84</v>
      </c>
      <c r="G37" s="12">
        <v>1</v>
      </c>
      <c r="H37" s="8">
        <v>1.67</v>
      </c>
      <c r="I37" s="12">
        <v>0</v>
      </c>
    </row>
    <row r="38" spans="2:9" ht="15" customHeight="1" x14ac:dyDescent="0.2">
      <c r="B38" t="s">
        <v>83</v>
      </c>
      <c r="C38" s="12">
        <v>5</v>
      </c>
      <c r="D38" s="8">
        <v>1.75</v>
      </c>
      <c r="E38" s="12">
        <v>1</v>
      </c>
      <c r="F38" s="8">
        <v>0.46</v>
      </c>
      <c r="G38" s="12">
        <v>3</v>
      </c>
      <c r="H38" s="8">
        <v>5</v>
      </c>
      <c r="I38" s="12">
        <v>0</v>
      </c>
    </row>
    <row r="39" spans="2:9" ht="15" customHeight="1" x14ac:dyDescent="0.2">
      <c r="B39" t="s">
        <v>102</v>
      </c>
      <c r="C39" s="12">
        <v>5</v>
      </c>
      <c r="D39" s="8">
        <v>1.75</v>
      </c>
      <c r="E39" s="12">
        <v>0</v>
      </c>
      <c r="F39" s="8">
        <v>0</v>
      </c>
      <c r="G39" s="12">
        <v>0</v>
      </c>
      <c r="H39" s="8">
        <v>0</v>
      </c>
      <c r="I39" s="12">
        <v>5</v>
      </c>
    </row>
    <row r="40" spans="2:9" ht="15" customHeight="1" x14ac:dyDescent="0.2">
      <c r="B40" t="s">
        <v>91</v>
      </c>
      <c r="C40" s="12">
        <v>4</v>
      </c>
      <c r="D40" s="8">
        <v>1.4</v>
      </c>
      <c r="E40" s="12">
        <v>3</v>
      </c>
      <c r="F40" s="8">
        <v>1.38</v>
      </c>
      <c r="G40" s="12">
        <v>1</v>
      </c>
      <c r="H40" s="8">
        <v>1.67</v>
      </c>
      <c r="I40" s="12">
        <v>0</v>
      </c>
    </row>
    <row r="41" spans="2:9" ht="15" customHeight="1" x14ac:dyDescent="0.2">
      <c r="B41" t="s">
        <v>94</v>
      </c>
      <c r="C41" s="12">
        <v>3</v>
      </c>
      <c r="D41" s="8">
        <v>1.05</v>
      </c>
      <c r="E41" s="12">
        <v>1</v>
      </c>
      <c r="F41" s="8">
        <v>0.46</v>
      </c>
      <c r="G41" s="12">
        <v>2</v>
      </c>
      <c r="H41" s="8">
        <v>3.33</v>
      </c>
      <c r="I41" s="12">
        <v>0</v>
      </c>
    </row>
    <row r="42" spans="2:9" ht="15" customHeight="1" x14ac:dyDescent="0.2">
      <c r="B42" t="s">
        <v>97</v>
      </c>
      <c r="C42" s="12">
        <v>2</v>
      </c>
      <c r="D42" s="8">
        <v>0.7</v>
      </c>
      <c r="E42" s="12">
        <v>1</v>
      </c>
      <c r="F42" s="8">
        <v>0.46</v>
      </c>
      <c r="G42" s="12">
        <v>1</v>
      </c>
      <c r="H42" s="8">
        <v>1.67</v>
      </c>
      <c r="I42" s="12">
        <v>0</v>
      </c>
    </row>
    <row r="43" spans="2:9" ht="15" customHeight="1" x14ac:dyDescent="0.2">
      <c r="B43" t="s">
        <v>98</v>
      </c>
      <c r="C43" s="12">
        <v>2</v>
      </c>
      <c r="D43" s="8">
        <v>0.7</v>
      </c>
      <c r="E43" s="12">
        <v>2</v>
      </c>
      <c r="F43" s="8">
        <v>0.92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95</v>
      </c>
      <c r="C44" s="12">
        <v>2</v>
      </c>
      <c r="D44" s="8">
        <v>0.7</v>
      </c>
      <c r="E44" s="12">
        <v>1</v>
      </c>
      <c r="F44" s="8">
        <v>0.46</v>
      </c>
      <c r="G44" s="12">
        <v>1</v>
      </c>
      <c r="H44" s="8">
        <v>1.67</v>
      </c>
      <c r="I44" s="12">
        <v>0</v>
      </c>
    </row>
    <row r="45" spans="2:9" ht="15" customHeight="1" x14ac:dyDescent="0.2">
      <c r="B45" t="s">
        <v>92</v>
      </c>
      <c r="C45" s="12">
        <v>2</v>
      </c>
      <c r="D45" s="8">
        <v>0.7</v>
      </c>
      <c r="E45" s="12">
        <v>2</v>
      </c>
      <c r="F45" s="8">
        <v>0.92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103</v>
      </c>
      <c r="C46" s="12">
        <v>2</v>
      </c>
      <c r="D46" s="8">
        <v>0.7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90</v>
      </c>
      <c r="C47" s="12">
        <v>2</v>
      </c>
      <c r="D47" s="8">
        <v>0.7</v>
      </c>
      <c r="E47" s="12">
        <v>0</v>
      </c>
      <c r="F47" s="8">
        <v>0</v>
      </c>
      <c r="G47" s="12">
        <v>2</v>
      </c>
      <c r="H47" s="8">
        <v>3.33</v>
      </c>
      <c r="I47" s="12">
        <v>0</v>
      </c>
    </row>
    <row r="48" spans="2:9" ht="15" customHeight="1" x14ac:dyDescent="0.2">
      <c r="B48" t="s">
        <v>74</v>
      </c>
      <c r="C48" s="12">
        <v>2</v>
      </c>
      <c r="D48" s="8">
        <v>0.7</v>
      </c>
      <c r="E48" s="12">
        <v>2</v>
      </c>
      <c r="F48" s="8">
        <v>0.92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75</v>
      </c>
      <c r="C49" s="12">
        <v>2</v>
      </c>
      <c r="D49" s="8">
        <v>0.7</v>
      </c>
      <c r="E49" s="12">
        <v>2</v>
      </c>
      <c r="F49" s="8">
        <v>0.92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104</v>
      </c>
      <c r="C50" s="12">
        <v>2</v>
      </c>
      <c r="D50" s="8">
        <v>0.7</v>
      </c>
      <c r="E50" s="12">
        <v>2</v>
      </c>
      <c r="F50" s="8">
        <v>0.92</v>
      </c>
      <c r="G50" s="12">
        <v>0</v>
      </c>
      <c r="H50" s="8">
        <v>0</v>
      </c>
      <c r="I50" s="12">
        <v>0</v>
      </c>
    </row>
    <row r="53" spans="2:9" ht="33" customHeight="1" x14ac:dyDescent="0.2">
      <c r="B53" t="s">
        <v>262</v>
      </c>
      <c r="C53" s="10" t="s">
        <v>58</v>
      </c>
      <c r="D53" s="10" t="s">
        <v>59</v>
      </c>
      <c r="E53" s="10" t="s">
        <v>60</v>
      </c>
      <c r="F53" s="10" t="s">
        <v>61</v>
      </c>
      <c r="G53" s="10" t="s">
        <v>62</v>
      </c>
      <c r="H53" s="10" t="s">
        <v>63</v>
      </c>
      <c r="I53" s="10" t="s">
        <v>64</v>
      </c>
    </row>
    <row r="54" spans="2:9" ht="15" customHeight="1" x14ac:dyDescent="0.2">
      <c r="B54" t="s">
        <v>153</v>
      </c>
      <c r="C54" s="12">
        <v>19</v>
      </c>
      <c r="D54" s="8">
        <v>6.64</v>
      </c>
      <c r="E54" s="12">
        <v>19</v>
      </c>
      <c r="F54" s="8">
        <v>8.76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130</v>
      </c>
      <c r="C55" s="12">
        <v>18</v>
      </c>
      <c r="D55" s="8">
        <v>6.29</v>
      </c>
      <c r="E55" s="12">
        <v>11</v>
      </c>
      <c r="F55" s="8">
        <v>5.07</v>
      </c>
      <c r="G55" s="12">
        <v>7</v>
      </c>
      <c r="H55" s="8">
        <v>11.67</v>
      </c>
      <c r="I55" s="12">
        <v>0</v>
      </c>
    </row>
    <row r="56" spans="2:9" ht="15" customHeight="1" x14ac:dyDescent="0.2">
      <c r="B56" t="s">
        <v>148</v>
      </c>
      <c r="C56" s="12">
        <v>16</v>
      </c>
      <c r="D56" s="8">
        <v>5.59</v>
      </c>
      <c r="E56" s="12">
        <v>12</v>
      </c>
      <c r="F56" s="8">
        <v>5.53</v>
      </c>
      <c r="G56" s="12">
        <v>4</v>
      </c>
      <c r="H56" s="8">
        <v>6.67</v>
      </c>
      <c r="I56" s="12">
        <v>0</v>
      </c>
    </row>
    <row r="57" spans="2:9" ht="15" customHeight="1" x14ac:dyDescent="0.2">
      <c r="B57" t="s">
        <v>136</v>
      </c>
      <c r="C57" s="12">
        <v>16</v>
      </c>
      <c r="D57" s="8">
        <v>5.59</v>
      </c>
      <c r="E57" s="12">
        <v>16</v>
      </c>
      <c r="F57" s="8">
        <v>7.37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128</v>
      </c>
      <c r="C58" s="12">
        <v>11</v>
      </c>
      <c r="D58" s="8">
        <v>3.85</v>
      </c>
      <c r="E58" s="12">
        <v>10</v>
      </c>
      <c r="F58" s="8">
        <v>4.6100000000000003</v>
      </c>
      <c r="G58" s="12">
        <v>1</v>
      </c>
      <c r="H58" s="8">
        <v>1.67</v>
      </c>
      <c r="I58" s="12">
        <v>0</v>
      </c>
    </row>
    <row r="59" spans="2:9" ht="15" customHeight="1" x14ac:dyDescent="0.2">
      <c r="B59" t="s">
        <v>131</v>
      </c>
      <c r="C59" s="12">
        <v>11</v>
      </c>
      <c r="D59" s="8">
        <v>3.85</v>
      </c>
      <c r="E59" s="12">
        <v>10</v>
      </c>
      <c r="F59" s="8">
        <v>4.6100000000000003</v>
      </c>
      <c r="G59" s="12">
        <v>1</v>
      </c>
      <c r="H59" s="8">
        <v>1.67</v>
      </c>
      <c r="I59" s="12">
        <v>0</v>
      </c>
    </row>
    <row r="60" spans="2:9" ht="15" customHeight="1" x14ac:dyDescent="0.2">
      <c r="B60" t="s">
        <v>123</v>
      </c>
      <c r="C60" s="12">
        <v>10</v>
      </c>
      <c r="D60" s="8">
        <v>3.5</v>
      </c>
      <c r="E60" s="12">
        <v>9</v>
      </c>
      <c r="F60" s="8">
        <v>4.1500000000000004</v>
      </c>
      <c r="G60" s="12">
        <v>1</v>
      </c>
      <c r="H60" s="8">
        <v>1.67</v>
      </c>
      <c r="I60" s="12">
        <v>0</v>
      </c>
    </row>
    <row r="61" spans="2:9" ht="15" customHeight="1" x14ac:dyDescent="0.2">
      <c r="B61" t="s">
        <v>134</v>
      </c>
      <c r="C61" s="12">
        <v>10</v>
      </c>
      <c r="D61" s="8">
        <v>3.5</v>
      </c>
      <c r="E61" s="12">
        <v>8</v>
      </c>
      <c r="F61" s="8">
        <v>3.69</v>
      </c>
      <c r="G61" s="12">
        <v>2</v>
      </c>
      <c r="H61" s="8">
        <v>3.33</v>
      </c>
      <c r="I61" s="12">
        <v>0</v>
      </c>
    </row>
    <row r="62" spans="2:9" ht="15" customHeight="1" x14ac:dyDescent="0.2">
      <c r="B62" t="s">
        <v>149</v>
      </c>
      <c r="C62" s="12">
        <v>8</v>
      </c>
      <c r="D62" s="8">
        <v>2.8</v>
      </c>
      <c r="E62" s="12">
        <v>7</v>
      </c>
      <c r="F62" s="8">
        <v>3.23</v>
      </c>
      <c r="G62" s="12">
        <v>1</v>
      </c>
      <c r="H62" s="8">
        <v>1.67</v>
      </c>
      <c r="I62" s="12">
        <v>0</v>
      </c>
    </row>
    <row r="63" spans="2:9" ht="15" customHeight="1" x14ac:dyDescent="0.2">
      <c r="B63" t="s">
        <v>132</v>
      </c>
      <c r="C63" s="12">
        <v>8</v>
      </c>
      <c r="D63" s="8">
        <v>2.8</v>
      </c>
      <c r="E63" s="12">
        <v>8</v>
      </c>
      <c r="F63" s="8">
        <v>3.69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133</v>
      </c>
      <c r="C64" s="12">
        <v>7</v>
      </c>
      <c r="D64" s="8">
        <v>2.4500000000000002</v>
      </c>
      <c r="E64" s="12">
        <v>7</v>
      </c>
      <c r="F64" s="8">
        <v>3.23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141</v>
      </c>
      <c r="C65" s="12">
        <v>7</v>
      </c>
      <c r="D65" s="8">
        <v>2.4500000000000002</v>
      </c>
      <c r="E65" s="12">
        <v>7</v>
      </c>
      <c r="F65" s="8">
        <v>3.23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122</v>
      </c>
      <c r="C66" s="12">
        <v>6</v>
      </c>
      <c r="D66" s="8">
        <v>2.1</v>
      </c>
      <c r="E66" s="12">
        <v>0</v>
      </c>
      <c r="F66" s="8">
        <v>0</v>
      </c>
      <c r="G66" s="12">
        <v>6</v>
      </c>
      <c r="H66" s="8">
        <v>10</v>
      </c>
      <c r="I66" s="12">
        <v>0</v>
      </c>
    </row>
    <row r="67" spans="2:9" ht="15" customHeight="1" x14ac:dyDescent="0.2">
      <c r="B67" t="s">
        <v>144</v>
      </c>
      <c r="C67" s="12">
        <v>5</v>
      </c>
      <c r="D67" s="8">
        <v>1.75</v>
      </c>
      <c r="E67" s="12">
        <v>5</v>
      </c>
      <c r="F67" s="8">
        <v>2.2999999999999998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135</v>
      </c>
      <c r="C68" s="12">
        <v>5</v>
      </c>
      <c r="D68" s="8">
        <v>1.75</v>
      </c>
      <c r="E68" s="12">
        <v>5</v>
      </c>
      <c r="F68" s="8">
        <v>2.2999999999999998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185</v>
      </c>
      <c r="C69" s="12">
        <v>5</v>
      </c>
      <c r="D69" s="8">
        <v>1.75</v>
      </c>
      <c r="E69" s="12">
        <v>0</v>
      </c>
      <c r="F69" s="8">
        <v>0</v>
      </c>
      <c r="G69" s="12">
        <v>0</v>
      </c>
      <c r="H69" s="8">
        <v>0</v>
      </c>
      <c r="I69" s="12">
        <v>5</v>
      </c>
    </row>
    <row r="70" spans="2:9" ht="15" customHeight="1" x14ac:dyDescent="0.2">
      <c r="B70" t="s">
        <v>197</v>
      </c>
      <c r="C70" s="12">
        <v>4</v>
      </c>
      <c r="D70" s="8">
        <v>1.4</v>
      </c>
      <c r="E70" s="12">
        <v>0</v>
      </c>
      <c r="F70" s="8">
        <v>0</v>
      </c>
      <c r="G70" s="12">
        <v>4</v>
      </c>
      <c r="H70" s="8">
        <v>6.67</v>
      </c>
      <c r="I70" s="12">
        <v>0</v>
      </c>
    </row>
    <row r="71" spans="2:9" ht="15" customHeight="1" x14ac:dyDescent="0.2">
      <c r="B71" t="s">
        <v>198</v>
      </c>
      <c r="C71" s="12">
        <v>4</v>
      </c>
      <c r="D71" s="8">
        <v>1.4</v>
      </c>
      <c r="E71" s="12">
        <v>3</v>
      </c>
      <c r="F71" s="8">
        <v>1.38</v>
      </c>
      <c r="G71" s="12">
        <v>1</v>
      </c>
      <c r="H71" s="8">
        <v>1.67</v>
      </c>
      <c r="I71" s="12">
        <v>0</v>
      </c>
    </row>
    <row r="72" spans="2:9" ht="15" customHeight="1" x14ac:dyDescent="0.2">
      <c r="B72" t="s">
        <v>156</v>
      </c>
      <c r="C72" s="12">
        <v>4</v>
      </c>
      <c r="D72" s="8">
        <v>1.4</v>
      </c>
      <c r="E72" s="12">
        <v>4</v>
      </c>
      <c r="F72" s="8">
        <v>1.84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124</v>
      </c>
      <c r="C73" s="12">
        <v>4</v>
      </c>
      <c r="D73" s="8">
        <v>1.4</v>
      </c>
      <c r="E73" s="12">
        <v>3</v>
      </c>
      <c r="F73" s="8">
        <v>1.38</v>
      </c>
      <c r="G73" s="12">
        <v>1</v>
      </c>
      <c r="H73" s="8">
        <v>1.67</v>
      </c>
      <c r="I73" s="12">
        <v>0</v>
      </c>
    </row>
    <row r="74" spans="2:9" ht="15" customHeight="1" x14ac:dyDescent="0.2">
      <c r="B74" t="s">
        <v>150</v>
      </c>
      <c r="C74" s="12">
        <v>4</v>
      </c>
      <c r="D74" s="8">
        <v>1.4</v>
      </c>
      <c r="E74" s="12">
        <v>3</v>
      </c>
      <c r="F74" s="8">
        <v>1.38</v>
      </c>
      <c r="G74" s="12">
        <v>1</v>
      </c>
      <c r="H74" s="8">
        <v>1.67</v>
      </c>
      <c r="I74" s="12">
        <v>0</v>
      </c>
    </row>
    <row r="75" spans="2:9" ht="15" customHeight="1" x14ac:dyDescent="0.2">
      <c r="B75" t="s">
        <v>138</v>
      </c>
      <c r="C75" s="12">
        <v>4</v>
      </c>
      <c r="D75" s="8">
        <v>1.4</v>
      </c>
      <c r="E75" s="12">
        <v>4</v>
      </c>
      <c r="F75" s="8">
        <v>1.84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139</v>
      </c>
      <c r="C76" s="12">
        <v>4</v>
      </c>
      <c r="D76" s="8">
        <v>1.4</v>
      </c>
      <c r="E76" s="12">
        <v>4</v>
      </c>
      <c r="F76" s="8">
        <v>1.84</v>
      </c>
      <c r="G76" s="12">
        <v>0</v>
      </c>
      <c r="H76" s="8">
        <v>0</v>
      </c>
      <c r="I76" s="12">
        <v>0</v>
      </c>
    </row>
    <row r="78" spans="2:9" ht="15" customHeight="1" x14ac:dyDescent="0.2">
      <c r="B78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4C721-A14A-440E-A1B7-03E23C7ABD7B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279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29</v>
      </c>
      <c r="D6" s="8">
        <v>6.16</v>
      </c>
      <c r="E6" s="12">
        <v>11</v>
      </c>
      <c r="F6" s="8">
        <v>2.93</v>
      </c>
      <c r="G6" s="12">
        <v>18</v>
      </c>
      <c r="H6" s="8">
        <v>20</v>
      </c>
      <c r="I6" s="12">
        <v>0</v>
      </c>
    </row>
    <row r="7" spans="2:9" ht="15" customHeight="1" x14ac:dyDescent="0.2">
      <c r="B7" t="s">
        <v>44</v>
      </c>
      <c r="C7" s="12">
        <v>31</v>
      </c>
      <c r="D7" s="8">
        <v>6.58</v>
      </c>
      <c r="E7" s="12">
        <v>22</v>
      </c>
      <c r="F7" s="8">
        <v>5.87</v>
      </c>
      <c r="G7" s="12">
        <v>9</v>
      </c>
      <c r="H7" s="8">
        <v>10</v>
      </c>
      <c r="I7" s="12">
        <v>0</v>
      </c>
    </row>
    <row r="8" spans="2:9" ht="15" customHeight="1" x14ac:dyDescent="0.2">
      <c r="B8" t="s">
        <v>45</v>
      </c>
      <c r="C8" s="12">
        <v>1</v>
      </c>
      <c r="D8" s="8">
        <v>0.21</v>
      </c>
      <c r="E8" s="12">
        <v>0</v>
      </c>
      <c r="F8" s="8">
        <v>0</v>
      </c>
      <c r="G8" s="12">
        <v>1</v>
      </c>
      <c r="H8" s="8">
        <v>1.1100000000000001</v>
      </c>
      <c r="I8" s="12">
        <v>0</v>
      </c>
    </row>
    <row r="9" spans="2:9" ht="15" customHeight="1" x14ac:dyDescent="0.2">
      <c r="B9" t="s">
        <v>46</v>
      </c>
      <c r="C9" s="12">
        <v>1</v>
      </c>
      <c r="D9" s="8">
        <v>0.21</v>
      </c>
      <c r="E9" s="12">
        <v>0</v>
      </c>
      <c r="F9" s="8">
        <v>0</v>
      </c>
      <c r="G9" s="12">
        <v>1</v>
      </c>
      <c r="H9" s="8">
        <v>1.1100000000000001</v>
      </c>
      <c r="I9" s="12">
        <v>0</v>
      </c>
    </row>
    <row r="10" spans="2:9" ht="15" customHeight="1" x14ac:dyDescent="0.2">
      <c r="B10" t="s">
        <v>47</v>
      </c>
      <c r="C10" s="12">
        <v>2</v>
      </c>
      <c r="D10" s="8">
        <v>0.42</v>
      </c>
      <c r="E10" s="12">
        <v>1</v>
      </c>
      <c r="F10" s="8">
        <v>0.27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48</v>
      </c>
      <c r="C11" s="12">
        <v>130</v>
      </c>
      <c r="D11" s="8">
        <v>27.6</v>
      </c>
      <c r="E11" s="12">
        <v>116</v>
      </c>
      <c r="F11" s="8">
        <v>30.93</v>
      </c>
      <c r="G11" s="12">
        <v>14</v>
      </c>
      <c r="H11" s="8">
        <v>15.56</v>
      </c>
      <c r="I11" s="12">
        <v>0</v>
      </c>
    </row>
    <row r="12" spans="2:9" ht="15" customHeight="1" x14ac:dyDescent="0.2">
      <c r="B12" t="s">
        <v>49</v>
      </c>
      <c r="C12" s="12">
        <v>2</v>
      </c>
      <c r="D12" s="8">
        <v>0.42</v>
      </c>
      <c r="E12" s="12">
        <v>2</v>
      </c>
      <c r="F12" s="8">
        <v>0.53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50</v>
      </c>
      <c r="C13" s="12">
        <v>19</v>
      </c>
      <c r="D13" s="8">
        <v>4.03</v>
      </c>
      <c r="E13" s="12">
        <v>10</v>
      </c>
      <c r="F13" s="8">
        <v>2.67</v>
      </c>
      <c r="G13" s="12">
        <v>9</v>
      </c>
      <c r="H13" s="8">
        <v>10</v>
      </c>
      <c r="I13" s="12">
        <v>0</v>
      </c>
    </row>
    <row r="14" spans="2:9" ht="15" customHeight="1" x14ac:dyDescent="0.2">
      <c r="B14" t="s">
        <v>51</v>
      </c>
      <c r="C14" s="12">
        <v>14</v>
      </c>
      <c r="D14" s="8">
        <v>2.97</v>
      </c>
      <c r="E14" s="12">
        <v>9</v>
      </c>
      <c r="F14" s="8">
        <v>2.4</v>
      </c>
      <c r="G14" s="12">
        <v>4</v>
      </c>
      <c r="H14" s="8">
        <v>4.4400000000000004</v>
      </c>
      <c r="I14" s="12">
        <v>0</v>
      </c>
    </row>
    <row r="15" spans="2:9" ht="15" customHeight="1" x14ac:dyDescent="0.2">
      <c r="B15" t="s">
        <v>52</v>
      </c>
      <c r="C15" s="12">
        <v>162</v>
      </c>
      <c r="D15" s="8">
        <v>34.39</v>
      </c>
      <c r="E15" s="12">
        <v>141</v>
      </c>
      <c r="F15" s="8">
        <v>37.6</v>
      </c>
      <c r="G15" s="12">
        <v>20</v>
      </c>
      <c r="H15" s="8">
        <v>22.22</v>
      </c>
      <c r="I15" s="12">
        <v>1</v>
      </c>
    </row>
    <row r="16" spans="2:9" ht="15" customHeight="1" x14ac:dyDescent="0.2">
      <c r="B16" t="s">
        <v>53</v>
      </c>
      <c r="C16" s="12">
        <v>52</v>
      </c>
      <c r="D16" s="8">
        <v>11.04</v>
      </c>
      <c r="E16" s="12">
        <v>43</v>
      </c>
      <c r="F16" s="8">
        <v>11.47</v>
      </c>
      <c r="G16" s="12">
        <v>8</v>
      </c>
      <c r="H16" s="8">
        <v>8.89</v>
      </c>
      <c r="I16" s="12">
        <v>1</v>
      </c>
    </row>
    <row r="17" spans="2:9" ht="15" customHeight="1" x14ac:dyDescent="0.2">
      <c r="B17" t="s">
        <v>54</v>
      </c>
      <c r="C17" s="12">
        <v>16</v>
      </c>
      <c r="D17" s="8">
        <v>3.4</v>
      </c>
      <c r="E17" s="12">
        <v>14</v>
      </c>
      <c r="F17" s="8">
        <v>3.73</v>
      </c>
      <c r="G17" s="12">
        <v>0</v>
      </c>
      <c r="H17" s="8">
        <v>0</v>
      </c>
      <c r="I17" s="12">
        <v>2</v>
      </c>
    </row>
    <row r="18" spans="2:9" ht="15" customHeight="1" x14ac:dyDescent="0.2">
      <c r="B18" t="s">
        <v>55</v>
      </c>
      <c r="C18" s="12">
        <v>7</v>
      </c>
      <c r="D18" s="8">
        <v>1.49</v>
      </c>
      <c r="E18" s="12">
        <v>4</v>
      </c>
      <c r="F18" s="8">
        <v>1.07</v>
      </c>
      <c r="G18" s="12">
        <v>3</v>
      </c>
      <c r="H18" s="8">
        <v>3.33</v>
      </c>
      <c r="I18" s="12">
        <v>0</v>
      </c>
    </row>
    <row r="19" spans="2:9" ht="15" customHeight="1" x14ac:dyDescent="0.2">
      <c r="B19" t="s">
        <v>56</v>
      </c>
      <c r="C19" s="12">
        <v>5</v>
      </c>
      <c r="D19" s="8">
        <v>1.06</v>
      </c>
      <c r="E19" s="12">
        <v>2</v>
      </c>
      <c r="F19" s="8">
        <v>0.53</v>
      </c>
      <c r="G19" s="12">
        <v>3</v>
      </c>
      <c r="H19" s="8">
        <v>3.33</v>
      </c>
      <c r="I19" s="12">
        <v>0</v>
      </c>
    </row>
    <row r="20" spans="2:9" ht="15" customHeight="1" x14ac:dyDescent="0.2">
      <c r="B20" s="9" t="s">
        <v>260</v>
      </c>
      <c r="C20" s="12">
        <f>SUM(LTBL_47308[総数／事業所数])</f>
        <v>471</v>
      </c>
      <c r="E20" s="12">
        <f>SUBTOTAL(109,LTBL_47308[個人／事業所数])</f>
        <v>375</v>
      </c>
      <c r="G20" s="12">
        <f>SUBTOTAL(109,LTBL_47308[法人／事業所数])</f>
        <v>90</v>
      </c>
      <c r="I20" s="12">
        <f>SUBTOTAL(109,LTBL_47308[法人以外の団体／事業所数])</f>
        <v>4</v>
      </c>
    </row>
    <row r="21" spans="2:9" ht="15" customHeight="1" x14ac:dyDescent="0.2">
      <c r="E21" s="11">
        <f>LTBL_47308[[#Totals],[個人／事業所数]]/LTBL_47308[[#Totals],[総数／事業所数]]</f>
        <v>0.79617834394904463</v>
      </c>
      <c r="G21" s="11">
        <f>LTBL_47308[[#Totals],[法人／事業所数]]/LTBL_47308[[#Totals],[総数／事業所数]]</f>
        <v>0.19108280254777071</v>
      </c>
      <c r="I21" s="11">
        <f>LTBL_47308[[#Totals],[法人以外の団体／事業所数]]/LTBL_47308[[#Totals],[総数／事業所数]]</f>
        <v>8.4925690021231421E-3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77</v>
      </c>
      <c r="C24" s="12">
        <v>126</v>
      </c>
      <c r="D24" s="8">
        <v>26.75</v>
      </c>
      <c r="E24" s="12">
        <v>112</v>
      </c>
      <c r="F24" s="8">
        <v>29.87</v>
      </c>
      <c r="G24" s="12">
        <v>13</v>
      </c>
      <c r="H24" s="8">
        <v>14.44</v>
      </c>
      <c r="I24" s="12">
        <v>1</v>
      </c>
    </row>
    <row r="25" spans="2:9" ht="15" customHeight="1" x14ac:dyDescent="0.2">
      <c r="B25" t="s">
        <v>69</v>
      </c>
      <c r="C25" s="12">
        <v>57</v>
      </c>
      <c r="D25" s="8">
        <v>12.1</v>
      </c>
      <c r="E25" s="12">
        <v>57</v>
      </c>
      <c r="F25" s="8">
        <v>15.2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71</v>
      </c>
      <c r="C26" s="12">
        <v>44</v>
      </c>
      <c r="D26" s="8">
        <v>9.34</v>
      </c>
      <c r="E26" s="12">
        <v>36</v>
      </c>
      <c r="F26" s="8">
        <v>9.6</v>
      </c>
      <c r="G26" s="12">
        <v>8</v>
      </c>
      <c r="H26" s="8">
        <v>8.89</v>
      </c>
      <c r="I26" s="12">
        <v>0</v>
      </c>
    </row>
    <row r="27" spans="2:9" ht="15" customHeight="1" x14ac:dyDescent="0.2">
      <c r="B27" t="s">
        <v>78</v>
      </c>
      <c r="C27" s="12">
        <v>40</v>
      </c>
      <c r="D27" s="8">
        <v>8.49</v>
      </c>
      <c r="E27" s="12">
        <v>38</v>
      </c>
      <c r="F27" s="8">
        <v>10.130000000000001</v>
      </c>
      <c r="G27" s="12">
        <v>2</v>
      </c>
      <c r="H27" s="8">
        <v>2.2200000000000002</v>
      </c>
      <c r="I27" s="12">
        <v>0</v>
      </c>
    </row>
    <row r="28" spans="2:9" ht="15" customHeight="1" x14ac:dyDescent="0.2">
      <c r="B28" t="s">
        <v>76</v>
      </c>
      <c r="C28" s="12">
        <v>32</v>
      </c>
      <c r="D28" s="8">
        <v>6.79</v>
      </c>
      <c r="E28" s="12">
        <v>25</v>
      </c>
      <c r="F28" s="8">
        <v>6.67</v>
      </c>
      <c r="G28" s="12">
        <v>7</v>
      </c>
      <c r="H28" s="8">
        <v>7.78</v>
      </c>
      <c r="I28" s="12">
        <v>0</v>
      </c>
    </row>
    <row r="29" spans="2:9" ht="15" customHeight="1" x14ac:dyDescent="0.2">
      <c r="B29" t="s">
        <v>88</v>
      </c>
      <c r="C29" s="12">
        <v>17</v>
      </c>
      <c r="D29" s="8">
        <v>3.61</v>
      </c>
      <c r="E29" s="12">
        <v>12</v>
      </c>
      <c r="F29" s="8">
        <v>3.2</v>
      </c>
      <c r="G29" s="12">
        <v>5</v>
      </c>
      <c r="H29" s="8">
        <v>5.56</v>
      </c>
      <c r="I29" s="12">
        <v>0</v>
      </c>
    </row>
    <row r="30" spans="2:9" ht="15" customHeight="1" x14ac:dyDescent="0.2">
      <c r="B30" t="s">
        <v>73</v>
      </c>
      <c r="C30" s="12">
        <v>16</v>
      </c>
      <c r="D30" s="8">
        <v>3.4</v>
      </c>
      <c r="E30" s="12">
        <v>9</v>
      </c>
      <c r="F30" s="8">
        <v>2.4</v>
      </c>
      <c r="G30" s="12">
        <v>7</v>
      </c>
      <c r="H30" s="8">
        <v>7.78</v>
      </c>
      <c r="I30" s="12">
        <v>0</v>
      </c>
    </row>
    <row r="31" spans="2:9" ht="15" customHeight="1" x14ac:dyDescent="0.2">
      <c r="B31" t="s">
        <v>81</v>
      </c>
      <c r="C31" s="12">
        <v>16</v>
      </c>
      <c r="D31" s="8">
        <v>3.4</v>
      </c>
      <c r="E31" s="12">
        <v>14</v>
      </c>
      <c r="F31" s="8">
        <v>3.73</v>
      </c>
      <c r="G31" s="12">
        <v>0</v>
      </c>
      <c r="H31" s="8">
        <v>0</v>
      </c>
      <c r="I31" s="12">
        <v>2</v>
      </c>
    </row>
    <row r="32" spans="2:9" ht="15" customHeight="1" x14ac:dyDescent="0.2">
      <c r="B32" t="s">
        <v>65</v>
      </c>
      <c r="C32" s="12">
        <v>14</v>
      </c>
      <c r="D32" s="8">
        <v>2.97</v>
      </c>
      <c r="E32" s="12">
        <v>3</v>
      </c>
      <c r="F32" s="8">
        <v>0.8</v>
      </c>
      <c r="G32" s="12">
        <v>11</v>
      </c>
      <c r="H32" s="8">
        <v>12.22</v>
      </c>
      <c r="I32" s="12">
        <v>0</v>
      </c>
    </row>
    <row r="33" spans="2:9" ht="15" customHeight="1" x14ac:dyDescent="0.2">
      <c r="B33" t="s">
        <v>80</v>
      </c>
      <c r="C33" s="12">
        <v>10</v>
      </c>
      <c r="D33" s="8">
        <v>2.12</v>
      </c>
      <c r="E33" s="12">
        <v>5</v>
      </c>
      <c r="F33" s="8">
        <v>1.33</v>
      </c>
      <c r="G33" s="12">
        <v>4</v>
      </c>
      <c r="H33" s="8">
        <v>4.4400000000000004</v>
      </c>
      <c r="I33" s="12">
        <v>1</v>
      </c>
    </row>
    <row r="34" spans="2:9" ht="15" customHeight="1" x14ac:dyDescent="0.2">
      <c r="B34" t="s">
        <v>67</v>
      </c>
      <c r="C34" s="12">
        <v>9</v>
      </c>
      <c r="D34" s="8">
        <v>1.91</v>
      </c>
      <c r="E34" s="12">
        <v>4</v>
      </c>
      <c r="F34" s="8">
        <v>1.07</v>
      </c>
      <c r="G34" s="12">
        <v>5</v>
      </c>
      <c r="H34" s="8">
        <v>5.56</v>
      </c>
      <c r="I34" s="12">
        <v>0</v>
      </c>
    </row>
    <row r="35" spans="2:9" ht="15" customHeight="1" x14ac:dyDescent="0.2">
      <c r="B35" t="s">
        <v>68</v>
      </c>
      <c r="C35" s="12">
        <v>9</v>
      </c>
      <c r="D35" s="8">
        <v>1.91</v>
      </c>
      <c r="E35" s="12">
        <v>9</v>
      </c>
      <c r="F35" s="8">
        <v>2.4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89</v>
      </c>
      <c r="C36" s="12">
        <v>8</v>
      </c>
      <c r="D36" s="8">
        <v>1.7</v>
      </c>
      <c r="E36" s="12">
        <v>8</v>
      </c>
      <c r="F36" s="8">
        <v>2.13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75</v>
      </c>
      <c r="C37" s="12">
        <v>8</v>
      </c>
      <c r="D37" s="8">
        <v>1.7</v>
      </c>
      <c r="E37" s="12">
        <v>5</v>
      </c>
      <c r="F37" s="8">
        <v>1.33</v>
      </c>
      <c r="G37" s="12">
        <v>2</v>
      </c>
      <c r="H37" s="8">
        <v>2.2200000000000002</v>
      </c>
      <c r="I37" s="12">
        <v>0</v>
      </c>
    </row>
    <row r="38" spans="2:9" ht="15" customHeight="1" x14ac:dyDescent="0.2">
      <c r="B38" t="s">
        <v>66</v>
      </c>
      <c r="C38" s="12">
        <v>6</v>
      </c>
      <c r="D38" s="8">
        <v>1.27</v>
      </c>
      <c r="E38" s="12">
        <v>4</v>
      </c>
      <c r="F38" s="8">
        <v>1.07</v>
      </c>
      <c r="G38" s="12">
        <v>2</v>
      </c>
      <c r="H38" s="8">
        <v>2.2200000000000002</v>
      </c>
      <c r="I38" s="12">
        <v>0</v>
      </c>
    </row>
    <row r="39" spans="2:9" ht="15" customHeight="1" x14ac:dyDescent="0.2">
      <c r="B39" t="s">
        <v>74</v>
      </c>
      <c r="C39" s="12">
        <v>6</v>
      </c>
      <c r="D39" s="8">
        <v>1.27</v>
      </c>
      <c r="E39" s="12">
        <v>4</v>
      </c>
      <c r="F39" s="8">
        <v>1.07</v>
      </c>
      <c r="G39" s="12">
        <v>2</v>
      </c>
      <c r="H39" s="8">
        <v>2.2200000000000002</v>
      </c>
      <c r="I39" s="12">
        <v>0</v>
      </c>
    </row>
    <row r="40" spans="2:9" ht="15" customHeight="1" x14ac:dyDescent="0.2">
      <c r="B40" t="s">
        <v>82</v>
      </c>
      <c r="C40" s="12">
        <v>6</v>
      </c>
      <c r="D40" s="8">
        <v>1.27</v>
      </c>
      <c r="E40" s="12">
        <v>4</v>
      </c>
      <c r="F40" s="8">
        <v>1.07</v>
      </c>
      <c r="G40" s="12">
        <v>2</v>
      </c>
      <c r="H40" s="8">
        <v>2.2200000000000002</v>
      </c>
      <c r="I40" s="12">
        <v>0</v>
      </c>
    </row>
    <row r="41" spans="2:9" ht="15" customHeight="1" x14ac:dyDescent="0.2">
      <c r="B41" t="s">
        <v>95</v>
      </c>
      <c r="C41" s="12">
        <v>4</v>
      </c>
      <c r="D41" s="8">
        <v>0.85</v>
      </c>
      <c r="E41" s="12">
        <v>3</v>
      </c>
      <c r="F41" s="8">
        <v>0.8</v>
      </c>
      <c r="G41" s="12">
        <v>1</v>
      </c>
      <c r="H41" s="8">
        <v>1.1100000000000001</v>
      </c>
      <c r="I41" s="12">
        <v>0</v>
      </c>
    </row>
    <row r="42" spans="2:9" ht="15" customHeight="1" x14ac:dyDescent="0.2">
      <c r="B42" t="s">
        <v>92</v>
      </c>
      <c r="C42" s="12">
        <v>4</v>
      </c>
      <c r="D42" s="8">
        <v>0.85</v>
      </c>
      <c r="E42" s="12">
        <v>4</v>
      </c>
      <c r="F42" s="8">
        <v>1.07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86</v>
      </c>
      <c r="C43" s="12">
        <v>4</v>
      </c>
      <c r="D43" s="8">
        <v>0.85</v>
      </c>
      <c r="E43" s="12">
        <v>2</v>
      </c>
      <c r="F43" s="8">
        <v>0.53</v>
      </c>
      <c r="G43" s="12">
        <v>2</v>
      </c>
      <c r="H43" s="8">
        <v>2.2200000000000002</v>
      </c>
      <c r="I43" s="12">
        <v>0</v>
      </c>
    </row>
    <row r="44" spans="2:9" ht="15" customHeight="1" x14ac:dyDescent="0.2">
      <c r="B44" t="s">
        <v>70</v>
      </c>
      <c r="C44" s="12">
        <v>4</v>
      </c>
      <c r="D44" s="8">
        <v>0.85</v>
      </c>
      <c r="E44" s="12">
        <v>4</v>
      </c>
      <c r="F44" s="8">
        <v>1.07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91</v>
      </c>
      <c r="C45" s="12">
        <v>4</v>
      </c>
      <c r="D45" s="8">
        <v>0.85</v>
      </c>
      <c r="E45" s="12">
        <v>4</v>
      </c>
      <c r="F45" s="8">
        <v>1.07</v>
      </c>
      <c r="G45" s="12">
        <v>0</v>
      </c>
      <c r="H45" s="8">
        <v>0</v>
      </c>
      <c r="I45" s="12">
        <v>0</v>
      </c>
    </row>
    <row r="48" spans="2:9" ht="33" customHeight="1" x14ac:dyDescent="0.2">
      <c r="B48" t="s">
        <v>262</v>
      </c>
      <c r="C48" s="10" t="s">
        <v>58</v>
      </c>
      <c r="D48" s="10" t="s">
        <v>59</v>
      </c>
      <c r="E48" s="10" t="s">
        <v>60</v>
      </c>
      <c r="F48" s="10" t="s">
        <v>61</v>
      </c>
      <c r="G48" s="10" t="s">
        <v>62</v>
      </c>
      <c r="H48" s="10" t="s">
        <v>63</v>
      </c>
      <c r="I48" s="10" t="s">
        <v>64</v>
      </c>
    </row>
    <row r="49" spans="2:9" ht="15" customHeight="1" x14ac:dyDescent="0.2">
      <c r="B49" t="s">
        <v>131</v>
      </c>
      <c r="C49" s="12">
        <v>31</v>
      </c>
      <c r="D49" s="8">
        <v>6.58</v>
      </c>
      <c r="E49" s="12">
        <v>24</v>
      </c>
      <c r="F49" s="8">
        <v>6.4</v>
      </c>
      <c r="G49" s="12">
        <v>7</v>
      </c>
      <c r="H49" s="8">
        <v>7.78</v>
      </c>
      <c r="I49" s="12">
        <v>0</v>
      </c>
    </row>
    <row r="50" spans="2:9" ht="15" customHeight="1" x14ac:dyDescent="0.2">
      <c r="B50" t="s">
        <v>134</v>
      </c>
      <c r="C50" s="12">
        <v>28</v>
      </c>
      <c r="D50" s="8">
        <v>5.94</v>
      </c>
      <c r="E50" s="12">
        <v>28</v>
      </c>
      <c r="F50" s="8">
        <v>7.47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133</v>
      </c>
      <c r="C51" s="12">
        <v>27</v>
      </c>
      <c r="D51" s="8">
        <v>5.73</v>
      </c>
      <c r="E51" s="12">
        <v>26</v>
      </c>
      <c r="F51" s="8">
        <v>6.93</v>
      </c>
      <c r="G51" s="12">
        <v>0</v>
      </c>
      <c r="H51" s="8">
        <v>0</v>
      </c>
      <c r="I51" s="12">
        <v>1</v>
      </c>
    </row>
    <row r="52" spans="2:9" ht="15" customHeight="1" x14ac:dyDescent="0.2">
      <c r="B52" t="s">
        <v>130</v>
      </c>
      <c r="C52" s="12">
        <v>24</v>
      </c>
      <c r="D52" s="8">
        <v>5.0999999999999996</v>
      </c>
      <c r="E52" s="12">
        <v>19</v>
      </c>
      <c r="F52" s="8">
        <v>5.07</v>
      </c>
      <c r="G52" s="12">
        <v>5</v>
      </c>
      <c r="H52" s="8">
        <v>5.56</v>
      </c>
      <c r="I52" s="12">
        <v>0</v>
      </c>
    </row>
    <row r="53" spans="2:9" ht="15" customHeight="1" x14ac:dyDescent="0.2">
      <c r="B53" t="s">
        <v>136</v>
      </c>
      <c r="C53" s="12">
        <v>23</v>
      </c>
      <c r="D53" s="8">
        <v>4.88</v>
      </c>
      <c r="E53" s="12">
        <v>23</v>
      </c>
      <c r="F53" s="8">
        <v>6.13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123</v>
      </c>
      <c r="C54" s="12">
        <v>20</v>
      </c>
      <c r="D54" s="8">
        <v>4.25</v>
      </c>
      <c r="E54" s="12">
        <v>20</v>
      </c>
      <c r="F54" s="8">
        <v>5.33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126</v>
      </c>
      <c r="C55" s="12">
        <v>15</v>
      </c>
      <c r="D55" s="8">
        <v>3.18</v>
      </c>
      <c r="E55" s="12">
        <v>13</v>
      </c>
      <c r="F55" s="8">
        <v>3.47</v>
      </c>
      <c r="G55" s="12">
        <v>2</v>
      </c>
      <c r="H55" s="8">
        <v>2.2200000000000002</v>
      </c>
      <c r="I55" s="12">
        <v>0</v>
      </c>
    </row>
    <row r="56" spans="2:9" ht="15" customHeight="1" x14ac:dyDescent="0.2">
      <c r="B56" t="s">
        <v>132</v>
      </c>
      <c r="C56" s="12">
        <v>15</v>
      </c>
      <c r="D56" s="8">
        <v>3.18</v>
      </c>
      <c r="E56" s="12">
        <v>14</v>
      </c>
      <c r="F56" s="8">
        <v>3.73</v>
      </c>
      <c r="G56" s="12">
        <v>1</v>
      </c>
      <c r="H56" s="8">
        <v>1.1100000000000001</v>
      </c>
      <c r="I56" s="12">
        <v>0</v>
      </c>
    </row>
    <row r="57" spans="2:9" ht="15" customHeight="1" x14ac:dyDescent="0.2">
      <c r="B57" t="s">
        <v>156</v>
      </c>
      <c r="C57" s="12">
        <v>14</v>
      </c>
      <c r="D57" s="8">
        <v>2.97</v>
      </c>
      <c r="E57" s="12">
        <v>14</v>
      </c>
      <c r="F57" s="8">
        <v>3.73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128</v>
      </c>
      <c r="C58" s="12">
        <v>13</v>
      </c>
      <c r="D58" s="8">
        <v>2.76</v>
      </c>
      <c r="E58" s="12">
        <v>8</v>
      </c>
      <c r="F58" s="8">
        <v>2.13</v>
      </c>
      <c r="G58" s="12">
        <v>5</v>
      </c>
      <c r="H58" s="8">
        <v>5.56</v>
      </c>
      <c r="I58" s="12">
        <v>0</v>
      </c>
    </row>
    <row r="59" spans="2:9" ht="15" customHeight="1" x14ac:dyDescent="0.2">
      <c r="B59" t="s">
        <v>149</v>
      </c>
      <c r="C59" s="12">
        <v>13</v>
      </c>
      <c r="D59" s="8">
        <v>2.76</v>
      </c>
      <c r="E59" s="12">
        <v>13</v>
      </c>
      <c r="F59" s="8">
        <v>3.47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135</v>
      </c>
      <c r="C60" s="12">
        <v>12</v>
      </c>
      <c r="D60" s="8">
        <v>2.5499999999999998</v>
      </c>
      <c r="E60" s="12">
        <v>12</v>
      </c>
      <c r="F60" s="8">
        <v>3.2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139</v>
      </c>
      <c r="C61" s="12">
        <v>11</v>
      </c>
      <c r="D61" s="8">
        <v>2.34</v>
      </c>
      <c r="E61" s="12">
        <v>11</v>
      </c>
      <c r="F61" s="8">
        <v>2.93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199</v>
      </c>
      <c r="C62" s="12">
        <v>10</v>
      </c>
      <c r="D62" s="8">
        <v>2.12</v>
      </c>
      <c r="E62" s="12">
        <v>10</v>
      </c>
      <c r="F62" s="8">
        <v>2.67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163</v>
      </c>
      <c r="C63" s="12">
        <v>9</v>
      </c>
      <c r="D63" s="8">
        <v>1.91</v>
      </c>
      <c r="E63" s="12">
        <v>6</v>
      </c>
      <c r="F63" s="8">
        <v>1.6</v>
      </c>
      <c r="G63" s="12">
        <v>3</v>
      </c>
      <c r="H63" s="8">
        <v>3.33</v>
      </c>
      <c r="I63" s="12">
        <v>0</v>
      </c>
    </row>
    <row r="64" spans="2:9" ht="15" customHeight="1" x14ac:dyDescent="0.2">
      <c r="B64" t="s">
        <v>153</v>
      </c>
      <c r="C64" s="12">
        <v>9</v>
      </c>
      <c r="D64" s="8">
        <v>1.91</v>
      </c>
      <c r="E64" s="12">
        <v>9</v>
      </c>
      <c r="F64" s="8">
        <v>2.4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150</v>
      </c>
      <c r="C65" s="12">
        <v>8</v>
      </c>
      <c r="D65" s="8">
        <v>1.7</v>
      </c>
      <c r="E65" s="12">
        <v>4</v>
      </c>
      <c r="F65" s="8">
        <v>1.07</v>
      </c>
      <c r="G65" s="12">
        <v>4</v>
      </c>
      <c r="H65" s="8">
        <v>4.4400000000000004</v>
      </c>
      <c r="I65" s="12">
        <v>0</v>
      </c>
    </row>
    <row r="66" spans="2:9" ht="15" customHeight="1" x14ac:dyDescent="0.2">
      <c r="B66" t="s">
        <v>144</v>
      </c>
      <c r="C66" s="12">
        <v>7</v>
      </c>
      <c r="D66" s="8">
        <v>1.49</v>
      </c>
      <c r="E66" s="12">
        <v>7</v>
      </c>
      <c r="F66" s="8">
        <v>1.87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125</v>
      </c>
      <c r="C67" s="12">
        <v>7</v>
      </c>
      <c r="D67" s="8">
        <v>1.49</v>
      </c>
      <c r="E67" s="12">
        <v>4</v>
      </c>
      <c r="F67" s="8">
        <v>1.07</v>
      </c>
      <c r="G67" s="12">
        <v>3</v>
      </c>
      <c r="H67" s="8">
        <v>3.33</v>
      </c>
      <c r="I67" s="12">
        <v>0</v>
      </c>
    </row>
    <row r="68" spans="2:9" ht="15" customHeight="1" x14ac:dyDescent="0.2">
      <c r="B68" t="s">
        <v>148</v>
      </c>
      <c r="C68" s="12">
        <v>7</v>
      </c>
      <c r="D68" s="8">
        <v>1.49</v>
      </c>
      <c r="E68" s="12">
        <v>5</v>
      </c>
      <c r="F68" s="8">
        <v>1.33</v>
      </c>
      <c r="G68" s="12">
        <v>2</v>
      </c>
      <c r="H68" s="8">
        <v>2.2200000000000002</v>
      </c>
      <c r="I68" s="12">
        <v>0</v>
      </c>
    </row>
    <row r="69" spans="2:9" ht="15" customHeight="1" x14ac:dyDescent="0.2">
      <c r="B69" t="s">
        <v>200</v>
      </c>
      <c r="C69" s="12">
        <v>7</v>
      </c>
      <c r="D69" s="8">
        <v>1.49</v>
      </c>
      <c r="E69" s="12">
        <v>5</v>
      </c>
      <c r="F69" s="8">
        <v>1.33</v>
      </c>
      <c r="G69" s="12">
        <v>2</v>
      </c>
      <c r="H69" s="8">
        <v>2.2200000000000002</v>
      </c>
      <c r="I69" s="12">
        <v>0</v>
      </c>
    </row>
    <row r="71" spans="2:9" ht="15" customHeight="1" x14ac:dyDescent="0.2">
      <c r="B71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3985B-ED2B-4095-A69E-C110AF4FC4C2}">
  <sheetPr>
    <pageSetUpPr fitToPage="1"/>
  </sheetPr>
  <dimension ref="B2:I8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280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22</v>
      </c>
      <c r="D6" s="8">
        <v>11.11</v>
      </c>
      <c r="E6" s="12">
        <v>1</v>
      </c>
      <c r="F6" s="8">
        <v>0.9</v>
      </c>
      <c r="G6" s="12">
        <v>21</v>
      </c>
      <c r="H6" s="8">
        <v>24.71</v>
      </c>
      <c r="I6" s="12">
        <v>0</v>
      </c>
    </row>
    <row r="7" spans="2:9" ht="15" customHeight="1" x14ac:dyDescent="0.2">
      <c r="B7" t="s">
        <v>44</v>
      </c>
      <c r="C7" s="12">
        <v>15</v>
      </c>
      <c r="D7" s="8">
        <v>7.58</v>
      </c>
      <c r="E7" s="12">
        <v>10</v>
      </c>
      <c r="F7" s="8">
        <v>9.01</v>
      </c>
      <c r="G7" s="12">
        <v>5</v>
      </c>
      <c r="H7" s="8">
        <v>5.88</v>
      </c>
      <c r="I7" s="12">
        <v>0</v>
      </c>
    </row>
    <row r="8" spans="2:9" ht="15" customHeight="1" x14ac:dyDescent="0.2">
      <c r="B8" t="s">
        <v>45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47</v>
      </c>
      <c r="C10" s="12">
        <v>2</v>
      </c>
      <c r="D10" s="8">
        <v>1.01</v>
      </c>
      <c r="E10" s="12">
        <v>2</v>
      </c>
      <c r="F10" s="8">
        <v>1.8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48</v>
      </c>
      <c r="C11" s="12">
        <v>53</v>
      </c>
      <c r="D11" s="8">
        <v>26.77</v>
      </c>
      <c r="E11" s="12">
        <v>38</v>
      </c>
      <c r="F11" s="8">
        <v>34.229999999999997</v>
      </c>
      <c r="G11" s="12">
        <v>15</v>
      </c>
      <c r="H11" s="8">
        <v>17.649999999999999</v>
      </c>
      <c r="I11" s="12">
        <v>0</v>
      </c>
    </row>
    <row r="12" spans="2:9" ht="15" customHeight="1" x14ac:dyDescent="0.2">
      <c r="B12" t="s">
        <v>49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50</v>
      </c>
      <c r="C13" s="12">
        <v>20</v>
      </c>
      <c r="D13" s="8">
        <v>10.1</v>
      </c>
      <c r="E13" s="12">
        <v>9</v>
      </c>
      <c r="F13" s="8">
        <v>8.11</v>
      </c>
      <c r="G13" s="12">
        <v>11</v>
      </c>
      <c r="H13" s="8">
        <v>12.94</v>
      </c>
      <c r="I13" s="12">
        <v>0</v>
      </c>
    </row>
    <row r="14" spans="2:9" ht="15" customHeight="1" x14ac:dyDescent="0.2">
      <c r="B14" t="s">
        <v>51</v>
      </c>
      <c r="C14" s="12">
        <v>4</v>
      </c>
      <c r="D14" s="8">
        <v>2.02</v>
      </c>
      <c r="E14" s="12">
        <v>2</v>
      </c>
      <c r="F14" s="8">
        <v>1.8</v>
      </c>
      <c r="G14" s="12">
        <v>2</v>
      </c>
      <c r="H14" s="8">
        <v>2.35</v>
      </c>
      <c r="I14" s="12">
        <v>0</v>
      </c>
    </row>
    <row r="15" spans="2:9" ht="15" customHeight="1" x14ac:dyDescent="0.2">
      <c r="B15" t="s">
        <v>52</v>
      </c>
      <c r="C15" s="12">
        <v>26</v>
      </c>
      <c r="D15" s="8">
        <v>13.13</v>
      </c>
      <c r="E15" s="12">
        <v>17</v>
      </c>
      <c r="F15" s="8">
        <v>15.32</v>
      </c>
      <c r="G15" s="12">
        <v>9</v>
      </c>
      <c r="H15" s="8">
        <v>10.59</v>
      </c>
      <c r="I15" s="12">
        <v>0</v>
      </c>
    </row>
    <row r="16" spans="2:9" ht="15" customHeight="1" x14ac:dyDescent="0.2">
      <c r="B16" t="s">
        <v>53</v>
      </c>
      <c r="C16" s="12">
        <v>33</v>
      </c>
      <c r="D16" s="8">
        <v>16.670000000000002</v>
      </c>
      <c r="E16" s="12">
        <v>18</v>
      </c>
      <c r="F16" s="8">
        <v>16.22</v>
      </c>
      <c r="G16" s="12">
        <v>15</v>
      </c>
      <c r="H16" s="8">
        <v>17.649999999999999</v>
      </c>
      <c r="I16" s="12">
        <v>0</v>
      </c>
    </row>
    <row r="17" spans="2:9" ht="15" customHeight="1" x14ac:dyDescent="0.2">
      <c r="B17" t="s">
        <v>54</v>
      </c>
      <c r="C17" s="12">
        <v>9</v>
      </c>
      <c r="D17" s="8">
        <v>4.55</v>
      </c>
      <c r="E17" s="12">
        <v>6</v>
      </c>
      <c r="F17" s="8">
        <v>5.41</v>
      </c>
      <c r="G17" s="12">
        <v>2</v>
      </c>
      <c r="H17" s="8">
        <v>2.35</v>
      </c>
      <c r="I17" s="12">
        <v>1</v>
      </c>
    </row>
    <row r="18" spans="2:9" ht="15" customHeight="1" x14ac:dyDescent="0.2">
      <c r="B18" t="s">
        <v>55</v>
      </c>
      <c r="C18" s="12">
        <v>4</v>
      </c>
      <c r="D18" s="8">
        <v>2.02</v>
      </c>
      <c r="E18" s="12">
        <v>2</v>
      </c>
      <c r="F18" s="8">
        <v>1.8</v>
      </c>
      <c r="G18" s="12">
        <v>2</v>
      </c>
      <c r="H18" s="8">
        <v>2.35</v>
      </c>
      <c r="I18" s="12">
        <v>0</v>
      </c>
    </row>
    <row r="19" spans="2:9" ht="15" customHeight="1" x14ac:dyDescent="0.2">
      <c r="B19" t="s">
        <v>56</v>
      </c>
      <c r="C19" s="12">
        <v>10</v>
      </c>
      <c r="D19" s="8">
        <v>5.05</v>
      </c>
      <c r="E19" s="12">
        <v>6</v>
      </c>
      <c r="F19" s="8">
        <v>5.41</v>
      </c>
      <c r="G19" s="12">
        <v>3</v>
      </c>
      <c r="H19" s="8">
        <v>3.53</v>
      </c>
      <c r="I19" s="12">
        <v>0</v>
      </c>
    </row>
    <row r="20" spans="2:9" ht="15" customHeight="1" x14ac:dyDescent="0.2">
      <c r="B20" s="9" t="s">
        <v>260</v>
      </c>
      <c r="C20" s="12">
        <f>SUM(LTBL_47311[総数／事業所数])</f>
        <v>198</v>
      </c>
      <c r="E20" s="12">
        <f>SUBTOTAL(109,LTBL_47311[個人／事業所数])</f>
        <v>111</v>
      </c>
      <c r="G20" s="12">
        <f>SUBTOTAL(109,LTBL_47311[法人／事業所数])</f>
        <v>85</v>
      </c>
      <c r="I20" s="12">
        <f>SUBTOTAL(109,LTBL_47311[法人以外の団体／事業所数])</f>
        <v>1</v>
      </c>
    </row>
    <row r="21" spans="2:9" ht="15" customHeight="1" x14ac:dyDescent="0.2">
      <c r="E21" s="11">
        <f>LTBL_47311[[#Totals],[個人／事業所数]]/LTBL_47311[[#Totals],[総数／事業所数]]</f>
        <v>0.56060606060606055</v>
      </c>
      <c r="G21" s="11">
        <f>LTBL_47311[[#Totals],[法人／事業所数]]/LTBL_47311[[#Totals],[総数／事業所数]]</f>
        <v>0.42929292929292928</v>
      </c>
      <c r="I21" s="11">
        <f>LTBL_47311[[#Totals],[法人以外の団体／事業所数]]/LTBL_47311[[#Totals],[総数／事業所数]]</f>
        <v>5.0505050505050509E-3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71</v>
      </c>
      <c r="C24" s="12">
        <v>24</v>
      </c>
      <c r="D24" s="8">
        <v>12.12</v>
      </c>
      <c r="E24" s="12">
        <v>16</v>
      </c>
      <c r="F24" s="8">
        <v>14.41</v>
      </c>
      <c r="G24" s="12">
        <v>8</v>
      </c>
      <c r="H24" s="8">
        <v>9.41</v>
      </c>
      <c r="I24" s="12">
        <v>0</v>
      </c>
    </row>
    <row r="25" spans="2:9" ht="15" customHeight="1" x14ac:dyDescent="0.2">
      <c r="B25" t="s">
        <v>69</v>
      </c>
      <c r="C25" s="12">
        <v>22</v>
      </c>
      <c r="D25" s="8">
        <v>11.11</v>
      </c>
      <c r="E25" s="12">
        <v>18</v>
      </c>
      <c r="F25" s="8">
        <v>16.22</v>
      </c>
      <c r="G25" s="12">
        <v>4</v>
      </c>
      <c r="H25" s="8">
        <v>4.71</v>
      </c>
      <c r="I25" s="12">
        <v>0</v>
      </c>
    </row>
    <row r="26" spans="2:9" ht="15" customHeight="1" x14ac:dyDescent="0.2">
      <c r="B26" t="s">
        <v>80</v>
      </c>
      <c r="C26" s="12">
        <v>18</v>
      </c>
      <c r="D26" s="8">
        <v>9.09</v>
      </c>
      <c r="E26" s="12">
        <v>6</v>
      </c>
      <c r="F26" s="8">
        <v>5.41</v>
      </c>
      <c r="G26" s="12">
        <v>12</v>
      </c>
      <c r="H26" s="8">
        <v>14.12</v>
      </c>
      <c r="I26" s="12">
        <v>0</v>
      </c>
    </row>
    <row r="27" spans="2:9" ht="15" customHeight="1" x14ac:dyDescent="0.2">
      <c r="B27" t="s">
        <v>73</v>
      </c>
      <c r="C27" s="12">
        <v>15</v>
      </c>
      <c r="D27" s="8">
        <v>7.58</v>
      </c>
      <c r="E27" s="12">
        <v>8</v>
      </c>
      <c r="F27" s="8">
        <v>7.21</v>
      </c>
      <c r="G27" s="12">
        <v>7</v>
      </c>
      <c r="H27" s="8">
        <v>8.24</v>
      </c>
      <c r="I27" s="12">
        <v>0</v>
      </c>
    </row>
    <row r="28" spans="2:9" ht="15" customHeight="1" x14ac:dyDescent="0.2">
      <c r="B28" t="s">
        <v>77</v>
      </c>
      <c r="C28" s="12">
        <v>15</v>
      </c>
      <c r="D28" s="8">
        <v>7.58</v>
      </c>
      <c r="E28" s="12">
        <v>12</v>
      </c>
      <c r="F28" s="8">
        <v>10.81</v>
      </c>
      <c r="G28" s="12">
        <v>3</v>
      </c>
      <c r="H28" s="8">
        <v>3.53</v>
      </c>
      <c r="I28" s="12">
        <v>0</v>
      </c>
    </row>
    <row r="29" spans="2:9" ht="15" customHeight="1" x14ac:dyDescent="0.2">
      <c r="B29" t="s">
        <v>65</v>
      </c>
      <c r="C29" s="12">
        <v>14</v>
      </c>
      <c r="D29" s="8">
        <v>7.07</v>
      </c>
      <c r="E29" s="12">
        <v>0</v>
      </c>
      <c r="F29" s="8">
        <v>0</v>
      </c>
      <c r="G29" s="12">
        <v>14</v>
      </c>
      <c r="H29" s="8">
        <v>16.47</v>
      </c>
      <c r="I29" s="12">
        <v>0</v>
      </c>
    </row>
    <row r="30" spans="2:9" ht="15" customHeight="1" x14ac:dyDescent="0.2">
      <c r="B30" t="s">
        <v>76</v>
      </c>
      <c r="C30" s="12">
        <v>10</v>
      </c>
      <c r="D30" s="8">
        <v>5.05</v>
      </c>
      <c r="E30" s="12">
        <v>5</v>
      </c>
      <c r="F30" s="8">
        <v>4.5</v>
      </c>
      <c r="G30" s="12">
        <v>5</v>
      </c>
      <c r="H30" s="8">
        <v>5.88</v>
      </c>
      <c r="I30" s="12">
        <v>0</v>
      </c>
    </row>
    <row r="31" spans="2:9" ht="15" customHeight="1" x14ac:dyDescent="0.2">
      <c r="B31" t="s">
        <v>78</v>
      </c>
      <c r="C31" s="12">
        <v>9</v>
      </c>
      <c r="D31" s="8">
        <v>4.55</v>
      </c>
      <c r="E31" s="12">
        <v>9</v>
      </c>
      <c r="F31" s="8">
        <v>8.11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81</v>
      </c>
      <c r="C32" s="12">
        <v>9</v>
      </c>
      <c r="D32" s="8">
        <v>4.55</v>
      </c>
      <c r="E32" s="12">
        <v>6</v>
      </c>
      <c r="F32" s="8">
        <v>5.41</v>
      </c>
      <c r="G32" s="12">
        <v>2</v>
      </c>
      <c r="H32" s="8">
        <v>2.35</v>
      </c>
      <c r="I32" s="12">
        <v>1</v>
      </c>
    </row>
    <row r="33" spans="2:9" ht="15" customHeight="1" x14ac:dyDescent="0.2">
      <c r="B33" t="s">
        <v>67</v>
      </c>
      <c r="C33" s="12">
        <v>6</v>
      </c>
      <c r="D33" s="8">
        <v>3.03</v>
      </c>
      <c r="E33" s="12">
        <v>0</v>
      </c>
      <c r="F33" s="8">
        <v>0</v>
      </c>
      <c r="G33" s="12">
        <v>6</v>
      </c>
      <c r="H33" s="8">
        <v>7.06</v>
      </c>
      <c r="I33" s="12">
        <v>0</v>
      </c>
    </row>
    <row r="34" spans="2:9" ht="15" customHeight="1" x14ac:dyDescent="0.2">
      <c r="B34" t="s">
        <v>79</v>
      </c>
      <c r="C34" s="12">
        <v>6</v>
      </c>
      <c r="D34" s="8">
        <v>3.03</v>
      </c>
      <c r="E34" s="12">
        <v>3</v>
      </c>
      <c r="F34" s="8">
        <v>2.7</v>
      </c>
      <c r="G34" s="12">
        <v>3</v>
      </c>
      <c r="H34" s="8">
        <v>3.53</v>
      </c>
      <c r="I34" s="12">
        <v>0</v>
      </c>
    </row>
    <row r="35" spans="2:9" ht="15" customHeight="1" x14ac:dyDescent="0.2">
      <c r="B35" t="s">
        <v>88</v>
      </c>
      <c r="C35" s="12">
        <v>5</v>
      </c>
      <c r="D35" s="8">
        <v>2.5299999999999998</v>
      </c>
      <c r="E35" s="12">
        <v>3</v>
      </c>
      <c r="F35" s="8">
        <v>2.7</v>
      </c>
      <c r="G35" s="12">
        <v>2</v>
      </c>
      <c r="H35" s="8">
        <v>2.35</v>
      </c>
      <c r="I35" s="12">
        <v>0</v>
      </c>
    </row>
    <row r="36" spans="2:9" ht="15" customHeight="1" x14ac:dyDescent="0.2">
      <c r="B36" t="s">
        <v>95</v>
      </c>
      <c r="C36" s="12">
        <v>4</v>
      </c>
      <c r="D36" s="8">
        <v>2.02</v>
      </c>
      <c r="E36" s="12">
        <v>4</v>
      </c>
      <c r="F36" s="8">
        <v>3.6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72</v>
      </c>
      <c r="C37" s="12">
        <v>4</v>
      </c>
      <c r="D37" s="8">
        <v>2.02</v>
      </c>
      <c r="E37" s="12">
        <v>0</v>
      </c>
      <c r="F37" s="8">
        <v>0</v>
      </c>
      <c r="G37" s="12">
        <v>4</v>
      </c>
      <c r="H37" s="8">
        <v>4.71</v>
      </c>
      <c r="I37" s="12">
        <v>0</v>
      </c>
    </row>
    <row r="38" spans="2:9" ht="15" customHeight="1" x14ac:dyDescent="0.2">
      <c r="B38" t="s">
        <v>84</v>
      </c>
      <c r="C38" s="12">
        <v>4</v>
      </c>
      <c r="D38" s="8">
        <v>2.02</v>
      </c>
      <c r="E38" s="12">
        <v>4</v>
      </c>
      <c r="F38" s="8">
        <v>3.6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104</v>
      </c>
      <c r="C39" s="12">
        <v>3</v>
      </c>
      <c r="D39" s="8">
        <v>1.52</v>
      </c>
      <c r="E39" s="12">
        <v>0</v>
      </c>
      <c r="F39" s="8">
        <v>0</v>
      </c>
      <c r="G39" s="12">
        <v>2</v>
      </c>
      <c r="H39" s="8">
        <v>2.35</v>
      </c>
      <c r="I39" s="12">
        <v>0</v>
      </c>
    </row>
    <row r="40" spans="2:9" ht="15" customHeight="1" x14ac:dyDescent="0.2">
      <c r="B40" t="s">
        <v>66</v>
      </c>
      <c r="C40" s="12">
        <v>2</v>
      </c>
      <c r="D40" s="8">
        <v>1.01</v>
      </c>
      <c r="E40" s="12">
        <v>1</v>
      </c>
      <c r="F40" s="8">
        <v>0.9</v>
      </c>
      <c r="G40" s="12">
        <v>1</v>
      </c>
      <c r="H40" s="8">
        <v>1.18</v>
      </c>
      <c r="I40" s="12">
        <v>0</v>
      </c>
    </row>
    <row r="41" spans="2:9" ht="15" customHeight="1" x14ac:dyDescent="0.2">
      <c r="B41" t="s">
        <v>92</v>
      </c>
      <c r="C41" s="12">
        <v>2</v>
      </c>
      <c r="D41" s="8">
        <v>1.01</v>
      </c>
      <c r="E41" s="12">
        <v>1</v>
      </c>
      <c r="F41" s="8">
        <v>0.9</v>
      </c>
      <c r="G41" s="12">
        <v>1</v>
      </c>
      <c r="H41" s="8">
        <v>1.18</v>
      </c>
      <c r="I41" s="12">
        <v>0</v>
      </c>
    </row>
    <row r="42" spans="2:9" ht="15" customHeight="1" x14ac:dyDescent="0.2">
      <c r="B42" t="s">
        <v>105</v>
      </c>
      <c r="C42" s="12">
        <v>2</v>
      </c>
      <c r="D42" s="8">
        <v>1.01</v>
      </c>
      <c r="E42" s="12">
        <v>1</v>
      </c>
      <c r="F42" s="8">
        <v>0.9</v>
      </c>
      <c r="G42" s="12">
        <v>1</v>
      </c>
      <c r="H42" s="8">
        <v>1.18</v>
      </c>
      <c r="I42" s="12">
        <v>0</v>
      </c>
    </row>
    <row r="43" spans="2:9" ht="15" customHeight="1" x14ac:dyDescent="0.2">
      <c r="B43" t="s">
        <v>89</v>
      </c>
      <c r="C43" s="12">
        <v>2</v>
      </c>
      <c r="D43" s="8">
        <v>1.01</v>
      </c>
      <c r="E43" s="12">
        <v>2</v>
      </c>
      <c r="F43" s="8">
        <v>1.8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68</v>
      </c>
      <c r="C44" s="12">
        <v>2</v>
      </c>
      <c r="D44" s="8">
        <v>1.01</v>
      </c>
      <c r="E44" s="12">
        <v>1</v>
      </c>
      <c r="F44" s="8">
        <v>0.9</v>
      </c>
      <c r="G44" s="12">
        <v>1</v>
      </c>
      <c r="H44" s="8">
        <v>1.18</v>
      </c>
      <c r="I44" s="12">
        <v>0</v>
      </c>
    </row>
    <row r="45" spans="2:9" ht="15" customHeight="1" x14ac:dyDescent="0.2">
      <c r="B45" t="s">
        <v>75</v>
      </c>
      <c r="C45" s="12">
        <v>2</v>
      </c>
      <c r="D45" s="8">
        <v>1.01</v>
      </c>
      <c r="E45" s="12">
        <v>1</v>
      </c>
      <c r="F45" s="8">
        <v>0.9</v>
      </c>
      <c r="G45" s="12">
        <v>1</v>
      </c>
      <c r="H45" s="8">
        <v>1.18</v>
      </c>
      <c r="I45" s="12">
        <v>0</v>
      </c>
    </row>
    <row r="46" spans="2:9" ht="15" customHeight="1" x14ac:dyDescent="0.2">
      <c r="B46" t="s">
        <v>82</v>
      </c>
      <c r="C46" s="12">
        <v>2</v>
      </c>
      <c r="D46" s="8">
        <v>1.01</v>
      </c>
      <c r="E46" s="12">
        <v>2</v>
      </c>
      <c r="F46" s="8">
        <v>1.8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83</v>
      </c>
      <c r="C47" s="12">
        <v>2</v>
      </c>
      <c r="D47" s="8">
        <v>1.01</v>
      </c>
      <c r="E47" s="12">
        <v>0</v>
      </c>
      <c r="F47" s="8">
        <v>0</v>
      </c>
      <c r="G47" s="12">
        <v>2</v>
      </c>
      <c r="H47" s="8">
        <v>2.35</v>
      </c>
      <c r="I47" s="12">
        <v>0</v>
      </c>
    </row>
    <row r="48" spans="2:9" ht="15" customHeight="1" x14ac:dyDescent="0.2">
      <c r="B48" t="s">
        <v>87</v>
      </c>
      <c r="C48" s="12">
        <v>2</v>
      </c>
      <c r="D48" s="8">
        <v>1.01</v>
      </c>
      <c r="E48" s="12">
        <v>1</v>
      </c>
      <c r="F48" s="8">
        <v>0.9</v>
      </c>
      <c r="G48" s="12">
        <v>1</v>
      </c>
      <c r="H48" s="8">
        <v>1.18</v>
      </c>
      <c r="I48" s="12">
        <v>0</v>
      </c>
    </row>
    <row r="51" spans="2:9" ht="33" customHeight="1" x14ac:dyDescent="0.2">
      <c r="B51" t="s">
        <v>262</v>
      </c>
      <c r="C51" s="10" t="s">
        <v>58</v>
      </c>
      <c r="D51" s="10" t="s">
        <v>59</v>
      </c>
      <c r="E51" s="10" t="s">
        <v>60</v>
      </c>
      <c r="F51" s="10" t="s">
        <v>61</v>
      </c>
      <c r="G51" s="10" t="s">
        <v>62</v>
      </c>
      <c r="H51" s="10" t="s">
        <v>63</v>
      </c>
      <c r="I51" s="10" t="s">
        <v>64</v>
      </c>
    </row>
    <row r="52" spans="2:9" ht="15" customHeight="1" x14ac:dyDescent="0.2">
      <c r="B52" t="s">
        <v>150</v>
      </c>
      <c r="C52" s="12">
        <v>17</v>
      </c>
      <c r="D52" s="8">
        <v>8.59</v>
      </c>
      <c r="E52" s="12">
        <v>6</v>
      </c>
      <c r="F52" s="8">
        <v>5.41</v>
      </c>
      <c r="G52" s="12">
        <v>11</v>
      </c>
      <c r="H52" s="8">
        <v>12.94</v>
      </c>
      <c r="I52" s="12">
        <v>0</v>
      </c>
    </row>
    <row r="53" spans="2:9" ht="15" customHeight="1" x14ac:dyDescent="0.2">
      <c r="B53" t="s">
        <v>128</v>
      </c>
      <c r="C53" s="12">
        <v>12</v>
      </c>
      <c r="D53" s="8">
        <v>6.06</v>
      </c>
      <c r="E53" s="12">
        <v>8</v>
      </c>
      <c r="F53" s="8">
        <v>7.21</v>
      </c>
      <c r="G53" s="12">
        <v>4</v>
      </c>
      <c r="H53" s="8">
        <v>4.71</v>
      </c>
      <c r="I53" s="12">
        <v>0</v>
      </c>
    </row>
    <row r="54" spans="2:9" ht="15" customHeight="1" x14ac:dyDescent="0.2">
      <c r="B54" t="s">
        <v>122</v>
      </c>
      <c r="C54" s="12">
        <v>11</v>
      </c>
      <c r="D54" s="8">
        <v>5.56</v>
      </c>
      <c r="E54" s="12">
        <v>0</v>
      </c>
      <c r="F54" s="8">
        <v>0</v>
      </c>
      <c r="G54" s="12">
        <v>11</v>
      </c>
      <c r="H54" s="8">
        <v>12.94</v>
      </c>
      <c r="I54" s="12">
        <v>0</v>
      </c>
    </row>
    <row r="55" spans="2:9" ht="15" customHeight="1" x14ac:dyDescent="0.2">
      <c r="B55" t="s">
        <v>153</v>
      </c>
      <c r="C55" s="12">
        <v>11</v>
      </c>
      <c r="D55" s="8">
        <v>5.56</v>
      </c>
      <c r="E55" s="12">
        <v>11</v>
      </c>
      <c r="F55" s="8">
        <v>9.91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130</v>
      </c>
      <c r="C56" s="12">
        <v>10</v>
      </c>
      <c r="D56" s="8">
        <v>5.05</v>
      </c>
      <c r="E56" s="12">
        <v>5</v>
      </c>
      <c r="F56" s="8">
        <v>4.5</v>
      </c>
      <c r="G56" s="12">
        <v>5</v>
      </c>
      <c r="H56" s="8">
        <v>5.88</v>
      </c>
      <c r="I56" s="12">
        <v>0</v>
      </c>
    </row>
    <row r="57" spans="2:9" ht="15" customHeight="1" x14ac:dyDescent="0.2">
      <c r="B57" t="s">
        <v>123</v>
      </c>
      <c r="C57" s="12">
        <v>8</v>
      </c>
      <c r="D57" s="8">
        <v>4.04</v>
      </c>
      <c r="E57" s="12">
        <v>5</v>
      </c>
      <c r="F57" s="8">
        <v>4.5</v>
      </c>
      <c r="G57" s="12">
        <v>3</v>
      </c>
      <c r="H57" s="8">
        <v>3.53</v>
      </c>
      <c r="I57" s="12">
        <v>0</v>
      </c>
    </row>
    <row r="58" spans="2:9" ht="15" customHeight="1" x14ac:dyDescent="0.2">
      <c r="B58" t="s">
        <v>126</v>
      </c>
      <c r="C58" s="12">
        <v>6</v>
      </c>
      <c r="D58" s="8">
        <v>3.03</v>
      </c>
      <c r="E58" s="12">
        <v>2</v>
      </c>
      <c r="F58" s="8">
        <v>1.8</v>
      </c>
      <c r="G58" s="12">
        <v>4</v>
      </c>
      <c r="H58" s="8">
        <v>4.71</v>
      </c>
      <c r="I58" s="12">
        <v>0</v>
      </c>
    </row>
    <row r="59" spans="2:9" ht="15" customHeight="1" x14ac:dyDescent="0.2">
      <c r="B59" t="s">
        <v>131</v>
      </c>
      <c r="C59" s="12">
        <v>6</v>
      </c>
      <c r="D59" s="8">
        <v>3.03</v>
      </c>
      <c r="E59" s="12">
        <v>4</v>
      </c>
      <c r="F59" s="8">
        <v>3.6</v>
      </c>
      <c r="G59" s="12">
        <v>2</v>
      </c>
      <c r="H59" s="8">
        <v>2.35</v>
      </c>
      <c r="I59" s="12">
        <v>0</v>
      </c>
    </row>
    <row r="60" spans="2:9" ht="15" customHeight="1" x14ac:dyDescent="0.2">
      <c r="B60" t="s">
        <v>139</v>
      </c>
      <c r="C60" s="12">
        <v>6</v>
      </c>
      <c r="D60" s="8">
        <v>3.03</v>
      </c>
      <c r="E60" s="12">
        <v>5</v>
      </c>
      <c r="F60" s="8">
        <v>4.5</v>
      </c>
      <c r="G60" s="12">
        <v>1</v>
      </c>
      <c r="H60" s="8">
        <v>1.18</v>
      </c>
      <c r="I60" s="12">
        <v>0</v>
      </c>
    </row>
    <row r="61" spans="2:9" ht="15" customHeight="1" x14ac:dyDescent="0.2">
      <c r="B61" t="s">
        <v>156</v>
      </c>
      <c r="C61" s="12">
        <v>5</v>
      </c>
      <c r="D61" s="8">
        <v>2.5299999999999998</v>
      </c>
      <c r="E61" s="12">
        <v>5</v>
      </c>
      <c r="F61" s="8">
        <v>4.5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136</v>
      </c>
      <c r="C62" s="12">
        <v>5</v>
      </c>
      <c r="D62" s="8">
        <v>2.5299999999999998</v>
      </c>
      <c r="E62" s="12">
        <v>5</v>
      </c>
      <c r="F62" s="8">
        <v>4.5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194</v>
      </c>
      <c r="C63" s="12">
        <v>5</v>
      </c>
      <c r="D63" s="8">
        <v>2.5299999999999998</v>
      </c>
      <c r="E63" s="12">
        <v>3</v>
      </c>
      <c r="F63" s="8">
        <v>2.7</v>
      </c>
      <c r="G63" s="12">
        <v>2</v>
      </c>
      <c r="H63" s="8">
        <v>2.35</v>
      </c>
      <c r="I63" s="12">
        <v>0</v>
      </c>
    </row>
    <row r="64" spans="2:9" ht="15" customHeight="1" x14ac:dyDescent="0.2">
      <c r="B64" t="s">
        <v>146</v>
      </c>
      <c r="C64" s="12">
        <v>4</v>
      </c>
      <c r="D64" s="8">
        <v>2.02</v>
      </c>
      <c r="E64" s="12">
        <v>0</v>
      </c>
      <c r="F64" s="8">
        <v>0</v>
      </c>
      <c r="G64" s="12">
        <v>4</v>
      </c>
      <c r="H64" s="8">
        <v>4.71</v>
      </c>
      <c r="I64" s="12">
        <v>0</v>
      </c>
    </row>
    <row r="65" spans="2:9" ht="15" customHeight="1" x14ac:dyDescent="0.2">
      <c r="B65" t="s">
        <v>170</v>
      </c>
      <c r="C65" s="12">
        <v>4</v>
      </c>
      <c r="D65" s="8">
        <v>2.02</v>
      </c>
      <c r="E65" s="12">
        <v>4</v>
      </c>
      <c r="F65" s="8">
        <v>3.6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158</v>
      </c>
      <c r="C66" s="12">
        <v>4</v>
      </c>
      <c r="D66" s="8">
        <v>2.02</v>
      </c>
      <c r="E66" s="12">
        <v>4</v>
      </c>
      <c r="F66" s="8">
        <v>3.6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141</v>
      </c>
      <c r="C67" s="12">
        <v>4</v>
      </c>
      <c r="D67" s="8">
        <v>2.02</v>
      </c>
      <c r="E67" s="12">
        <v>4</v>
      </c>
      <c r="F67" s="8">
        <v>3.6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145</v>
      </c>
      <c r="C68" s="12">
        <v>3</v>
      </c>
      <c r="D68" s="8">
        <v>1.52</v>
      </c>
      <c r="E68" s="12">
        <v>0</v>
      </c>
      <c r="F68" s="8">
        <v>0</v>
      </c>
      <c r="G68" s="12">
        <v>3</v>
      </c>
      <c r="H68" s="8">
        <v>3.53</v>
      </c>
      <c r="I68" s="12">
        <v>0</v>
      </c>
    </row>
    <row r="69" spans="2:9" ht="15" customHeight="1" x14ac:dyDescent="0.2">
      <c r="B69" t="s">
        <v>135</v>
      </c>
      <c r="C69" s="12">
        <v>3</v>
      </c>
      <c r="D69" s="8">
        <v>1.52</v>
      </c>
      <c r="E69" s="12">
        <v>3</v>
      </c>
      <c r="F69" s="8">
        <v>2.7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197</v>
      </c>
      <c r="C70" s="12">
        <v>2</v>
      </c>
      <c r="D70" s="8">
        <v>1.01</v>
      </c>
      <c r="E70" s="12">
        <v>0</v>
      </c>
      <c r="F70" s="8">
        <v>0</v>
      </c>
      <c r="G70" s="12">
        <v>2</v>
      </c>
      <c r="H70" s="8">
        <v>2.35</v>
      </c>
      <c r="I70" s="12">
        <v>0</v>
      </c>
    </row>
    <row r="71" spans="2:9" ht="15" customHeight="1" x14ac:dyDescent="0.2">
      <c r="B71" t="s">
        <v>163</v>
      </c>
      <c r="C71" s="12">
        <v>2</v>
      </c>
      <c r="D71" s="8">
        <v>1.01</v>
      </c>
      <c r="E71" s="12">
        <v>2</v>
      </c>
      <c r="F71" s="8">
        <v>1.8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201</v>
      </c>
      <c r="C72" s="12">
        <v>2</v>
      </c>
      <c r="D72" s="8">
        <v>1.01</v>
      </c>
      <c r="E72" s="12">
        <v>1</v>
      </c>
      <c r="F72" s="8">
        <v>0.9</v>
      </c>
      <c r="G72" s="12">
        <v>1</v>
      </c>
      <c r="H72" s="8">
        <v>1.18</v>
      </c>
      <c r="I72" s="12">
        <v>0</v>
      </c>
    </row>
    <row r="73" spans="2:9" ht="15" customHeight="1" x14ac:dyDescent="0.2">
      <c r="B73" t="s">
        <v>202</v>
      </c>
      <c r="C73" s="12">
        <v>2</v>
      </c>
      <c r="D73" s="8">
        <v>1.01</v>
      </c>
      <c r="E73" s="12">
        <v>2</v>
      </c>
      <c r="F73" s="8">
        <v>1.8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143</v>
      </c>
      <c r="C74" s="12">
        <v>2</v>
      </c>
      <c r="D74" s="8">
        <v>1.01</v>
      </c>
      <c r="E74" s="12">
        <v>1</v>
      </c>
      <c r="F74" s="8">
        <v>0.9</v>
      </c>
      <c r="G74" s="12">
        <v>1</v>
      </c>
      <c r="H74" s="8">
        <v>1.18</v>
      </c>
      <c r="I74" s="12">
        <v>0</v>
      </c>
    </row>
    <row r="75" spans="2:9" ht="15" customHeight="1" x14ac:dyDescent="0.2">
      <c r="B75" t="s">
        <v>174</v>
      </c>
      <c r="C75" s="12">
        <v>2</v>
      </c>
      <c r="D75" s="8">
        <v>1.01</v>
      </c>
      <c r="E75" s="12">
        <v>2</v>
      </c>
      <c r="F75" s="8">
        <v>1.8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144</v>
      </c>
      <c r="C76" s="12">
        <v>2</v>
      </c>
      <c r="D76" s="8">
        <v>1.01</v>
      </c>
      <c r="E76" s="12">
        <v>1</v>
      </c>
      <c r="F76" s="8">
        <v>0.9</v>
      </c>
      <c r="G76" s="12">
        <v>1</v>
      </c>
      <c r="H76" s="8">
        <v>1.18</v>
      </c>
      <c r="I76" s="12">
        <v>0</v>
      </c>
    </row>
    <row r="77" spans="2:9" ht="15" customHeight="1" x14ac:dyDescent="0.2">
      <c r="B77" t="s">
        <v>159</v>
      </c>
      <c r="C77" s="12">
        <v>2</v>
      </c>
      <c r="D77" s="8">
        <v>1.01</v>
      </c>
      <c r="E77" s="12">
        <v>2</v>
      </c>
      <c r="F77" s="8">
        <v>1.8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125</v>
      </c>
      <c r="C78" s="12">
        <v>2</v>
      </c>
      <c r="D78" s="8">
        <v>1.01</v>
      </c>
      <c r="E78" s="12">
        <v>1</v>
      </c>
      <c r="F78" s="8">
        <v>0.9</v>
      </c>
      <c r="G78" s="12">
        <v>1</v>
      </c>
      <c r="H78" s="8">
        <v>1.18</v>
      </c>
      <c r="I78" s="12">
        <v>0</v>
      </c>
    </row>
    <row r="79" spans="2:9" ht="15" customHeight="1" x14ac:dyDescent="0.2">
      <c r="B79" t="s">
        <v>160</v>
      </c>
      <c r="C79" s="12">
        <v>2</v>
      </c>
      <c r="D79" s="8">
        <v>1.01</v>
      </c>
      <c r="E79" s="12">
        <v>0</v>
      </c>
      <c r="F79" s="8">
        <v>0</v>
      </c>
      <c r="G79" s="12">
        <v>2</v>
      </c>
      <c r="H79" s="8">
        <v>2.35</v>
      </c>
      <c r="I79" s="12">
        <v>0</v>
      </c>
    </row>
    <row r="80" spans="2:9" ht="15" customHeight="1" x14ac:dyDescent="0.2">
      <c r="B80" t="s">
        <v>127</v>
      </c>
      <c r="C80" s="12">
        <v>2</v>
      </c>
      <c r="D80" s="8">
        <v>1.01</v>
      </c>
      <c r="E80" s="12">
        <v>0</v>
      </c>
      <c r="F80" s="8">
        <v>0</v>
      </c>
      <c r="G80" s="12">
        <v>2</v>
      </c>
      <c r="H80" s="8">
        <v>2.35</v>
      </c>
      <c r="I80" s="12">
        <v>0</v>
      </c>
    </row>
    <row r="81" spans="2:9" ht="15" customHeight="1" x14ac:dyDescent="0.2">
      <c r="B81" t="s">
        <v>149</v>
      </c>
      <c r="C81" s="12">
        <v>2</v>
      </c>
      <c r="D81" s="8">
        <v>1.01</v>
      </c>
      <c r="E81" s="12">
        <v>2</v>
      </c>
      <c r="F81" s="8">
        <v>1.8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200</v>
      </c>
      <c r="C82" s="12">
        <v>2</v>
      </c>
      <c r="D82" s="8">
        <v>1.01</v>
      </c>
      <c r="E82" s="12">
        <v>2</v>
      </c>
      <c r="F82" s="8">
        <v>1.8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132</v>
      </c>
      <c r="C83" s="12">
        <v>2</v>
      </c>
      <c r="D83" s="8">
        <v>1.01</v>
      </c>
      <c r="E83" s="12">
        <v>2</v>
      </c>
      <c r="F83" s="8">
        <v>1.8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140</v>
      </c>
      <c r="C84" s="12">
        <v>2</v>
      </c>
      <c r="D84" s="8">
        <v>1.01</v>
      </c>
      <c r="E84" s="12">
        <v>2</v>
      </c>
      <c r="F84" s="8">
        <v>1.8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203</v>
      </c>
      <c r="C85" s="12">
        <v>2</v>
      </c>
      <c r="D85" s="8">
        <v>1.01</v>
      </c>
      <c r="E85" s="12">
        <v>0</v>
      </c>
      <c r="F85" s="8">
        <v>0</v>
      </c>
      <c r="G85" s="12">
        <v>1</v>
      </c>
      <c r="H85" s="8">
        <v>1.18</v>
      </c>
      <c r="I85" s="12">
        <v>0</v>
      </c>
    </row>
    <row r="86" spans="2:9" ht="15" customHeight="1" x14ac:dyDescent="0.2">
      <c r="B86" t="s">
        <v>204</v>
      </c>
      <c r="C86" s="12">
        <v>2</v>
      </c>
      <c r="D86" s="8">
        <v>1.01</v>
      </c>
      <c r="E86" s="12">
        <v>1</v>
      </c>
      <c r="F86" s="8">
        <v>0.9</v>
      </c>
      <c r="G86" s="12">
        <v>1</v>
      </c>
      <c r="H86" s="8">
        <v>1.18</v>
      </c>
      <c r="I86" s="12">
        <v>0</v>
      </c>
    </row>
    <row r="88" spans="2:9" ht="15" customHeight="1" x14ac:dyDescent="0.2">
      <c r="B88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080CA-DDB3-4D58-954B-61A2206EEDEC}">
  <sheetPr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281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24</v>
      </c>
      <c r="D6" s="8">
        <v>16.11</v>
      </c>
      <c r="E6" s="12">
        <v>9</v>
      </c>
      <c r="F6" s="8">
        <v>9.18</v>
      </c>
      <c r="G6" s="12">
        <v>15</v>
      </c>
      <c r="H6" s="8">
        <v>38.46</v>
      </c>
      <c r="I6" s="12">
        <v>0</v>
      </c>
    </row>
    <row r="7" spans="2:9" ht="15" customHeight="1" x14ac:dyDescent="0.2">
      <c r="B7" t="s">
        <v>44</v>
      </c>
      <c r="C7" s="12">
        <v>8</v>
      </c>
      <c r="D7" s="8">
        <v>5.37</v>
      </c>
      <c r="E7" s="12">
        <v>6</v>
      </c>
      <c r="F7" s="8">
        <v>6.12</v>
      </c>
      <c r="G7" s="12">
        <v>1</v>
      </c>
      <c r="H7" s="8">
        <v>2.56</v>
      </c>
      <c r="I7" s="12">
        <v>1</v>
      </c>
    </row>
    <row r="8" spans="2:9" ht="15" customHeight="1" x14ac:dyDescent="0.2">
      <c r="B8" t="s">
        <v>45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46</v>
      </c>
      <c r="C9" s="12">
        <v>1</v>
      </c>
      <c r="D9" s="8">
        <v>0.67</v>
      </c>
      <c r="E9" s="12">
        <v>0</v>
      </c>
      <c r="F9" s="8">
        <v>0</v>
      </c>
      <c r="G9" s="12">
        <v>1</v>
      </c>
      <c r="H9" s="8">
        <v>2.56</v>
      </c>
      <c r="I9" s="12">
        <v>0</v>
      </c>
    </row>
    <row r="10" spans="2:9" ht="15" customHeight="1" x14ac:dyDescent="0.2">
      <c r="B10" t="s">
        <v>47</v>
      </c>
      <c r="C10" s="12">
        <v>4</v>
      </c>
      <c r="D10" s="8">
        <v>2.68</v>
      </c>
      <c r="E10" s="12">
        <v>3</v>
      </c>
      <c r="F10" s="8">
        <v>3.06</v>
      </c>
      <c r="G10" s="12">
        <v>1</v>
      </c>
      <c r="H10" s="8">
        <v>2.56</v>
      </c>
      <c r="I10" s="12">
        <v>0</v>
      </c>
    </row>
    <row r="11" spans="2:9" ht="15" customHeight="1" x14ac:dyDescent="0.2">
      <c r="B11" t="s">
        <v>48</v>
      </c>
      <c r="C11" s="12">
        <v>28</v>
      </c>
      <c r="D11" s="8">
        <v>18.79</v>
      </c>
      <c r="E11" s="12">
        <v>25</v>
      </c>
      <c r="F11" s="8">
        <v>25.51</v>
      </c>
      <c r="G11" s="12">
        <v>3</v>
      </c>
      <c r="H11" s="8">
        <v>7.69</v>
      </c>
      <c r="I11" s="12">
        <v>0</v>
      </c>
    </row>
    <row r="12" spans="2:9" ht="15" customHeight="1" x14ac:dyDescent="0.2">
      <c r="B12" t="s">
        <v>49</v>
      </c>
      <c r="C12" s="12">
        <v>1</v>
      </c>
      <c r="D12" s="8">
        <v>0.67</v>
      </c>
      <c r="E12" s="12">
        <v>1</v>
      </c>
      <c r="F12" s="8">
        <v>1.02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50</v>
      </c>
      <c r="C13" s="12">
        <v>12</v>
      </c>
      <c r="D13" s="8">
        <v>8.0500000000000007</v>
      </c>
      <c r="E13" s="12">
        <v>9</v>
      </c>
      <c r="F13" s="8">
        <v>9.18</v>
      </c>
      <c r="G13" s="12">
        <v>3</v>
      </c>
      <c r="H13" s="8">
        <v>7.69</v>
      </c>
      <c r="I13" s="12">
        <v>0</v>
      </c>
    </row>
    <row r="14" spans="2:9" ht="15" customHeight="1" x14ac:dyDescent="0.2">
      <c r="B14" t="s">
        <v>51</v>
      </c>
      <c r="C14" s="12">
        <v>1</v>
      </c>
      <c r="D14" s="8">
        <v>0.67</v>
      </c>
      <c r="E14" s="12">
        <v>0</v>
      </c>
      <c r="F14" s="8">
        <v>0</v>
      </c>
      <c r="G14" s="12">
        <v>1</v>
      </c>
      <c r="H14" s="8">
        <v>2.56</v>
      </c>
      <c r="I14" s="12">
        <v>0</v>
      </c>
    </row>
    <row r="15" spans="2:9" ht="15" customHeight="1" x14ac:dyDescent="0.2">
      <c r="B15" t="s">
        <v>52</v>
      </c>
      <c r="C15" s="12">
        <v>22</v>
      </c>
      <c r="D15" s="8">
        <v>14.77</v>
      </c>
      <c r="E15" s="12">
        <v>19</v>
      </c>
      <c r="F15" s="8">
        <v>19.39</v>
      </c>
      <c r="G15" s="12">
        <v>3</v>
      </c>
      <c r="H15" s="8">
        <v>7.69</v>
      </c>
      <c r="I15" s="12">
        <v>0</v>
      </c>
    </row>
    <row r="16" spans="2:9" ht="15" customHeight="1" x14ac:dyDescent="0.2">
      <c r="B16" t="s">
        <v>53</v>
      </c>
      <c r="C16" s="12">
        <v>24</v>
      </c>
      <c r="D16" s="8">
        <v>16.11</v>
      </c>
      <c r="E16" s="12">
        <v>16</v>
      </c>
      <c r="F16" s="8">
        <v>16.329999999999998</v>
      </c>
      <c r="G16" s="12">
        <v>1</v>
      </c>
      <c r="H16" s="8">
        <v>2.56</v>
      </c>
      <c r="I16" s="12">
        <v>2</v>
      </c>
    </row>
    <row r="17" spans="2:9" ht="15" customHeight="1" x14ac:dyDescent="0.2">
      <c r="B17" t="s">
        <v>54</v>
      </c>
      <c r="C17" s="12">
        <v>8</v>
      </c>
      <c r="D17" s="8">
        <v>5.37</v>
      </c>
      <c r="E17" s="12">
        <v>6</v>
      </c>
      <c r="F17" s="8">
        <v>6.12</v>
      </c>
      <c r="G17" s="12">
        <v>1</v>
      </c>
      <c r="H17" s="8">
        <v>2.56</v>
      </c>
      <c r="I17" s="12">
        <v>0</v>
      </c>
    </row>
    <row r="18" spans="2:9" ht="15" customHeight="1" x14ac:dyDescent="0.2">
      <c r="B18" t="s">
        <v>55</v>
      </c>
      <c r="C18" s="12">
        <v>9</v>
      </c>
      <c r="D18" s="8">
        <v>6.04</v>
      </c>
      <c r="E18" s="12">
        <v>2</v>
      </c>
      <c r="F18" s="8">
        <v>2.04</v>
      </c>
      <c r="G18" s="12">
        <v>6</v>
      </c>
      <c r="H18" s="8">
        <v>15.38</v>
      </c>
      <c r="I18" s="12">
        <v>0</v>
      </c>
    </row>
    <row r="19" spans="2:9" ht="15" customHeight="1" x14ac:dyDescent="0.2">
      <c r="B19" t="s">
        <v>56</v>
      </c>
      <c r="C19" s="12">
        <v>7</v>
      </c>
      <c r="D19" s="8">
        <v>4.7</v>
      </c>
      <c r="E19" s="12">
        <v>2</v>
      </c>
      <c r="F19" s="8">
        <v>2.04</v>
      </c>
      <c r="G19" s="12">
        <v>3</v>
      </c>
      <c r="H19" s="8">
        <v>7.69</v>
      </c>
      <c r="I19" s="12">
        <v>1</v>
      </c>
    </row>
    <row r="20" spans="2:9" ht="15" customHeight="1" x14ac:dyDescent="0.2">
      <c r="B20" s="9" t="s">
        <v>260</v>
      </c>
      <c r="C20" s="12">
        <f>SUM(LTBL_47313[総数／事業所数])</f>
        <v>149</v>
      </c>
      <c r="E20" s="12">
        <f>SUBTOTAL(109,LTBL_47313[個人／事業所数])</f>
        <v>98</v>
      </c>
      <c r="G20" s="12">
        <f>SUBTOTAL(109,LTBL_47313[法人／事業所数])</f>
        <v>39</v>
      </c>
      <c r="I20" s="12">
        <f>SUBTOTAL(109,LTBL_47313[法人以外の団体／事業所数])</f>
        <v>4</v>
      </c>
    </row>
    <row r="21" spans="2:9" ht="15" customHeight="1" x14ac:dyDescent="0.2">
      <c r="E21" s="11">
        <f>LTBL_47313[[#Totals],[個人／事業所数]]/LTBL_47313[[#Totals],[総数／事業所数]]</f>
        <v>0.65771812080536918</v>
      </c>
      <c r="G21" s="11">
        <f>LTBL_47313[[#Totals],[法人／事業所数]]/LTBL_47313[[#Totals],[総数／事業所数]]</f>
        <v>0.26174496644295303</v>
      </c>
      <c r="I21" s="11">
        <f>LTBL_47313[[#Totals],[法人以外の団体／事業所数]]/LTBL_47313[[#Totals],[総数／事業所数]]</f>
        <v>2.6845637583892617E-2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77</v>
      </c>
      <c r="C24" s="12">
        <v>13</v>
      </c>
      <c r="D24" s="8">
        <v>8.7200000000000006</v>
      </c>
      <c r="E24" s="12">
        <v>12</v>
      </c>
      <c r="F24" s="8">
        <v>12.24</v>
      </c>
      <c r="G24" s="12">
        <v>1</v>
      </c>
      <c r="H24" s="8">
        <v>2.56</v>
      </c>
      <c r="I24" s="12">
        <v>0</v>
      </c>
    </row>
    <row r="25" spans="2:9" ht="15" customHeight="1" x14ac:dyDescent="0.2">
      <c r="B25" t="s">
        <v>65</v>
      </c>
      <c r="C25" s="12">
        <v>11</v>
      </c>
      <c r="D25" s="8">
        <v>7.38</v>
      </c>
      <c r="E25" s="12">
        <v>2</v>
      </c>
      <c r="F25" s="8">
        <v>2.04</v>
      </c>
      <c r="G25" s="12">
        <v>9</v>
      </c>
      <c r="H25" s="8">
        <v>23.08</v>
      </c>
      <c r="I25" s="12">
        <v>0</v>
      </c>
    </row>
    <row r="26" spans="2:9" ht="15" customHeight="1" x14ac:dyDescent="0.2">
      <c r="B26" t="s">
        <v>73</v>
      </c>
      <c r="C26" s="12">
        <v>11</v>
      </c>
      <c r="D26" s="8">
        <v>7.38</v>
      </c>
      <c r="E26" s="12">
        <v>9</v>
      </c>
      <c r="F26" s="8">
        <v>9.18</v>
      </c>
      <c r="G26" s="12">
        <v>2</v>
      </c>
      <c r="H26" s="8">
        <v>5.13</v>
      </c>
      <c r="I26" s="12">
        <v>0</v>
      </c>
    </row>
    <row r="27" spans="2:9" ht="15" customHeight="1" x14ac:dyDescent="0.2">
      <c r="B27" t="s">
        <v>67</v>
      </c>
      <c r="C27" s="12">
        <v>10</v>
      </c>
      <c r="D27" s="8">
        <v>6.71</v>
      </c>
      <c r="E27" s="12">
        <v>6</v>
      </c>
      <c r="F27" s="8">
        <v>6.12</v>
      </c>
      <c r="G27" s="12">
        <v>4</v>
      </c>
      <c r="H27" s="8">
        <v>10.26</v>
      </c>
      <c r="I27" s="12">
        <v>0</v>
      </c>
    </row>
    <row r="28" spans="2:9" ht="15" customHeight="1" x14ac:dyDescent="0.2">
      <c r="B28" t="s">
        <v>69</v>
      </c>
      <c r="C28" s="12">
        <v>10</v>
      </c>
      <c r="D28" s="8">
        <v>6.71</v>
      </c>
      <c r="E28" s="12">
        <v>10</v>
      </c>
      <c r="F28" s="8">
        <v>10.199999999999999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78</v>
      </c>
      <c r="C29" s="12">
        <v>10</v>
      </c>
      <c r="D29" s="8">
        <v>6.71</v>
      </c>
      <c r="E29" s="12">
        <v>10</v>
      </c>
      <c r="F29" s="8">
        <v>10.199999999999999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80</v>
      </c>
      <c r="C30" s="12">
        <v>10</v>
      </c>
      <c r="D30" s="8">
        <v>6.71</v>
      </c>
      <c r="E30" s="12">
        <v>4</v>
      </c>
      <c r="F30" s="8">
        <v>4.08</v>
      </c>
      <c r="G30" s="12">
        <v>0</v>
      </c>
      <c r="H30" s="8">
        <v>0</v>
      </c>
      <c r="I30" s="12">
        <v>1</v>
      </c>
    </row>
    <row r="31" spans="2:9" ht="15" customHeight="1" x14ac:dyDescent="0.2">
      <c r="B31" t="s">
        <v>71</v>
      </c>
      <c r="C31" s="12">
        <v>9</v>
      </c>
      <c r="D31" s="8">
        <v>6.04</v>
      </c>
      <c r="E31" s="12">
        <v>8</v>
      </c>
      <c r="F31" s="8">
        <v>8.16</v>
      </c>
      <c r="G31" s="12">
        <v>1</v>
      </c>
      <c r="H31" s="8">
        <v>2.56</v>
      </c>
      <c r="I31" s="12">
        <v>0</v>
      </c>
    </row>
    <row r="32" spans="2:9" ht="15" customHeight="1" x14ac:dyDescent="0.2">
      <c r="B32" t="s">
        <v>81</v>
      </c>
      <c r="C32" s="12">
        <v>8</v>
      </c>
      <c r="D32" s="8">
        <v>5.37</v>
      </c>
      <c r="E32" s="12">
        <v>6</v>
      </c>
      <c r="F32" s="8">
        <v>6.12</v>
      </c>
      <c r="G32" s="12">
        <v>1</v>
      </c>
      <c r="H32" s="8">
        <v>2.56</v>
      </c>
      <c r="I32" s="12">
        <v>0</v>
      </c>
    </row>
    <row r="33" spans="2:9" ht="15" customHeight="1" x14ac:dyDescent="0.2">
      <c r="B33" t="s">
        <v>83</v>
      </c>
      <c r="C33" s="12">
        <v>6</v>
      </c>
      <c r="D33" s="8">
        <v>4.03</v>
      </c>
      <c r="E33" s="12">
        <v>1</v>
      </c>
      <c r="F33" s="8">
        <v>1.02</v>
      </c>
      <c r="G33" s="12">
        <v>4</v>
      </c>
      <c r="H33" s="8">
        <v>10.26</v>
      </c>
      <c r="I33" s="12">
        <v>0</v>
      </c>
    </row>
    <row r="34" spans="2:9" ht="15" customHeight="1" x14ac:dyDescent="0.2">
      <c r="B34" t="s">
        <v>91</v>
      </c>
      <c r="C34" s="12">
        <v>5</v>
      </c>
      <c r="D34" s="8">
        <v>3.36</v>
      </c>
      <c r="E34" s="12">
        <v>4</v>
      </c>
      <c r="F34" s="8">
        <v>4.08</v>
      </c>
      <c r="G34" s="12">
        <v>1</v>
      </c>
      <c r="H34" s="8">
        <v>2.56</v>
      </c>
      <c r="I34" s="12">
        <v>0</v>
      </c>
    </row>
    <row r="35" spans="2:9" ht="15" customHeight="1" x14ac:dyDescent="0.2">
      <c r="B35" t="s">
        <v>89</v>
      </c>
      <c r="C35" s="12">
        <v>4</v>
      </c>
      <c r="D35" s="8">
        <v>2.68</v>
      </c>
      <c r="E35" s="12">
        <v>4</v>
      </c>
      <c r="F35" s="8">
        <v>4.08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76</v>
      </c>
      <c r="C36" s="12">
        <v>4</v>
      </c>
      <c r="D36" s="8">
        <v>2.68</v>
      </c>
      <c r="E36" s="12">
        <v>3</v>
      </c>
      <c r="F36" s="8">
        <v>3.06</v>
      </c>
      <c r="G36" s="12">
        <v>1</v>
      </c>
      <c r="H36" s="8">
        <v>2.56</v>
      </c>
      <c r="I36" s="12">
        <v>0</v>
      </c>
    </row>
    <row r="37" spans="2:9" ht="15" customHeight="1" x14ac:dyDescent="0.2">
      <c r="B37" t="s">
        <v>79</v>
      </c>
      <c r="C37" s="12">
        <v>4</v>
      </c>
      <c r="D37" s="8">
        <v>2.68</v>
      </c>
      <c r="E37" s="12">
        <v>2</v>
      </c>
      <c r="F37" s="8">
        <v>2.04</v>
      </c>
      <c r="G37" s="12">
        <v>1</v>
      </c>
      <c r="H37" s="8">
        <v>2.56</v>
      </c>
      <c r="I37" s="12">
        <v>1</v>
      </c>
    </row>
    <row r="38" spans="2:9" ht="15" customHeight="1" x14ac:dyDescent="0.2">
      <c r="B38" t="s">
        <v>66</v>
      </c>
      <c r="C38" s="12">
        <v>3</v>
      </c>
      <c r="D38" s="8">
        <v>2.0099999999999998</v>
      </c>
      <c r="E38" s="12">
        <v>1</v>
      </c>
      <c r="F38" s="8">
        <v>1.02</v>
      </c>
      <c r="G38" s="12">
        <v>2</v>
      </c>
      <c r="H38" s="8">
        <v>5.13</v>
      </c>
      <c r="I38" s="12">
        <v>0</v>
      </c>
    </row>
    <row r="39" spans="2:9" ht="15" customHeight="1" x14ac:dyDescent="0.2">
      <c r="B39" t="s">
        <v>82</v>
      </c>
      <c r="C39" s="12">
        <v>3</v>
      </c>
      <c r="D39" s="8">
        <v>2.0099999999999998</v>
      </c>
      <c r="E39" s="12">
        <v>1</v>
      </c>
      <c r="F39" s="8">
        <v>1.02</v>
      </c>
      <c r="G39" s="12">
        <v>2</v>
      </c>
      <c r="H39" s="8">
        <v>5.13</v>
      </c>
      <c r="I39" s="12">
        <v>0</v>
      </c>
    </row>
    <row r="40" spans="2:9" ht="15" customHeight="1" x14ac:dyDescent="0.2">
      <c r="B40" t="s">
        <v>84</v>
      </c>
      <c r="C40" s="12">
        <v>3</v>
      </c>
      <c r="D40" s="8">
        <v>2.0099999999999998</v>
      </c>
      <c r="E40" s="12">
        <v>2</v>
      </c>
      <c r="F40" s="8">
        <v>2.04</v>
      </c>
      <c r="G40" s="12">
        <v>1</v>
      </c>
      <c r="H40" s="8">
        <v>2.56</v>
      </c>
      <c r="I40" s="12">
        <v>0</v>
      </c>
    </row>
    <row r="41" spans="2:9" ht="15" customHeight="1" x14ac:dyDescent="0.2">
      <c r="B41" t="s">
        <v>88</v>
      </c>
      <c r="C41" s="12">
        <v>2</v>
      </c>
      <c r="D41" s="8">
        <v>1.34</v>
      </c>
      <c r="E41" s="12">
        <v>2</v>
      </c>
      <c r="F41" s="8">
        <v>2.04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93</v>
      </c>
      <c r="C42" s="12">
        <v>2</v>
      </c>
      <c r="D42" s="8">
        <v>1.34</v>
      </c>
      <c r="E42" s="12">
        <v>1</v>
      </c>
      <c r="F42" s="8">
        <v>1.02</v>
      </c>
      <c r="G42" s="12">
        <v>1</v>
      </c>
      <c r="H42" s="8">
        <v>2.56</v>
      </c>
      <c r="I42" s="12">
        <v>0</v>
      </c>
    </row>
    <row r="43" spans="2:9" ht="15" customHeight="1" x14ac:dyDescent="0.2">
      <c r="B43" t="s">
        <v>70</v>
      </c>
      <c r="C43" s="12">
        <v>2</v>
      </c>
      <c r="D43" s="8">
        <v>1.34</v>
      </c>
      <c r="E43" s="12">
        <v>2</v>
      </c>
      <c r="F43" s="8">
        <v>2.04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106</v>
      </c>
      <c r="C44" s="12">
        <v>2</v>
      </c>
      <c r="D44" s="8">
        <v>1.34</v>
      </c>
      <c r="E44" s="12">
        <v>1</v>
      </c>
      <c r="F44" s="8">
        <v>1.02</v>
      </c>
      <c r="G44" s="12">
        <v>1</v>
      </c>
      <c r="H44" s="8">
        <v>2.56</v>
      </c>
      <c r="I44" s="12">
        <v>0</v>
      </c>
    </row>
    <row r="45" spans="2:9" ht="15" customHeight="1" x14ac:dyDescent="0.2">
      <c r="B45" t="s">
        <v>104</v>
      </c>
      <c r="C45" s="12">
        <v>2</v>
      </c>
      <c r="D45" s="8">
        <v>1.34</v>
      </c>
      <c r="E45" s="12">
        <v>0</v>
      </c>
      <c r="F45" s="8">
        <v>0</v>
      </c>
      <c r="G45" s="12">
        <v>1</v>
      </c>
      <c r="H45" s="8">
        <v>2.56</v>
      </c>
      <c r="I45" s="12">
        <v>0</v>
      </c>
    </row>
    <row r="48" spans="2:9" ht="33" customHeight="1" x14ac:dyDescent="0.2">
      <c r="B48" t="s">
        <v>262</v>
      </c>
      <c r="C48" s="10" t="s">
        <v>58</v>
      </c>
      <c r="D48" s="10" t="s">
        <v>59</v>
      </c>
      <c r="E48" s="10" t="s">
        <v>60</v>
      </c>
      <c r="F48" s="10" t="s">
        <v>61</v>
      </c>
      <c r="G48" s="10" t="s">
        <v>62</v>
      </c>
      <c r="H48" s="10" t="s">
        <v>63</v>
      </c>
      <c r="I48" s="10" t="s">
        <v>64</v>
      </c>
    </row>
    <row r="49" spans="2:9" ht="15" customHeight="1" x14ac:dyDescent="0.2">
      <c r="B49" t="s">
        <v>128</v>
      </c>
      <c r="C49" s="12">
        <v>10</v>
      </c>
      <c r="D49" s="8">
        <v>6.71</v>
      </c>
      <c r="E49" s="12">
        <v>9</v>
      </c>
      <c r="F49" s="8">
        <v>9.18</v>
      </c>
      <c r="G49" s="12">
        <v>1</v>
      </c>
      <c r="H49" s="8">
        <v>2.56</v>
      </c>
      <c r="I49" s="12">
        <v>0</v>
      </c>
    </row>
    <row r="50" spans="2:9" ht="15" customHeight="1" x14ac:dyDescent="0.2">
      <c r="B50" t="s">
        <v>122</v>
      </c>
      <c r="C50" s="12">
        <v>8</v>
      </c>
      <c r="D50" s="8">
        <v>5.37</v>
      </c>
      <c r="E50" s="12">
        <v>1</v>
      </c>
      <c r="F50" s="8">
        <v>1.02</v>
      </c>
      <c r="G50" s="12">
        <v>7</v>
      </c>
      <c r="H50" s="8">
        <v>17.95</v>
      </c>
      <c r="I50" s="12">
        <v>0</v>
      </c>
    </row>
    <row r="51" spans="2:9" ht="15" customHeight="1" x14ac:dyDescent="0.2">
      <c r="B51" t="s">
        <v>132</v>
      </c>
      <c r="C51" s="12">
        <v>7</v>
      </c>
      <c r="D51" s="8">
        <v>4.7</v>
      </c>
      <c r="E51" s="12">
        <v>7</v>
      </c>
      <c r="F51" s="8">
        <v>7.14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147</v>
      </c>
      <c r="C52" s="12">
        <v>6</v>
      </c>
      <c r="D52" s="8">
        <v>4.03</v>
      </c>
      <c r="E52" s="12">
        <v>5</v>
      </c>
      <c r="F52" s="8">
        <v>5.0999999999999996</v>
      </c>
      <c r="G52" s="12">
        <v>1</v>
      </c>
      <c r="H52" s="8">
        <v>2.56</v>
      </c>
      <c r="I52" s="12">
        <v>0</v>
      </c>
    </row>
    <row r="53" spans="2:9" ht="15" customHeight="1" x14ac:dyDescent="0.2">
      <c r="B53" t="s">
        <v>136</v>
      </c>
      <c r="C53" s="12">
        <v>6</v>
      </c>
      <c r="D53" s="8">
        <v>4.03</v>
      </c>
      <c r="E53" s="12">
        <v>6</v>
      </c>
      <c r="F53" s="8">
        <v>6.12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195</v>
      </c>
      <c r="C54" s="12">
        <v>6</v>
      </c>
      <c r="D54" s="8">
        <v>4.03</v>
      </c>
      <c r="E54" s="12">
        <v>0</v>
      </c>
      <c r="F54" s="8">
        <v>0</v>
      </c>
      <c r="G54" s="12">
        <v>0</v>
      </c>
      <c r="H54" s="8">
        <v>0</v>
      </c>
      <c r="I54" s="12">
        <v>1</v>
      </c>
    </row>
    <row r="55" spans="2:9" ht="15" customHeight="1" x14ac:dyDescent="0.2">
      <c r="B55" t="s">
        <v>139</v>
      </c>
      <c r="C55" s="12">
        <v>6</v>
      </c>
      <c r="D55" s="8">
        <v>4.03</v>
      </c>
      <c r="E55" s="12">
        <v>6</v>
      </c>
      <c r="F55" s="8">
        <v>6.12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202</v>
      </c>
      <c r="C56" s="12">
        <v>4</v>
      </c>
      <c r="D56" s="8">
        <v>2.68</v>
      </c>
      <c r="E56" s="12">
        <v>4</v>
      </c>
      <c r="F56" s="8">
        <v>4.08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123</v>
      </c>
      <c r="C57" s="12">
        <v>4</v>
      </c>
      <c r="D57" s="8">
        <v>2.68</v>
      </c>
      <c r="E57" s="12">
        <v>4</v>
      </c>
      <c r="F57" s="8">
        <v>4.08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153</v>
      </c>
      <c r="C58" s="12">
        <v>4</v>
      </c>
      <c r="D58" s="8">
        <v>2.68</v>
      </c>
      <c r="E58" s="12">
        <v>4</v>
      </c>
      <c r="F58" s="8">
        <v>4.08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150</v>
      </c>
      <c r="C59" s="12">
        <v>4</v>
      </c>
      <c r="D59" s="8">
        <v>2.68</v>
      </c>
      <c r="E59" s="12">
        <v>4</v>
      </c>
      <c r="F59" s="8">
        <v>4.08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152</v>
      </c>
      <c r="C60" s="12">
        <v>4</v>
      </c>
      <c r="D60" s="8">
        <v>2.68</v>
      </c>
      <c r="E60" s="12">
        <v>1</v>
      </c>
      <c r="F60" s="8">
        <v>1.02</v>
      </c>
      <c r="G60" s="12">
        <v>2</v>
      </c>
      <c r="H60" s="8">
        <v>5.13</v>
      </c>
      <c r="I60" s="12">
        <v>0</v>
      </c>
    </row>
    <row r="61" spans="2:9" ht="15" customHeight="1" x14ac:dyDescent="0.2">
      <c r="B61" t="s">
        <v>156</v>
      </c>
      <c r="C61" s="12">
        <v>3</v>
      </c>
      <c r="D61" s="8">
        <v>2.0099999999999998</v>
      </c>
      <c r="E61" s="12">
        <v>3</v>
      </c>
      <c r="F61" s="8">
        <v>3.06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154</v>
      </c>
      <c r="C62" s="12">
        <v>3</v>
      </c>
      <c r="D62" s="8">
        <v>2.0099999999999998</v>
      </c>
      <c r="E62" s="12">
        <v>3</v>
      </c>
      <c r="F62" s="8">
        <v>3.06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130</v>
      </c>
      <c r="C63" s="12">
        <v>3</v>
      </c>
      <c r="D63" s="8">
        <v>2.0099999999999998</v>
      </c>
      <c r="E63" s="12">
        <v>2</v>
      </c>
      <c r="F63" s="8">
        <v>2.04</v>
      </c>
      <c r="G63" s="12">
        <v>1</v>
      </c>
      <c r="H63" s="8">
        <v>2.56</v>
      </c>
      <c r="I63" s="12">
        <v>0</v>
      </c>
    </row>
    <row r="64" spans="2:9" ht="15" customHeight="1" x14ac:dyDescent="0.2">
      <c r="B64" t="s">
        <v>180</v>
      </c>
      <c r="C64" s="12">
        <v>3</v>
      </c>
      <c r="D64" s="8">
        <v>2.0099999999999998</v>
      </c>
      <c r="E64" s="12">
        <v>2</v>
      </c>
      <c r="F64" s="8">
        <v>2.04</v>
      </c>
      <c r="G64" s="12">
        <v>1</v>
      </c>
      <c r="H64" s="8">
        <v>2.56</v>
      </c>
      <c r="I64" s="12">
        <v>0</v>
      </c>
    </row>
    <row r="65" spans="2:9" ht="15" customHeight="1" x14ac:dyDescent="0.2">
      <c r="B65" t="s">
        <v>135</v>
      </c>
      <c r="C65" s="12">
        <v>3</v>
      </c>
      <c r="D65" s="8">
        <v>2.0099999999999998</v>
      </c>
      <c r="E65" s="12">
        <v>3</v>
      </c>
      <c r="F65" s="8">
        <v>3.06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194</v>
      </c>
      <c r="C66" s="12">
        <v>3</v>
      </c>
      <c r="D66" s="8">
        <v>2.0099999999999998</v>
      </c>
      <c r="E66" s="12">
        <v>2</v>
      </c>
      <c r="F66" s="8">
        <v>2.04</v>
      </c>
      <c r="G66" s="12">
        <v>0</v>
      </c>
      <c r="H66" s="8">
        <v>0</v>
      </c>
      <c r="I66" s="12">
        <v>1</v>
      </c>
    </row>
    <row r="67" spans="2:9" ht="15" customHeight="1" x14ac:dyDescent="0.2">
      <c r="B67" t="s">
        <v>141</v>
      </c>
      <c r="C67" s="12">
        <v>3</v>
      </c>
      <c r="D67" s="8">
        <v>2.0099999999999998</v>
      </c>
      <c r="E67" s="12">
        <v>2</v>
      </c>
      <c r="F67" s="8">
        <v>2.04</v>
      </c>
      <c r="G67" s="12">
        <v>1</v>
      </c>
      <c r="H67" s="8">
        <v>2.56</v>
      </c>
      <c r="I67" s="12">
        <v>0</v>
      </c>
    </row>
    <row r="68" spans="2:9" ht="15" customHeight="1" x14ac:dyDescent="0.2">
      <c r="B68" t="s">
        <v>146</v>
      </c>
      <c r="C68" s="12">
        <v>2</v>
      </c>
      <c r="D68" s="8">
        <v>1.34</v>
      </c>
      <c r="E68" s="12">
        <v>1</v>
      </c>
      <c r="F68" s="8">
        <v>1.02</v>
      </c>
      <c r="G68" s="12">
        <v>1</v>
      </c>
      <c r="H68" s="8">
        <v>2.56</v>
      </c>
      <c r="I68" s="12">
        <v>0</v>
      </c>
    </row>
    <row r="69" spans="2:9" ht="15" customHeight="1" x14ac:dyDescent="0.2">
      <c r="B69" t="s">
        <v>155</v>
      </c>
      <c r="C69" s="12">
        <v>2</v>
      </c>
      <c r="D69" s="8">
        <v>1.34</v>
      </c>
      <c r="E69" s="12">
        <v>1</v>
      </c>
      <c r="F69" s="8">
        <v>1.02</v>
      </c>
      <c r="G69" s="12">
        <v>1</v>
      </c>
      <c r="H69" s="8">
        <v>2.56</v>
      </c>
      <c r="I69" s="12">
        <v>0</v>
      </c>
    </row>
    <row r="70" spans="2:9" ht="15" customHeight="1" x14ac:dyDescent="0.2">
      <c r="B70" t="s">
        <v>144</v>
      </c>
      <c r="C70" s="12">
        <v>2</v>
      </c>
      <c r="D70" s="8">
        <v>1.34</v>
      </c>
      <c r="E70" s="12">
        <v>2</v>
      </c>
      <c r="F70" s="8">
        <v>2.04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175</v>
      </c>
      <c r="C71" s="12">
        <v>2</v>
      </c>
      <c r="D71" s="8">
        <v>1.34</v>
      </c>
      <c r="E71" s="12">
        <v>2</v>
      </c>
      <c r="F71" s="8">
        <v>2.04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205</v>
      </c>
      <c r="C72" s="12">
        <v>2</v>
      </c>
      <c r="D72" s="8">
        <v>1.34</v>
      </c>
      <c r="E72" s="12">
        <v>1</v>
      </c>
      <c r="F72" s="8">
        <v>1.02</v>
      </c>
      <c r="G72" s="12">
        <v>1</v>
      </c>
      <c r="H72" s="8">
        <v>2.56</v>
      </c>
      <c r="I72" s="12">
        <v>0</v>
      </c>
    </row>
    <row r="73" spans="2:9" ht="15" customHeight="1" x14ac:dyDescent="0.2">
      <c r="B73" t="s">
        <v>149</v>
      </c>
      <c r="C73" s="12">
        <v>2</v>
      </c>
      <c r="D73" s="8">
        <v>1.34</v>
      </c>
      <c r="E73" s="12">
        <v>2</v>
      </c>
      <c r="F73" s="8">
        <v>2.04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133</v>
      </c>
      <c r="C74" s="12">
        <v>2</v>
      </c>
      <c r="D74" s="8">
        <v>1.34</v>
      </c>
      <c r="E74" s="12">
        <v>2</v>
      </c>
      <c r="F74" s="8">
        <v>2.04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206</v>
      </c>
      <c r="C75" s="12">
        <v>2</v>
      </c>
      <c r="D75" s="8">
        <v>1.34</v>
      </c>
      <c r="E75" s="12">
        <v>2</v>
      </c>
      <c r="F75" s="8">
        <v>2.04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196</v>
      </c>
      <c r="C76" s="12">
        <v>2</v>
      </c>
      <c r="D76" s="8">
        <v>1.34</v>
      </c>
      <c r="E76" s="12">
        <v>0</v>
      </c>
      <c r="F76" s="8">
        <v>0</v>
      </c>
      <c r="G76" s="12">
        <v>2</v>
      </c>
      <c r="H76" s="8">
        <v>5.13</v>
      </c>
      <c r="I76" s="12">
        <v>0</v>
      </c>
    </row>
    <row r="77" spans="2:9" ht="15" customHeight="1" x14ac:dyDescent="0.2">
      <c r="B77" t="s">
        <v>183</v>
      </c>
      <c r="C77" s="12">
        <v>2</v>
      </c>
      <c r="D77" s="8">
        <v>1.34</v>
      </c>
      <c r="E77" s="12">
        <v>0</v>
      </c>
      <c r="F77" s="8">
        <v>0</v>
      </c>
      <c r="G77" s="12">
        <v>2</v>
      </c>
      <c r="H77" s="8">
        <v>5.13</v>
      </c>
      <c r="I77" s="12">
        <v>0</v>
      </c>
    </row>
    <row r="78" spans="2:9" ht="15" customHeight="1" x14ac:dyDescent="0.2">
      <c r="B78" t="s">
        <v>203</v>
      </c>
      <c r="C78" s="12">
        <v>2</v>
      </c>
      <c r="D78" s="8">
        <v>1.34</v>
      </c>
      <c r="E78" s="12">
        <v>0</v>
      </c>
      <c r="F78" s="8">
        <v>0</v>
      </c>
      <c r="G78" s="12">
        <v>1</v>
      </c>
      <c r="H78" s="8">
        <v>2.56</v>
      </c>
      <c r="I78" s="12">
        <v>0</v>
      </c>
    </row>
    <row r="80" spans="2:9" ht="15" customHeight="1" x14ac:dyDescent="0.2">
      <c r="B80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C212F-B138-4012-9BFA-3E6FF4ED9384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282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30</v>
      </c>
      <c r="D6" s="8">
        <v>10.029999999999999</v>
      </c>
      <c r="E6" s="12">
        <v>6</v>
      </c>
      <c r="F6" s="8">
        <v>2.82</v>
      </c>
      <c r="G6" s="12">
        <v>24</v>
      </c>
      <c r="H6" s="8">
        <v>31.17</v>
      </c>
      <c r="I6" s="12">
        <v>0</v>
      </c>
    </row>
    <row r="7" spans="2:9" ht="15" customHeight="1" x14ac:dyDescent="0.2">
      <c r="B7" t="s">
        <v>44</v>
      </c>
      <c r="C7" s="12">
        <v>20</v>
      </c>
      <c r="D7" s="8">
        <v>6.69</v>
      </c>
      <c r="E7" s="12">
        <v>8</v>
      </c>
      <c r="F7" s="8">
        <v>3.76</v>
      </c>
      <c r="G7" s="12">
        <v>12</v>
      </c>
      <c r="H7" s="8">
        <v>15.58</v>
      </c>
      <c r="I7" s="12">
        <v>0</v>
      </c>
    </row>
    <row r="8" spans="2:9" ht="15" customHeight="1" x14ac:dyDescent="0.2">
      <c r="B8" t="s">
        <v>45</v>
      </c>
      <c r="C8" s="12">
        <v>1</v>
      </c>
      <c r="D8" s="8">
        <v>0.33</v>
      </c>
      <c r="E8" s="12">
        <v>0</v>
      </c>
      <c r="F8" s="8">
        <v>0</v>
      </c>
      <c r="G8" s="12">
        <v>1</v>
      </c>
      <c r="H8" s="8">
        <v>1.3</v>
      </c>
      <c r="I8" s="12">
        <v>0</v>
      </c>
    </row>
    <row r="9" spans="2:9" ht="15" customHeight="1" x14ac:dyDescent="0.2">
      <c r="B9" t="s">
        <v>46</v>
      </c>
      <c r="C9" s="12">
        <v>2</v>
      </c>
      <c r="D9" s="8">
        <v>0.67</v>
      </c>
      <c r="E9" s="12">
        <v>0</v>
      </c>
      <c r="F9" s="8">
        <v>0</v>
      </c>
      <c r="G9" s="12">
        <v>1</v>
      </c>
      <c r="H9" s="8">
        <v>1.3</v>
      </c>
      <c r="I9" s="12">
        <v>0</v>
      </c>
    </row>
    <row r="10" spans="2:9" ht="15" customHeight="1" x14ac:dyDescent="0.2">
      <c r="B10" t="s">
        <v>47</v>
      </c>
      <c r="C10" s="12">
        <v>3</v>
      </c>
      <c r="D10" s="8">
        <v>1</v>
      </c>
      <c r="E10" s="12">
        <v>2</v>
      </c>
      <c r="F10" s="8">
        <v>0.94</v>
      </c>
      <c r="G10" s="12">
        <v>1</v>
      </c>
      <c r="H10" s="8">
        <v>1.3</v>
      </c>
      <c r="I10" s="12">
        <v>0</v>
      </c>
    </row>
    <row r="11" spans="2:9" ht="15" customHeight="1" x14ac:dyDescent="0.2">
      <c r="B11" t="s">
        <v>48</v>
      </c>
      <c r="C11" s="12">
        <v>66</v>
      </c>
      <c r="D11" s="8">
        <v>22.07</v>
      </c>
      <c r="E11" s="12">
        <v>50</v>
      </c>
      <c r="F11" s="8">
        <v>23.47</v>
      </c>
      <c r="G11" s="12">
        <v>16</v>
      </c>
      <c r="H11" s="8">
        <v>20.78</v>
      </c>
      <c r="I11" s="12">
        <v>0</v>
      </c>
    </row>
    <row r="12" spans="2:9" ht="15" customHeight="1" x14ac:dyDescent="0.2">
      <c r="B12" t="s">
        <v>49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50</v>
      </c>
      <c r="C13" s="12">
        <v>33</v>
      </c>
      <c r="D13" s="8">
        <v>11.04</v>
      </c>
      <c r="E13" s="12">
        <v>25</v>
      </c>
      <c r="F13" s="8">
        <v>11.74</v>
      </c>
      <c r="G13" s="12">
        <v>7</v>
      </c>
      <c r="H13" s="8">
        <v>9.09</v>
      </c>
      <c r="I13" s="12">
        <v>1</v>
      </c>
    </row>
    <row r="14" spans="2:9" ht="15" customHeight="1" x14ac:dyDescent="0.2">
      <c r="B14" t="s">
        <v>51</v>
      </c>
      <c r="C14" s="12">
        <v>13</v>
      </c>
      <c r="D14" s="8">
        <v>4.3499999999999996</v>
      </c>
      <c r="E14" s="12">
        <v>8</v>
      </c>
      <c r="F14" s="8">
        <v>3.76</v>
      </c>
      <c r="G14" s="12">
        <v>5</v>
      </c>
      <c r="H14" s="8">
        <v>6.49</v>
      </c>
      <c r="I14" s="12">
        <v>0</v>
      </c>
    </row>
    <row r="15" spans="2:9" ht="15" customHeight="1" x14ac:dyDescent="0.2">
      <c r="B15" t="s">
        <v>52</v>
      </c>
      <c r="C15" s="12">
        <v>72</v>
      </c>
      <c r="D15" s="8">
        <v>24.08</v>
      </c>
      <c r="E15" s="12">
        <v>70</v>
      </c>
      <c r="F15" s="8">
        <v>32.86</v>
      </c>
      <c r="G15" s="12">
        <v>2</v>
      </c>
      <c r="H15" s="8">
        <v>2.6</v>
      </c>
      <c r="I15" s="12">
        <v>0</v>
      </c>
    </row>
    <row r="16" spans="2:9" ht="15" customHeight="1" x14ac:dyDescent="0.2">
      <c r="B16" t="s">
        <v>53</v>
      </c>
      <c r="C16" s="12">
        <v>33</v>
      </c>
      <c r="D16" s="8">
        <v>11.04</v>
      </c>
      <c r="E16" s="12">
        <v>25</v>
      </c>
      <c r="F16" s="8">
        <v>11.74</v>
      </c>
      <c r="G16" s="12">
        <v>3</v>
      </c>
      <c r="H16" s="8">
        <v>3.9</v>
      </c>
      <c r="I16" s="12">
        <v>0</v>
      </c>
    </row>
    <row r="17" spans="2:9" ht="15" customHeight="1" x14ac:dyDescent="0.2">
      <c r="B17" t="s">
        <v>54</v>
      </c>
      <c r="C17" s="12">
        <v>11</v>
      </c>
      <c r="D17" s="8">
        <v>3.68</v>
      </c>
      <c r="E17" s="12">
        <v>11</v>
      </c>
      <c r="F17" s="8">
        <v>5.16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55</v>
      </c>
      <c r="C18" s="12">
        <v>6</v>
      </c>
      <c r="D18" s="8">
        <v>2.0099999999999998</v>
      </c>
      <c r="E18" s="12">
        <v>1</v>
      </c>
      <c r="F18" s="8">
        <v>0.47</v>
      </c>
      <c r="G18" s="12">
        <v>4</v>
      </c>
      <c r="H18" s="8">
        <v>5.19</v>
      </c>
      <c r="I18" s="12">
        <v>0</v>
      </c>
    </row>
    <row r="19" spans="2:9" ht="15" customHeight="1" x14ac:dyDescent="0.2">
      <c r="B19" t="s">
        <v>56</v>
      </c>
      <c r="C19" s="12">
        <v>9</v>
      </c>
      <c r="D19" s="8">
        <v>3.01</v>
      </c>
      <c r="E19" s="12">
        <v>7</v>
      </c>
      <c r="F19" s="8">
        <v>3.29</v>
      </c>
      <c r="G19" s="12">
        <v>1</v>
      </c>
      <c r="H19" s="8">
        <v>1.3</v>
      </c>
      <c r="I19" s="12">
        <v>0</v>
      </c>
    </row>
    <row r="20" spans="2:9" ht="15" customHeight="1" x14ac:dyDescent="0.2">
      <c r="B20" s="9" t="s">
        <v>260</v>
      </c>
      <c r="C20" s="12">
        <f>SUM(LTBL_47314[総数／事業所数])</f>
        <v>299</v>
      </c>
      <c r="E20" s="12">
        <f>SUBTOTAL(109,LTBL_47314[個人／事業所数])</f>
        <v>213</v>
      </c>
      <c r="G20" s="12">
        <f>SUBTOTAL(109,LTBL_47314[法人／事業所数])</f>
        <v>77</v>
      </c>
      <c r="I20" s="12">
        <f>SUBTOTAL(109,LTBL_47314[法人以外の団体／事業所数])</f>
        <v>1</v>
      </c>
    </row>
    <row r="21" spans="2:9" ht="15" customHeight="1" x14ac:dyDescent="0.2">
      <c r="E21" s="11">
        <f>LTBL_47314[[#Totals],[個人／事業所数]]/LTBL_47314[[#Totals],[総数／事業所数]]</f>
        <v>0.7123745819397993</v>
      </c>
      <c r="G21" s="11">
        <f>LTBL_47314[[#Totals],[法人／事業所数]]/LTBL_47314[[#Totals],[総数／事業所数]]</f>
        <v>0.25752508361204013</v>
      </c>
      <c r="I21" s="11">
        <f>LTBL_47314[[#Totals],[法人以外の団体／事業所数]]/LTBL_47314[[#Totals],[総数／事業所数]]</f>
        <v>3.3444816053511705E-3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77</v>
      </c>
      <c r="C24" s="12">
        <v>70</v>
      </c>
      <c r="D24" s="8">
        <v>23.41</v>
      </c>
      <c r="E24" s="12">
        <v>69</v>
      </c>
      <c r="F24" s="8">
        <v>32.39</v>
      </c>
      <c r="G24" s="12">
        <v>1</v>
      </c>
      <c r="H24" s="8">
        <v>1.3</v>
      </c>
      <c r="I24" s="12">
        <v>0</v>
      </c>
    </row>
    <row r="25" spans="2:9" ht="15" customHeight="1" x14ac:dyDescent="0.2">
      <c r="B25" t="s">
        <v>73</v>
      </c>
      <c r="C25" s="12">
        <v>33</v>
      </c>
      <c r="D25" s="8">
        <v>11.04</v>
      </c>
      <c r="E25" s="12">
        <v>25</v>
      </c>
      <c r="F25" s="8">
        <v>11.74</v>
      </c>
      <c r="G25" s="12">
        <v>7</v>
      </c>
      <c r="H25" s="8">
        <v>9.09</v>
      </c>
      <c r="I25" s="12">
        <v>1</v>
      </c>
    </row>
    <row r="26" spans="2:9" ht="15" customHeight="1" x14ac:dyDescent="0.2">
      <c r="B26" t="s">
        <v>71</v>
      </c>
      <c r="C26" s="12">
        <v>26</v>
      </c>
      <c r="D26" s="8">
        <v>8.6999999999999993</v>
      </c>
      <c r="E26" s="12">
        <v>20</v>
      </c>
      <c r="F26" s="8">
        <v>9.39</v>
      </c>
      <c r="G26" s="12">
        <v>6</v>
      </c>
      <c r="H26" s="8">
        <v>7.79</v>
      </c>
      <c r="I26" s="12">
        <v>0</v>
      </c>
    </row>
    <row r="27" spans="2:9" ht="15" customHeight="1" x14ac:dyDescent="0.2">
      <c r="B27" t="s">
        <v>78</v>
      </c>
      <c r="C27" s="12">
        <v>21</v>
      </c>
      <c r="D27" s="8">
        <v>7.02</v>
      </c>
      <c r="E27" s="12">
        <v>20</v>
      </c>
      <c r="F27" s="8">
        <v>9.39</v>
      </c>
      <c r="G27" s="12">
        <v>1</v>
      </c>
      <c r="H27" s="8">
        <v>1.3</v>
      </c>
      <c r="I27" s="12">
        <v>0</v>
      </c>
    </row>
    <row r="28" spans="2:9" ht="15" customHeight="1" x14ac:dyDescent="0.2">
      <c r="B28" t="s">
        <v>69</v>
      </c>
      <c r="C28" s="12">
        <v>19</v>
      </c>
      <c r="D28" s="8">
        <v>6.35</v>
      </c>
      <c r="E28" s="12">
        <v>16</v>
      </c>
      <c r="F28" s="8">
        <v>7.51</v>
      </c>
      <c r="G28" s="12">
        <v>3</v>
      </c>
      <c r="H28" s="8">
        <v>3.9</v>
      </c>
      <c r="I28" s="12">
        <v>0</v>
      </c>
    </row>
    <row r="29" spans="2:9" ht="15" customHeight="1" x14ac:dyDescent="0.2">
      <c r="B29" t="s">
        <v>65</v>
      </c>
      <c r="C29" s="12">
        <v>14</v>
      </c>
      <c r="D29" s="8">
        <v>4.68</v>
      </c>
      <c r="E29" s="12">
        <v>2</v>
      </c>
      <c r="F29" s="8">
        <v>0.94</v>
      </c>
      <c r="G29" s="12">
        <v>12</v>
      </c>
      <c r="H29" s="8">
        <v>15.58</v>
      </c>
      <c r="I29" s="12">
        <v>0</v>
      </c>
    </row>
    <row r="30" spans="2:9" ht="15" customHeight="1" x14ac:dyDescent="0.2">
      <c r="B30" t="s">
        <v>67</v>
      </c>
      <c r="C30" s="12">
        <v>12</v>
      </c>
      <c r="D30" s="8">
        <v>4.01</v>
      </c>
      <c r="E30" s="12">
        <v>3</v>
      </c>
      <c r="F30" s="8">
        <v>1.41</v>
      </c>
      <c r="G30" s="12">
        <v>9</v>
      </c>
      <c r="H30" s="8">
        <v>11.69</v>
      </c>
      <c r="I30" s="12">
        <v>0</v>
      </c>
    </row>
    <row r="31" spans="2:9" ht="15" customHeight="1" x14ac:dyDescent="0.2">
      <c r="B31" t="s">
        <v>81</v>
      </c>
      <c r="C31" s="12">
        <v>11</v>
      </c>
      <c r="D31" s="8">
        <v>3.68</v>
      </c>
      <c r="E31" s="12">
        <v>11</v>
      </c>
      <c r="F31" s="8">
        <v>5.16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74</v>
      </c>
      <c r="C32" s="12">
        <v>8</v>
      </c>
      <c r="D32" s="8">
        <v>2.68</v>
      </c>
      <c r="E32" s="12">
        <v>5</v>
      </c>
      <c r="F32" s="8">
        <v>2.35</v>
      </c>
      <c r="G32" s="12">
        <v>3</v>
      </c>
      <c r="H32" s="8">
        <v>3.9</v>
      </c>
      <c r="I32" s="12">
        <v>0</v>
      </c>
    </row>
    <row r="33" spans="2:9" ht="15" customHeight="1" x14ac:dyDescent="0.2">
      <c r="B33" t="s">
        <v>70</v>
      </c>
      <c r="C33" s="12">
        <v>7</v>
      </c>
      <c r="D33" s="8">
        <v>2.34</v>
      </c>
      <c r="E33" s="12">
        <v>4</v>
      </c>
      <c r="F33" s="8">
        <v>1.88</v>
      </c>
      <c r="G33" s="12">
        <v>3</v>
      </c>
      <c r="H33" s="8">
        <v>3.9</v>
      </c>
      <c r="I33" s="12">
        <v>0</v>
      </c>
    </row>
    <row r="34" spans="2:9" ht="15" customHeight="1" x14ac:dyDescent="0.2">
      <c r="B34" t="s">
        <v>84</v>
      </c>
      <c r="C34" s="12">
        <v>7</v>
      </c>
      <c r="D34" s="8">
        <v>2.34</v>
      </c>
      <c r="E34" s="12">
        <v>7</v>
      </c>
      <c r="F34" s="8">
        <v>3.29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97</v>
      </c>
      <c r="C35" s="12">
        <v>6</v>
      </c>
      <c r="D35" s="8">
        <v>2.0099999999999998</v>
      </c>
      <c r="E35" s="12">
        <v>0</v>
      </c>
      <c r="F35" s="8">
        <v>0</v>
      </c>
      <c r="G35" s="12">
        <v>6</v>
      </c>
      <c r="H35" s="8">
        <v>7.79</v>
      </c>
      <c r="I35" s="12">
        <v>0</v>
      </c>
    </row>
    <row r="36" spans="2:9" ht="15" customHeight="1" x14ac:dyDescent="0.2">
      <c r="B36" t="s">
        <v>79</v>
      </c>
      <c r="C36" s="12">
        <v>6</v>
      </c>
      <c r="D36" s="8">
        <v>2.0099999999999998</v>
      </c>
      <c r="E36" s="12">
        <v>4</v>
      </c>
      <c r="F36" s="8">
        <v>1.88</v>
      </c>
      <c r="G36" s="12">
        <v>1</v>
      </c>
      <c r="H36" s="8">
        <v>1.3</v>
      </c>
      <c r="I36" s="12">
        <v>0</v>
      </c>
    </row>
    <row r="37" spans="2:9" ht="15" customHeight="1" x14ac:dyDescent="0.2">
      <c r="B37" t="s">
        <v>80</v>
      </c>
      <c r="C37" s="12">
        <v>6</v>
      </c>
      <c r="D37" s="8">
        <v>2.0099999999999998</v>
      </c>
      <c r="E37" s="12">
        <v>1</v>
      </c>
      <c r="F37" s="8">
        <v>0.47</v>
      </c>
      <c r="G37" s="12">
        <v>1</v>
      </c>
      <c r="H37" s="8">
        <v>1.3</v>
      </c>
      <c r="I37" s="12">
        <v>0</v>
      </c>
    </row>
    <row r="38" spans="2:9" ht="15" customHeight="1" x14ac:dyDescent="0.2">
      <c r="B38" t="s">
        <v>88</v>
      </c>
      <c r="C38" s="12">
        <v>5</v>
      </c>
      <c r="D38" s="8">
        <v>1.67</v>
      </c>
      <c r="E38" s="12">
        <v>1</v>
      </c>
      <c r="F38" s="8">
        <v>0.47</v>
      </c>
      <c r="G38" s="12">
        <v>4</v>
      </c>
      <c r="H38" s="8">
        <v>5.19</v>
      </c>
      <c r="I38" s="12">
        <v>0</v>
      </c>
    </row>
    <row r="39" spans="2:9" ht="15" customHeight="1" x14ac:dyDescent="0.2">
      <c r="B39" t="s">
        <v>75</v>
      </c>
      <c r="C39" s="12">
        <v>5</v>
      </c>
      <c r="D39" s="8">
        <v>1.67</v>
      </c>
      <c r="E39" s="12">
        <v>3</v>
      </c>
      <c r="F39" s="8">
        <v>1.41</v>
      </c>
      <c r="G39" s="12">
        <v>2</v>
      </c>
      <c r="H39" s="8">
        <v>2.6</v>
      </c>
      <c r="I39" s="12">
        <v>0</v>
      </c>
    </row>
    <row r="40" spans="2:9" ht="15" customHeight="1" x14ac:dyDescent="0.2">
      <c r="B40" t="s">
        <v>66</v>
      </c>
      <c r="C40" s="12">
        <v>4</v>
      </c>
      <c r="D40" s="8">
        <v>1.34</v>
      </c>
      <c r="E40" s="12">
        <v>1</v>
      </c>
      <c r="F40" s="8">
        <v>0.47</v>
      </c>
      <c r="G40" s="12">
        <v>3</v>
      </c>
      <c r="H40" s="8">
        <v>3.9</v>
      </c>
      <c r="I40" s="12">
        <v>0</v>
      </c>
    </row>
    <row r="41" spans="2:9" ht="15" customHeight="1" x14ac:dyDescent="0.2">
      <c r="B41" t="s">
        <v>68</v>
      </c>
      <c r="C41" s="12">
        <v>4</v>
      </c>
      <c r="D41" s="8">
        <v>1.34</v>
      </c>
      <c r="E41" s="12">
        <v>4</v>
      </c>
      <c r="F41" s="8">
        <v>1.88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106</v>
      </c>
      <c r="C42" s="12">
        <v>3</v>
      </c>
      <c r="D42" s="8">
        <v>1</v>
      </c>
      <c r="E42" s="12">
        <v>0</v>
      </c>
      <c r="F42" s="8">
        <v>0</v>
      </c>
      <c r="G42" s="12">
        <v>3</v>
      </c>
      <c r="H42" s="8">
        <v>3.9</v>
      </c>
      <c r="I42" s="12">
        <v>0</v>
      </c>
    </row>
    <row r="43" spans="2:9" ht="15" customHeight="1" x14ac:dyDescent="0.2">
      <c r="B43" t="s">
        <v>82</v>
      </c>
      <c r="C43" s="12">
        <v>3</v>
      </c>
      <c r="D43" s="8">
        <v>1</v>
      </c>
      <c r="E43" s="12">
        <v>1</v>
      </c>
      <c r="F43" s="8">
        <v>0.47</v>
      </c>
      <c r="G43" s="12">
        <v>2</v>
      </c>
      <c r="H43" s="8">
        <v>2.6</v>
      </c>
      <c r="I43" s="12">
        <v>0</v>
      </c>
    </row>
    <row r="44" spans="2:9" ht="15" customHeight="1" x14ac:dyDescent="0.2">
      <c r="B44" t="s">
        <v>83</v>
      </c>
      <c r="C44" s="12">
        <v>3</v>
      </c>
      <c r="D44" s="8">
        <v>1</v>
      </c>
      <c r="E44" s="12">
        <v>0</v>
      </c>
      <c r="F44" s="8">
        <v>0</v>
      </c>
      <c r="G44" s="12">
        <v>2</v>
      </c>
      <c r="H44" s="8">
        <v>2.6</v>
      </c>
      <c r="I44" s="12">
        <v>0</v>
      </c>
    </row>
    <row r="47" spans="2:9" ht="33" customHeight="1" x14ac:dyDescent="0.2">
      <c r="B47" t="s">
        <v>262</v>
      </c>
      <c r="C47" s="10" t="s">
        <v>58</v>
      </c>
      <c r="D47" s="10" t="s">
        <v>59</v>
      </c>
      <c r="E47" s="10" t="s">
        <v>60</v>
      </c>
      <c r="F47" s="10" t="s">
        <v>61</v>
      </c>
      <c r="G47" s="10" t="s">
        <v>62</v>
      </c>
      <c r="H47" s="10" t="s">
        <v>63</v>
      </c>
      <c r="I47" s="10" t="s">
        <v>64</v>
      </c>
    </row>
    <row r="48" spans="2:9" ht="15" customHeight="1" x14ac:dyDescent="0.2">
      <c r="B48" t="s">
        <v>133</v>
      </c>
      <c r="C48" s="12">
        <v>37</v>
      </c>
      <c r="D48" s="8">
        <v>12.37</v>
      </c>
      <c r="E48" s="12">
        <v>37</v>
      </c>
      <c r="F48" s="8">
        <v>17.37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128</v>
      </c>
      <c r="C49" s="12">
        <v>31</v>
      </c>
      <c r="D49" s="8">
        <v>10.37</v>
      </c>
      <c r="E49" s="12">
        <v>25</v>
      </c>
      <c r="F49" s="8">
        <v>11.74</v>
      </c>
      <c r="G49" s="12">
        <v>6</v>
      </c>
      <c r="H49" s="8">
        <v>7.79</v>
      </c>
      <c r="I49" s="12">
        <v>0</v>
      </c>
    </row>
    <row r="50" spans="2:9" ht="15" customHeight="1" x14ac:dyDescent="0.2">
      <c r="B50" t="s">
        <v>149</v>
      </c>
      <c r="C50" s="12">
        <v>10</v>
      </c>
      <c r="D50" s="8">
        <v>3.34</v>
      </c>
      <c r="E50" s="12">
        <v>9</v>
      </c>
      <c r="F50" s="8">
        <v>4.2300000000000004</v>
      </c>
      <c r="G50" s="12">
        <v>1</v>
      </c>
      <c r="H50" s="8">
        <v>1.3</v>
      </c>
      <c r="I50" s="12">
        <v>0</v>
      </c>
    </row>
    <row r="51" spans="2:9" ht="15" customHeight="1" x14ac:dyDescent="0.2">
      <c r="B51" t="s">
        <v>131</v>
      </c>
      <c r="C51" s="12">
        <v>10</v>
      </c>
      <c r="D51" s="8">
        <v>3.34</v>
      </c>
      <c r="E51" s="12">
        <v>10</v>
      </c>
      <c r="F51" s="8">
        <v>4.6900000000000004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139</v>
      </c>
      <c r="C52" s="12">
        <v>10</v>
      </c>
      <c r="D52" s="8">
        <v>3.34</v>
      </c>
      <c r="E52" s="12">
        <v>10</v>
      </c>
      <c r="F52" s="8">
        <v>4.6900000000000004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123</v>
      </c>
      <c r="C53" s="12">
        <v>9</v>
      </c>
      <c r="D53" s="8">
        <v>3.01</v>
      </c>
      <c r="E53" s="12">
        <v>9</v>
      </c>
      <c r="F53" s="8">
        <v>4.2300000000000004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147</v>
      </c>
      <c r="C54" s="12">
        <v>8</v>
      </c>
      <c r="D54" s="8">
        <v>2.68</v>
      </c>
      <c r="E54" s="12">
        <v>2</v>
      </c>
      <c r="F54" s="8">
        <v>0.94</v>
      </c>
      <c r="G54" s="12">
        <v>6</v>
      </c>
      <c r="H54" s="8">
        <v>7.79</v>
      </c>
      <c r="I54" s="12">
        <v>0</v>
      </c>
    </row>
    <row r="55" spans="2:9" ht="15" customHeight="1" x14ac:dyDescent="0.2">
      <c r="B55" t="s">
        <v>135</v>
      </c>
      <c r="C55" s="12">
        <v>8</v>
      </c>
      <c r="D55" s="8">
        <v>2.68</v>
      </c>
      <c r="E55" s="12">
        <v>8</v>
      </c>
      <c r="F55" s="8">
        <v>3.76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136</v>
      </c>
      <c r="C56" s="12">
        <v>8</v>
      </c>
      <c r="D56" s="8">
        <v>2.68</v>
      </c>
      <c r="E56" s="12">
        <v>8</v>
      </c>
      <c r="F56" s="8">
        <v>3.76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141</v>
      </c>
      <c r="C57" s="12">
        <v>7</v>
      </c>
      <c r="D57" s="8">
        <v>2.34</v>
      </c>
      <c r="E57" s="12">
        <v>7</v>
      </c>
      <c r="F57" s="8">
        <v>3.29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151</v>
      </c>
      <c r="C58" s="12">
        <v>6</v>
      </c>
      <c r="D58" s="8">
        <v>2.0099999999999998</v>
      </c>
      <c r="E58" s="12">
        <v>2</v>
      </c>
      <c r="F58" s="8">
        <v>0.94</v>
      </c>
      <c r="G58" s="12">
        <v>4</v>
      </c>
      <c r="H58" s="8">
        <v>5.19</v>
      </c>
      <c r="I58" s="12">
        <v>0</v>
      </c>
    </row>
    <row r="59" spans="2:9" ht="15" customHeight="1" x14ac:dyDescent="0.2">
      <c r="B59" t="s">
        <v>125</v>
      </c>
      <c r="C59" s="12">
        <v>6</v>
      </c>
      <c r="D59" s="8">
        <v>2.0099999999999998</v>
      </c>
      <c r="E59" s="12">
        <v>4</v>
      </c>
      <c r="F59" s="8">
        <v>1.88</v>
      </c>
      <c r="G59" s="12">
        <v>2</v>
      </c>
      <c r="H59" s="8">
        <v>2.6</v>
      </c>
      <c r="I59" s="12">
        <v>0</v>
      </c>
    </row>
    <row r="60" spans="2:9" ht="15" customHeight="1" x14ac:dyDescent="0.2">
      <c r="B60" t="s">
        <v>132</v>
      </c>
      <c r="C60" s="12">
        <v>6</v>
      </c>
      <c r="D60" s="8">
        <v>2.0099999999999998</v>
      </c>
      <c r="E60" s="12">
        <v>6</v>
      </c>
      <c r="F60" s="8">
        <v>2.82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122</v>
      </c>
      <c r="C61" s="12">
        <v>5</v>
      </c>
      <c r="D61" s="8">
        <v>1.67</v>
      </c>
      <c r="E61" s="12">
        <v>0</v>
      </c>
      <c r="F61" s="8">
        <v>0</v>
      </c>
      <c r="G61" s="12">
        <v>5</v>
      </c>
      <c r="H61" s="8">
        <v>6.49</v>
      </c>
      <c r="I61" s="12">
        <v>0</v>
      </c>
    </row>
    <row r="62" spans="2:9" ht="15" customHeight="1" x14ac:dyDescent="0.2">
      <c r="B62" t="s">
        <v>153</v>
      </c>
      <c r="C62" s="12">
        <v>5</v>
      </c>
      <c r="D62" s="8">
        <v>1.67</v>
      </c>
      <c r="E62" s="12">
        <v>5</v>
      </c>
      <c r="F62" s="8">
        <v>2.35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129</v>
      </c>
      <c r="C63" s="12">
        <v>5</v>
      </c>
      <c r="D63" s="8">
        <v>1.67</v>
      </c>
      <c r="E63" s="12">
        <v>3</v>
      </c>
      <c r="F63" s="8">
        <v>1.41</v>
      </c>
      <c r="G63" s="12">
        <v>2</v>
      </c>
      <c r="H63" s="8">
        <v>2.6</v>
      </c>
      <c r="I63" s="12">
        <v>0</v>
      </c>
    </row>
    <row r="64" spans="2:9" ht="15" customHeight="1" x14ac:dyDescent="0.2">
      <c r="B64" t="s">
        <v>126</v>
      </c>
      <c r="C64" s="12">
        <v>4</v>
      </c>
      <c r="D64" s="8">
        <v>1.34</v>
      </c>
      <c r="E64" s="12">
        <v>4</v>
      </c>
      <c r="F64" s="8">
        <v>1.88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192</v>
      </c>
      <c r="C65" s="12">
        <v>4</v>
      </c>
      <c r="D65" s="8">
        <v>1.34</v>
      </c>
      <c r="E65" s="12">
        <v>2</v>
      </c>
      <c r="F65" s="8">
        <v>0.94</v>
      </c>
      <c r="G65" s="12">
        <v>2</v>
      </c>
      <c r="H65" s="8">
        <v>2.6</v>
      </c>
      <c r="I65" s="12">
        <v>0</v>
      </c>
    </row>
    <row r="66" spans="2:9" ht="15" customHeight="1" x14ac:dyDescent="0.2">
      <c r="B66" t="s">
        <v>161</v>
      </c>
      <c r="C66" s="12">
        <v>4</v>
      </c>
      <c r="D66" s="8">
        <v>1.34</v>
      </c>
      <c r="E66" s="12">
        <v>4</v>
      </c>
      <c r="F66" s="8">
        <v>1.88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137</v>
      </c>
      <c r="C67" s="12">
        <v>4</v>
      </c>
      <c r="D67" s="8">
        <v>1.34</v>
      </c>
      <c r="E67" s="12">
        <v>4</v>
      </c>
      <c r="F67" s="8">
        <v>1.88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195</v>
      </c>
      <c r="C68" s="12">
        <v>4</v>
      </c>
      <c r="D68" s="8">
        <v>1.34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EB8F0-6CD2-4F62-9C51-4D223B48D433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283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20</v>
      </c>
      <c r="D6" s="8">
        <v>9.52</v>
      </c>
      <c r="E6" s="12">
        <v>10</v>
      </c>
      <c r="F6" s="8">
        <v>6.13</v>
      </c>
      <c r="G6" s="12">
        <v>10</v>
      </c>
      <c r="H6" s="8">
        <v>27.03</v>
      </c>
      <c r="I6" s="12">
        <v>0</v>
      </c>
    </row>
    <row r="7" spans="2:9" ht="15" customHeight="1" x14ac:dyDescent="0.2">
      <c r="B7" t="s">
        <v>44</v>
      </c>
      <c r="C7" s="12">
        <v>11</v>
      </c>
      <c r="D7" s="8">
        <v>5.24</v>
      </c>
      <c r="E7" s="12">
        <v>4</v>
      </c>
      <c r="F7" s="8">
        <v>2.4500000000000002</v>
      </c>
      <c r="G7" s="12">
        <v>6</v>
      </c>
      <c r="H7" s="8">
        <v>16.22</v>
      </c>
      <c r="I7" s="12">
        <v>0</v>
      </c>
    </row>
    <row r="8" spans="2:9" ht="15" customHeight="1" x14ac:dyDescent="0.2">
      <c r="B8" t="s">
        <v>45</v>
      </c>
      <c r="C8" s="12">
        <v>1</v>
      </c>
      <c r="D8" s="8">
        <v>0.48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46</v>
      </c>
      <c r="C9" s="12">
        <v>1</v>
      </c>
      <c r="D9" s="8">
        <v>0.48</v>
      </c>
      <c r="E9" s="12">
        <v>0</v>
      </c>
      <c r="F9" s="8">
        <v>0</v>
      </c>
      <c r="G9" s="12">
        <v>1</v>
      </c>
      <c r="H9" s="8">
        <v>2.7</v>
      </c>
      <c r="I9" s="12">
        <v>0</v>
      </c>
    </row>
    <row r="10" spans="2:9" ht="15" customHeight="1" x14ac:dyDescent="0.2">
      <c r="B10" t="s">
        <v>47</v>
      </c>
      <c r="C10" s="12">
        <v>2</v>
      </c>
      <c r="D10" s="8">
        <v>0.95</v>
      </c>
      <c r="E10" s="12">
        <v>0</v>
      </c>
      <c r="F10" s="8">
        <v>0</v>
      </c>
      <c r="G10" s="12">
        <v>2</v>
      </c>
      <c r="H10" s="8">
        <v>5.41</v>
      </c>
      <c r="I10" s="12">
        <v>0</v>
      </c>
    </row>
    <row r="11" spans="2:9" ht="15" customHeight="1" x14ac:dyDescent="0.2">
      <c r="B11" t="s">
        <v>48</v>
      </c>
      <c r="C11" s="12">
        <v>51</v>
      </c>
      <c r="D11" s="8">
        <v>24.29</v>
      </c>
      <c r="E11" s="12">
        <v>42</v>
      </c>
      <c r="F11" s="8">
        <v>25.77</v>
      </c>
      <c r="G11" s="12">
        <v>9</v>
      </c>
      <c r="H11" s="8">
        <v>24.32</v>
      </c>
      <c r="I11" s="12">
        <v>0</v>
      </c>
    </row>
    <row r="12" spans="2:9" ht="15" customHeight="1" x14ac:dyDescent="0.2">
      <c r="B12" t="s">
        <v>49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50</v>
      </c>
      <c r="C13" s="12">
        <v>15</v>
      </c>
      <c r="D13" s="8">
        <v>7.14</v>
      </c>
      <c r="E13" s="12">
        <v>14</v>
      </c>
      <c r="F13" s="8">
        <v>8.59</v>
      </c>
      <c r="G13" s="12">
        <v>1</v>
      </c>
      <c r="H13" s="8">
        <v>2.7</v>
      </c>
      <c r="I13" s="12">
        <v>0</v>
      </c>
    </row>
    <row r="14" spans="2:9" ht="15" customHeight="1" x14ac:dyDescent="0.2">
      <c r="B14" t="s">
        <v>51</v>
      </c>
      <c r="C14" s="12">
        <v>3</v>
      </c>
      <c r="D14" s="8">
        <v>1.43</v>
      </c>
      <c r="E14" s="12">
        <v>2</v>
      </c>
      <c r="F14" s="8">
        <v>1.23</v>
      </c>
      <c r="G14" s="12">
        <v>1</v>
      </c>
      <c r="H14" s="8">
        <v>2.7</v>
      </c>
      <c r="I14" s="12">
        <v>0</v>
      </c>
    </row>
    <row r="15" spans="2:9" ht="15" customHeight="1" x14ac:dyDescent="0.2">
      <c r="B15" t="s">
        <v>52</v>
      </c>
      <c r="C15" s="12">
        <v>66</v>
      </c>
      <c r="D15" s="8">
        <v>31.43</v>
      </c>
      <c r="E15" s="12">
        <v>63</v>
      </c>
      <c r="F15" s="8">
        <v>38.65</v>
      </c>
      <c r="G15" s="12">
        <v>2</v>
      </c>
      <c r="H15" s="8">
        <v>5.41</v>
      </c>
      <c r="I15" s="12">
        <v>0</v>
      </c>
    </row>
    <row r="16" spans="2:9" ht="15" customHeight="1" x14ac:dyDescent="0.2">
      <c r="B16" t="s">
        <v>53</v>
      </c>
      <c r="C16" s="12">
        <v>25</v>
      </c>
      <c r="D16" s="8">
        <v>11.9</v>
      </c>
      <c r="E16" s="12">
        <v>21</v>
      </c>
      <c r="F16" s="8">
        <v>12.88</v>
      </c>
      <c r="G16" s="12">
        <v>1</v>
      </c>
      <c r="H16" s="8">
        <v>2.7</v>
      </c>
      <c r="I16" s="12">
        <v>1</v>
      </c>
    </row>
    <row r="17" spans="2:9" ht="15" customHeight="1" x14ac:dyDescent="0.2">
      <c r="B17" t="s">
        <v>54</v>
      </c>
      <c r="C17" s="12">
        <v>6</v>
      </c>
      <c r="D17" s="8">
        <v>2.86</v>
      </c>
      <c r="E17" s="12">
        <v>4</v>
      </c>
      <c r="F17" s="8">
        <v>2.4500000000000002</v>
      </c>
      <c r="G17" s="12">
        <v>1</v>
      </c>
      <c r="H17" s="8">
        <v>2.7</v>
      </c>
      <c r="I17" s="12">
        <v>0</v>
      </c>
    </row>
    <row r="18" spans="2:9" ht="15" customHeight="1" x14ac:dyDescent="0.2">
      <c r="B18" t="s">
        <v>55</v>
      </c>
      <c r="C18" s="12">
        <v>4</v>
      </c>
      <c r="D18" s="8">
        <v>1.9</v>
      </c>
      <c r="E18" s="12">
        <v>1</v>
      </c>
      <c r="F18" s="8">
        <v>0.61</v>
      </c>
      <c r="G18" s="12">
        <v>3</v>
      </c>
      <c r="H18" s="8">
        <v>8.11</v>
      </c>
      <c r="I18" s="12">
        <v>0</v>
      </c>
    </row>
    <row r="19" spans="2:9" ht="15" customHeight="1" x14ac:dyDescent="0.2">
      <c r="B19" t="s">
        <v>56</v>
      </c>
      <c r="C19" s="12">
        <v>5</v>
      </c>
      <c r="D19" s="8">
        <v>2.38</v>
      </c>
      <c r="E19" s="12">
        <v>2</v>
      </c>
      <c r="F19" s="8">
        <v>1.23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260</v>
      </c>
      <c r="C20" s="12">
        <f>SUM(LTBL_47315[総数／事業所数])</f>
        <v>210</v>
      </c>
      <c r="E20" s="12">
        <f>SUBTOTAL(109,LTBL_47315[個人／事業所数])</f>
        <v>163</v>
      </c>
      <c r="G20" s="12">
        <f>SUBTOTAL(109,LTBL_47315[法人／事業所数])</f>
        <v>37</v>
      </c>
      <c r="I20" s="12">
        <f>SUBTOTAL(109,LTBL_47315[法人以外の団体／事業所数])</f>
        <v>1</v>
      </c>
    </row>
    <row r="21" spans="2:9" ht="15" customHeight="1" x14ac:dyDescent="0.2">
      <c r="E21" s="11">
        <f>LTBL_47315[[#Totals],[個人／事業所数]]/LTBL_47315[[#Totals],[総数／事業所数]]</f>
        <v>0.77619047619047621</v>
      </c>
      <c r="G21" s="11">
        <f>LTBL_47315[[#Totals],[法人／事業所数]]/LTBL_47315[[#Totals],[総数／事業所数]]</f>
        <v>0.1761904761904762</v>
      </c>
      <c r="I21" s="11">
        <f>LTBL_47315[[#Totals],[法人以外の団体／事業所数]]/LTBL_47315[[#Totals],[総数／事業所数]]</f>
        <v>4.7619047619047623E-3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77</v>
      </c>
      <c r="C24" s="12">
        <v>50</v>
      </c>
      <c r="D24" s="8">
        <v>23.81</v>
      </c>
      <c r="E24" s="12">
        <v>48</v>
      </c>
      <c r="F24" s="8">
        <v>29.45</v>
      </c>
      <c r="G24" s="12">
        <v>2</v>
      </c>
      <c r="H24" s="8">
        <v>5.41</v>
      </c>
      <c r="I24" s="12">
        <v>0</v>
      </c>
    </row>
    <row r="25" spans="2:9" ht="15" customHeight="1" x14ac:dyDescent="0.2">
      <c r="B25" t="s">
        <v>69</v>
      </c>
      <c r="C25" s="12">
        <v>27</v>
      </c>
      <c r="D25" s="8">
        <v>12.86</v>
      </c>
      <c r="E25" s="12">
        <v>23</v>
      </c>
      <c r="F25" s="8">
        <v>14.11</v>
      </c>
      <c r="G25" s="12">
        <v>4</v>
      </c>
      <c r="H25" s="8">
        <v>10.81</v>
      </c>
      <c r="I25" s="12">
        <v>0</v>
      </c>
    </row>
    <row r="26" spans="2:9" ht="15" customHeight="1" x14ac:dyDescent="0.2">
      <c r="B26" t="s">
        <v>78</v>
      </c>
      <c r="C26" s="12">
        <v>16</v>
      </c>
      <c r="D26" s="8">
        <v>7.62</v>
      </c>
      <c r="E26" s="12">
        <v>16</v>
      </c>
      <c r="F26" s="8">
        <v>9.82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76</v>
      </c>
      <c r="C27" s="12">
        <v>15</v>
      </c>
      <c r="D27" s="8">
        <v>7.14</v>
      </c>
      <c r="E27" s="12">
        <v>14</v>
      </c>
      <c r="F27" s="8">
        <v>8.59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73</v>
      </c>
      <c r="C28" s="12">
        <v>13</v>
      </c>
      <c r="D28" s="8">
        <v>6.19</v>
      </c>
      <c r="E28" s="12">
        <v>13</v>
      </c>
      <c r="F28" s="8">
        <v>7.98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71</v>
      </c>
      <c r="C29" s="12">
        <v>12</v>
      </c>
      <c r="D29" s="8">
        <v>5.71</v>
      </c>
      <c r="E29" s="12">
        <v>8</v>
      </c>
      <c r="F29" s="8">
        <v>4.91</v>
      </c>
      <c r="G29" s="12">
        <v>4</v>
      </c>
      <c r="H29" s="8">
        <v>10.81</v>
      </c>
      <c r="I29" s="12">
        <v>0</v>
      </c>
    </row>
    <row r="30" spans="2:9" ht="15" customHeight="1" x14ac:dyDescent="0.2">
      <c r="B30" t="s">
        <v>65</v>
      </c>
      <c r="C30" s="12">
        <v>10</v>
      </c>
      <c r="D30" s="8">
        <v>4.76</v>
      </c>
      <c r="E30" s="12">
        <v>1</v>
      </c>
      <c r="F30" s="8">
        <v>0.61</v>
      </c>
      <c r="G30" s="12">
        <v>9</v>
      </c>
      <c r="H30" s="8">
        <v>24.32</v>
      </c>
      <c r="I30" s="12">
        <v>0</v>
      </c>
    </row>
    <row r="31" spans="2:9" ht="15" customHeight="1" x14ac:dyDescent="0.2">
      <c r="B31" t="s">
        <v>67</v>
      </c>
      <c r="C31" s="12">
        <v>6</v>
      </c>
      <c r="D31" s="8">
        <v>2.86</v>
      </c>
      <c r="E31" s="12">
        <v>5</v>
      </c>
      <c r="F31" s="8">
        <v>3.07</v>
      </c>
      <c r="G31" s="12">
        <v>1</v>
      </c>
      <c r="H31" s="8">
        <v>2.7</v>
      </c>
      <c r="I31" s="12">
        <v>0</v>
      </c>
    </row>
    <row r="32" spans="2:9" ht="15" customHeight="1" x14ac:dyDescent="0.2">
      <c r="B32" t="s">
        <v>81</v>
      </c>
      <c r="C32" s="12">
        <v>6</v>
      </c>
      <c r="D32" s="8">
        <v>2.86</v>
      </c>
      <c r="E32" s="12">
        <v>4</v>
      </c>
      <c r="F32" s="8">
        <v>2.4500000000000002</v>
      </c>
      <c r="G32" s="12">
        <v>1</v>
      </c>
      <c r="H32" s="8">
        <v>2.7</v>
      </c>
      <c r="I32" s="12">
        <v>0</v>
      </c>
    </row>
    <row r="33" spans="2:9" ht="15" customHeight="1" x14ac:dyDescent="0.2">
      <c r="B33" t="s">
        <v>88</v>
      </c>
      <c r="C33" s="12">
        <v>5</v>
      </c>
      <c r="D33" s="8">
        <v>2.38</v>
      </c>
      <c r="E33" s="12">
        <v>2</v>
      </c>
      <c r="F33" s="8">
        <v>1.23</v>
      </c>
      <c r="G33" s="12">
        <v>3</v>
      </c>
      <c r="H33" s="8">
        <v>8.11</v>
      </c>
      <c r="I33" s="12">
        <v>0</v>
      </c>
    </row>
    <row r="34" spans="2:9" ht="15" customHeight="1" x14ac:dyDescent="0.2">
      <c r="B34" t="s">
        <v>70</v>
      </c>
      <c r="C34" s="12">
        <v>5</v>
      </c>
      <c r="D34" s="8">
        <v>2.38</v>
      </c>
      <c r="E34" s="12">
        <v>5</v>
      </c>
      <c r="F34" s="8">
        <v>3.07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80</v>
      </c>
      <c r="C35" s="12">
        <v>5</v>
      </c>
      <c r="D35" s="8">
        <v>2.38</v>
      </c>
      <c r="E35" s="12">
        <v>3</v>
      </c>
      <c r="F35" s="8">
        <v>1.84</v>
      </c>
      <c r="G35" s="12">
        <v>0</v>
      </c>
      <c r="H35" s="8">
        <v>0</v>
      </c>
      <c r="I35" s="12">
        <v>1</v>
      </c>
    </row>
    <row r="36" spans="2:9" ht="15" customHeight="1" x14ac:dyDescent="0.2">
      <c r="B36" t="s">
        <v>66</v>
      </c>
      <c r="C36" s="12">
        <v>4</v>
      </c>
      <c r="D36" s="8">
        <v>1.9</v>
      </c>
      <c r="E36" s="12">
        <v>4</v>
      </c>
      <c r="F36" s="8">
        <v>2.4500000000000002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89</v>
      </c>
      <c r="C37" s="12">
        <v>4</v>
      </c>
      <c r="D37" s="8">
        <v>1.9</v>
      </c>
      <c r="E37" s="12">
        <v>3</v>
      </c>
      <c r="F37" s="8">
        <v>1.84</v>
      </c>
      <c r="G37" s="12">
        <v>1</v>
      </c>
      <c r="H37" s="8">
        <v>2.7</v>
      </c>
      <c r="I37" s="12">
        <v>0</v>
      </c>
    </row>
    <row r="38" spans="2:9" ht="15" customHeight="1" x14ac:dyDescent="0.2">
      <c r="B38" t="s">
        <v>79</v>
      </c>
      <c r="C38" s="12">
        <v>4</v>
      </c>
      <c r="D38" s="8">
        <v>1.9</v>
      </c>
      <c r="E38" s="12">
        <v>2</v>
      </c>
      <c r="F38" s="8">
        <v>1.23</v>
      </c>
      <c r="G38" s="12">
        <v>1</v>
      </c>
      <c r="H38" s="8">
        <v>2.7</v>
      </c>
      <c r="I38" s="12">
        <v>0</v>
      </c>
    </row>
    <row r="39" spans="2:9" ht="15" customHeight="1" x14ac:dyDescent="0.2">
      <c r="B39" t="s">
        <v>104</v>
      </c>
      <c r="C39" s="12">
        <v>4</v>
      </c>
      <c r="D39" s="8">
        <v>1.9</v>
      </c>
      <c r="E39" s="12">
        <v>1</v>
      </c>
      <c r="F39" s="8">
        <v>0.61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97</v>
      </c>
      <c r="C40" s="12">
        <v>3</v>
      </c>
      <c r="D40" s="8">
        <v>1.43</v>
      </c>
      <c r="E40" s="12">
        <v>0</v>
      </c>
      <c r="F40" s="8">
        <v>0</v>
      </c>
      <c r="G40" s="12">
        <v>2</v>
      </c>
      <c r="H40" s="8">
        <v>5.41</v>
      </c>
      <c r="I40" s="12">
        <v>0</v>
      </c>
    </row>
    <row r="41" spans="2:9" ht="15" customHeight="1" x14ac:dyDescent="0.2">
      <c r="B41" t="s">
        <v>68</v>
      </c>
      <c r="C41" s="12">
        <v>3</v>
      </c>
      <c r="D41" s="8">
        <v>1.43</v>
      </c>
      <c r="E41" s="12">
        <v>3</v>
      </c>
      <c r="F41" s="8">
        <v>1.84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83</v>
      </c>
      <c r="C42" s="12">
        <v>3</v>
      </c>
      <c r="D42" s="8">
        <v>1.43</v>
      </c>
      <c r="E42" s="12">
        <v>0</v>
      </c>
      <c r="F42" s="8">
        <v>0</v>
      </c>
      <c r="G42" s="12">
        <v>3</v>
      </c>
      <c r="H42" s="8">
        <v>8.11</v>
      </c>
      <c r="I42" s="12">
        <v>0</v>
      </c>
    </row>
    <row r="43" spans="2:9" ht="15" customHeight="1" x14ac:dyDescent="0.2">
      <c r="B43" t="s">
        <v>92</v>
      </c>
      <c r="C43" s="12">
        <v>2</v>
      </c>
      <c r="D43" s="8">
        <v>0.95</v>
      </c>
      <c r="E43" s="12">
        <v>1</v>
      </c>
      <c r="F43" s="8">
        <v>0.61</v>
      </c>
      <c r="G43" s="12">
        <v>1</v>
      </c>
      <c r="H43" s="8">
        <v>2.7</v>
      </c>
      <c r="I43" s="12">
        <v>0</v>
      </c>
    </row>
    <row r="44" spans="2:9" ht="15" customHeight="1" x14ac:dyDescent="0.2">
      <c r="B44" t="s">
        <v>107</v>
      </c>
      <c r="C44" s="12">
        <v>2</v>
      </c>
      <c r="D44" s="8">
        <v>0.95</v>
      </c>
      <c r="E44" s="12">
        <v>0</v>
      </c>
      <c r="F44" s="8">
        <v>0</v>
      </c>
      <c r="G44" s="12">
        <v>2</v>
      </c>
      <c r="H44" s="8">
        <v>5.41</v>
      </c>
      <c r="I44" s="12">
        <v>0</v>
      </c>
    </row>
    <row r="45" spans="2:9" ht="15" customHeight="1" x14ac:dyDescent="0.2">
      <c r="B45" t="s">
        <v>94</v>
      </c>
      <c r="C45" s="12">
        <v>2</v>
      </c>
      <c r="D45" s="8">
        <v>0.95</v>
      </c>
      <c r="E45" s="12">
        <v>1</v>
      </c>
      <c r="F45" s="8">
        <v>0.61</v>
      </c>
      <c r="G45" s="12">
        <v>1</v>
      </c>
      <c r="H45" s="8">
        <v>2.7</v>
      </c>
      <c r="I45" s="12">
        <v>0</v>
      </c>
    </row>
    <row r="46" spans="2:9" ht="15" customHeight="1" x14ac:dyDescent="0.2">
      <c r="B46" t="s">
        <v>75</v>
      </c>
      <c r="C46" s="12">
        <v>2</v>
      </c>
      <c r="D46" s="8">
        <v>0.95</v>
      </c>
      <c r="E46" s="12">
        <v>1</v>
      </c>
      <c r="F46" s="8">
        <v>0.61</v>
      </c>
      <c r="G46" s="12">
        <v>1</v>
      </c>
      <c r="H46" s="8">
        <v>2.7</v>
      </c>
      <c r="I46" s="12">
        <v>0</v>
      </c>
    </row>
    <row r="49" spans="2:9" ht="33" customHeight="1" x14ac:dyDescent="0.2">
      <c r="B49" t="s">
        <v>262</v>
      </c>
      <c r="C49" s="10" t="s">
        <v>58</v>
      </c>
      <c r="D49" s="10" t="s">
        <v>59</v>
      </c>
      <c r="E49" s="10" t="s">
        <v>60</v>
      </c>
      <c r="F49" s="10" t="s">
        <v>61</v>
      </c>
      <c r="G49" s="10" t="s">
        <v>62</v>
      </c>
      <c r="H49" s="10" t="s">
        <v>63</v>
      </c>
      <c r="I49" s="10" t="s">
        <v>64</v>
      </c>
    </row>
    <row r="50" spans="2:9" ht="15" customHeight="1" x14ac:dyDescent="0.2">
      <c r="B50" t="s">
        <v>133</v>
      </c>
      <c r="C50" s="12">
        <v>21</v>
      </c>
      <c r="D50" s="8">
        <v>10</v>
      </c>
      <c r="E50" s="12">
        <v>21</v>
      </c>
      <c r="F50" s="8">
        <v>12.88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123</v>
      </c>
      <c r="C51" s="12">
        <v>12</v>
      </c>
      <c r="D51" s="8">
        <v>5.71</v>
      </c>
      <c r="E51" s="12">
        <v>11</v>
      </c>
      <c r="F51" s="8">
        <v>6.75</v>
      </c>
      <c r="G51" s="12">
        <v>1</v>
      </c>
      <c r="H51" s="8">
        <v>2.7</v>
      </c>
      <c r="I51" s="12">
        <v>0</v>
      </c>
    </row>
    <row r="52" spans="2:9" ht="15" customHeight="1" x14ac:dyDescent="0.2">
      <c r="B52" t="s">
        <v>128</v>
      </c>
      <c r="C52" s="12">
        <v>12</v>
      </c>
      <c r="D52" s="8">
        <v>5.71</v>
      </c>
      <c r="E52" s="12">
        <v>12</v>
      </c>
      <c r="F52" s="8">
        <v>7.36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132</v>
      </c>
      <c r="C53" s="12">
        <v>12</v>
      </c>
      <c r="D53" s="8">
        <v>5.71</v>
      </c>
      <c r="E53" s="12">
        <v>12</v>
      </c>
      <c r="F53" s="8">
        <v>7.36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130</v>
      </c>
      <c r="C54" s="12">
        <v>9</v>
      </c>
      <c r="D54" s="8">
        <v>4.29</v>
      </c>
      <c r="E54" s="12">
        <v>9</v>
      </c>
      <c r="F54" s="8">
        <v>5.52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136</v>
      </c>
      <c r="C55" s="12">
        <v>8</v>
      </c>
      <c r="D55" s="8">
        <v>3.81</v>
      </c>
      <c r="E55" s="12">
        <v>8</v>
      </c>
      <c r="F55" s="8">
        <v>4.91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156</v>
      </c>
      <c r="C56" s="12">
        <v>6</v>
      </c>
      <c r="D56" s="8">
        <v>2.86</v>
      </c>
      <c r="E56" s="12">
        <v>6</v>
      </c>
      <c r="F56" s="8">
        <v>3.68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146</v>
      </c>
      <c r="C57" s="12">
        <v>5</v>
      </c>
      <c r="D57" s="8">
        <v>2.38</v>
      </c>
      <c r="E57" s="12">
        <v>4</v>
      </c>
      <c r="F57" s="8">
        <v>2.4500000000000002</v>
      </c>
      <c r="G57" s="12">
        <v>1</v>
      </c>
      <c r="H57" s="8">
        <v>2.7</v>
      </c>
      <c r="I57" s="12">
        <v>0</v>
      </c>
    </row>
    <row r="58" spans="2:9" ht="15" customHeight="1" x14ac:dyDescent="0.2">
      <c r="B58" t="s">
        <v>148</v>
      </c>
      <c r="C58" s="12">
        <v>5</v>
      </c>
      <c r="D58" s="8">
        <v>2.38</v>
      </c>
      <c r="E58" s="12">
        <v>5</v>
      </c>
      <c r="F58" s="8">
        <v>3.07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149</v>
      </c>
      <c r="C59" s="12">
        <v>5</v>
      </c>
      <c r="D59" s="8">
        <v>2.38</v>
      </c>
      <c r="E59" s="12">
        <v>4</v>
      </c>
      <c r="F59" s="8">
        <v>2.4500000000000002</v>
      </c>
      <c r="G59" s="12">
        <v>1</v>
      </c>
      <c r="H59" s="8">
        <v>2.7</v>
      </c>
      <c r="I59" s="12">
        <v>0</v>
      </c>
    </row>
    <row r="60" spans="2:9" ht="15" customHeight="1" x14ac:dyDescent="0.2">
      <c r="B60" t="s">
        <v>122</v>
      </c>
      <c r="C60" s="12">
        <v>4</v>
      </c>
      <c r="D60" s="8">
        <v>1.9</v>
      </c>
      <c r="E60" s="12">
        <v>0</v>
      </c>
      <c r="F60" s="8">
        <v>0</v>
      </c>
      <c r="G60" s="12">
        <v>4</v>
      </c>
      <c r="H60" s="8">
        <v>10.81</v>
      </c>
      <c r="I60" s="12">
        <v>0</v>
      </c>
    </row>
    <row r="61" spans="2:9" ht="15" customHeight="1" x14ac:dyDescent="0.2">
      <c r="B61" t="s">
        <v>163</v>
      </c>
      <c r="C61" s="12">
        <v>4</v>
      </c>
      <c r="D61" s="8">
        <v>1.9</v>
      </c>
      <c r="E61" s="12">
        <v>1</v>
      </c>
      <c r="F61" s="8">
        <v>0.61</v>
      </c>
      <c r="G61" s="12">
        <v>3</v>
      </c>
      <c r="H61" s="8">
        <v>8.11</v>
      </c>
      <c r="I61" s="12">
        <v>0</v>
      </c>
    </row>
    <row r="62" spans="2:9" ht="15" customHeight="1" x14ac:dyDescent="0.2">
      <c r="B62" t="s">
        <v>144</v>
      </c>
      <c r="C62" s="12">
        <v>4</v>
      </c>
      <c r="D62" s="8">
        <v>1.9</v>
      </c>
      <c r="E62" s="12">
        <v>3</v>
      </c>
      <c r="F62" s="8">
        <v>1.84</v>
      </c>
      <c r="G62" s="12">
        <v>1</v>
      </c>
      <c r="H62" s="8">
        <v>2.7</v>
      </c>
      <c r="I62" s="12">
        <v>0</v>
      </c>
    </row>
    <row r="63" spans="2:9" ht="15" customHeight="1" x14ac:dyDescent="0.2">
      <c r="B63" t="s">
        <v>131</v>
      </c>
      <c r="C63" s="12">
        <v>4</v>
      </c>
      <c r="D63" s="8">
        <v>1.9</v>
      </c>
      <c r="E63" s="12">
        <v>4</v>
      </c>
      <c r="F63" s="8">
        <v>2.4500000000000002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207</v>
      </c>
      <c r="C64" s="12">
        <v>4</v>
      </c>
      <c r="D64" s="8">
        <v>1.9</v>
      </c>
      <c r="E64" s="12">
        <v>4</v>
      </c>
      <c r="F64" s="8">
        <v>2.4500000000000002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135</v>
      </c>
      <c r="C65" s="12">
        <v>4</v>
      </c>
      <c r="D65" s="8">
        <v>1.9</v>
      </c>
      <c r="E65" s="12">
        <v>4</v>
      </c>
      <c r="F65" s="8">
        <v>2.4500000000000002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151</v>
      </c>
      <c r="C66" s="12">
        <v>3</v>
      </c>
      <c r="D66" s="8">
        <v>1.43</v>
      </c>
      <c r="E66" s="12">
        <v>1</v>
      </c>
      <c r="F66" s="8">
        <v>0.61</v>
      </c>
      <c r="G66" s="12">
        <v>2</v>
      </c>
      <c r="H66" s="8">
        <v>5.41</v>
      </c>
      <c r="I66" s="12">
        <v>0</v>
      </c>
    </row>
    <row r="67" spans="2:9" ht="15" customHeight="1" x14ac:dyDescent="0.2">
      <c r="B67" t="s">
        <v>173</v>
      </c>
      <c r="C67" s="12">
        <v>3</v>
      </c>
      <c r="D67" s="8">
        <v>1.43</v>
      </c>
      <c r="E67" s="12">
        <v>3</v>
      </c>
      <c r="F67" s="8">
        <v>1.84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175</v>
      </c>
      <c r="C68" s="12">
        <v>3</v>
      </c>
      <c r="D68" s="8">
        <v>1.43</v>
      </c>
      <c r="E68" s="12">
        <v>3</v>
      </c>
      <c r="F68" s="8">
        <v>1.84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161</v>
      </c>
      <c r="C69" s="12">
        <v>3</v>
      </c>
      <c r="D69" s="8">
        <v>1.43</v>
      </c>
      <c r="E69" s="12">
        <v>3</v>
      </c>
      <c r="F69" s="8">
        <v>1.84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150</v>
      </c>
      <c r="C70" s="12">
        <v>3</v>
      </c>
      <c r="D70" s="8">
        <v>1.43</v>
      </c>
      <c r="E70" s="12">
        <v>3</v>
      </c>
      <c r="F70" s="8">
        <v>1.84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139</v>
      </c>
      <c r="C71" s="12">
        <v>3</v>
      </c>
      <c r="D71" s="8">
        <v>1.43</v>
      </c>
      <c r="E71" s="12">
        <v>3</v>
      </c>
      <c r="F71" s="8">
        <v>1.84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203</v>
      </c>
      <c r="C72" s="12">
        <v>3</v>
      </c>
      <c r="D72" s="8">
        <v>1.43</v>
      </c>
      <c r="E72" s="12">
        <v>1</v>
      </c>
      <c r="F72" s="8">
        <v>0.61</v>
      </c>
      <c r="G72" s="12">
        <v>0</v>
      </c>
      <c r="H72" s="8">
        <v>0</v>
      </c>
      <c r="I72" s="12">
        <v>0</v>
      </c>
    </row>
    <row r="74" spans="2:9" ht="15" customHeight="1" x14ac:dyDescent="0.2">
      <c r="B74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D73B7-1E8D-4717-B996-20AF1602B455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284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66</v>
      </c>
      <c r="D6" s="8">
        <v>9.3800000000000008</v>
      </c>
      <c r="E6" s="12">
        <v>30</v>
      </c>
      <c r="F6" s="8">
        <v>5.59</v>
      </c>
      <c r="G6" s="12">
        <v>36</v>
      </c>
      <c r="H6" s="8">
        <v>22.93</v>
      </c>
      <c r="I6" s="12">
        <v>0</v>
      </c>
    </row>
    <row r="7" spans="2:9" ht="15" customHeight="1" x14ac:dyDescent="0.2">
      <c r="B7" t="s">
        <v>44</v>
      </c>
      <c r="C7" s="12">
        <v>143</v>
      </c>
      <c r="D7" s="8">
        <v>20.309999999999999</v>
      </c>
      <c r="E7" s="12">
        <v>131</v>
      </c>
      <c r="F7" s="8">
        <v>24.39</v>
      </c>
      <c r="G7" s="12">
        <v>12</v>
      </c>
      <c r="H7" s="8">
        <v>7.64</v>
      </c>
      <c r="I7" s="12">
        <v>0</v>
      </c>
    </row>
    <row r="8" spans="2:9" ht="15" customHeight="1" x14ac:dyDescent="0.2">
      <c r="B8" t="s">
        <v>45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46</v>
      </c>
      <c r="C9" s="12">
        <v>2</v>
      </c>
      <c r="D9" s="8">
        <v>0.28000000000000003</v>
      </c>
      <c r="E9" s="12">
        <v>0</v>
      </c>
      <c r="F9" s="8">
        <v>0</v>
      </c>
      <c r="G9" s="12">
        <v>2</v>
      </c>
      <c r="H9" s="8">
        <v>1.27</v>
      </c>
      <c r="I9" s="12">
        <v>0</v>
      </c>
    </row>
    <row r="10" spans="2:9" ht="15" customHeight="1" x14ac:dyDescent="0.2">
      <c r="B10" t="s">
        <v>47</v>
      </c>
      <c r="C10" s="12">
        <v>8</v>
      </c>
      <c r="D10" s="8">
        <v>1.1399999999999999</v>
      </c>
      <c r="E10" s="12">
        <v>5</v>
      </c>
      <c r="F10" s="8">
        <v>0.93</v>
      </c>
      <c r="G10" s="12">
        <v>2</v>
      </c>
      <c r="H10" s="8">
        <v>1.27</v>
      </c>
      <c r="I10" s="12">
        <v>0</v>
      </c>
    </row>
    <row r="11" spans="2:9" ht="15" customHeight="1" x14ac:dyDescent="0.2">
      <c r="B11" t="s">
        <v>48</v>
      </c>
      <c r="C11" s="12">
        <v>102</v>
      </c>
      <c r="D11" s="8">
        <v>14.49</v>
      </c>
      <c r="E11" s="12">
        <v>80</v>
      </c>
      <c r="F11" s="8">
        <v>14.9</v>
      </c>
      <c r="G11" s="12">
        <v>22</v>
      </c>
      <c r="H11" s="8">
        <v>14.01</v>
      </c>
      <c r="I11" s="12">
        <v>0</v>
      </c>
    </row>
    <row r="12" spans="2:9" ht="15" customHeight="1" x14ac:dyDescent="0.2">
      <c r="B12" t="s">
        <v>49</v>
      </c>
      <c r="C12" s="12">
        <v>5</v>
      </c>
      <c r="D12" s="8">
        <v>0.71</v>
      </c>
      <c r="E12" s="12">
        <v>2</v>
      </c>
      <c r="F12" s="8">
        <v>0.37</v>
      </c>
      <c r="G12" s="12">
        <v>3</v>
      </c>
      <c r="H12" s="8">
        <v>1.91</v>
      </c>
      <c r="I12" s="12">
        <v>0</v>
      </c>
    </row>
    <row r="13" spans="2:9" ht="15" customHeight="1" x14ac:dyDescent="0.2">
      <c r="B13" t="s">
        <v>50</v>
      </c>
      <c r="C13" s="12">
        <v>57</v>
      </c>
      <c r="D13" s="8">
        <v>8.1</v>
      </c>
      <c r="E13" s="12">
        <v>26</v>
      </c>
      <c r="F13" s="8">
        <v>4.84</v>
      </c>
      <c r="G13" s="12">
        <v>31</v>
      </c>
      <c r="H13" s="8">
        <v>19.75</v>
      </c>
      <c r="I13" s="12">
        <v>0</v>
      </c>
    </row>
    <row r="14" spans="2:9" ht="15" customHeight="1" x14ac:dyDescent="0.2">
      <c r="B14" t="s">
        <v>51</v>
      </c>
      <c r="C14" s="12">
        <v>17</v>
      </c>
      <c r="D14" s="8">
        <v>2.41</v>
      </c>
      <c r="E14" s="12">
        <v>11</v>
      </c>
      <c r="F14" s="8">
        <v>2.0499999999999998</v>
      </c>
      <c r="G14" s="12">
        <v>6</v>
      </c>
      <c r="H14" s="8">
        <v>3.82</v>
      </c>
      <c r="I14" s="12">
        <v>0</v>
      </c>
    </row>
    <row r="15" spans="2:9" ht="15" customHeight="1" x14ac:dyDescent="0.2">
      <c r="B15" t="s">
        <v>52</v>
      </c>
      <c r="C15" s="12">
        <v>94</v>
      </c>
      <c r="D15" s="8">
        <v>13.35</v>
      </c>
      <c r="E15" s="12">
        <v>90</v>
      </c>
      <c r="F15" s="8">
        <v>16.760000000000002</v>
      </c>
      <c r="G15" s="12">
        <v>4</v>
      </c>
      <c r="H15" s="8">
        <v>2.5499999999999998</v>
      </c>
      <c r="I15" s="12">
        <v>0</v>
      </c>
    </row>
    <row r="16" spans="2:9" ht="15" customHeight="1" x14ac:dyDescent="0.2">
      <c r="B16" t="s">
        <v>53</v>
      </c>
      <c r="C16" s="12">
        <v>99</v>
      </c>
      <c r="D16" s="8">
        <v>14.06</v>
      </c>
      <c r="E16" s="12">
        <v>86</v>
      </c>
      <c r="F16" s="8">
        <v>16.010000000000002</v>
      </c>
      <c r="G16" s="12">
        <v>11</v>
      </c>
      <c r="H16" s="8">
        <v>7.01</v>
      </c>
      <c r="I16" s="12">
        <v>0</v>
      </c>
    </row>
    <row r="17" spans="2:9" ht="15" customHeight="1" x14ac:dyDescent="0.2">
      <c r="B17" t="s">
        <v>54</v>
      </c>
      <c r="C17" s="12">
        <v>45</v>
      </c>
      <c r="D17" s="8">
        <v>6.39</v>
      </c>
      <c r="E17" s="12">
        <v>38</v>
      </c>
      <c r="F17" s="8">
        <v>7.08</v>
      </c>
      <c r="G17" s="12">
        <v>4</v>
      </c>
      <c r="H17" s="8">
        <v>2.5499999999999998</v>
      </c>
      <c r="I17" s="12">
        <v>3</v>
      </c>
    </row>
    <row r="18" spans="2:9" ht="15" customHeight="1" x14ac:dyDescent="0.2">
      <c r="B18" t="s">
        <v>55</v>
      </c>
      <c r="C18" s="12">
        <v>36</v>
      </c>
      <c r="D18" s="8">
        <v>5.1100000000000003</v>
      </c>
      <c r="E18" s="12">
        <v>17</v>
      </c>
      <c r="F18" s="8">
        <v>3.17</v>
      </c>
      <c r="G18" s="12">
        <v>17</v>
      </c>
      <c r="H18" s="8">
        <v>10.83</v>
      </c>
      <c r="I18" s="12">
        <v>0</v>
      </c>
    </row>
    <row r="19" spans="2:9" ht="15" customHeight="1" x14ac:dyDescent="0.2">
      <c r="B19" t="s">
        <v>56</v>
      </c>
      <c r="C19" s="12">
        <v>30</v>
      </c>
      <c r="D19" s="8">
        <v>4.26</v>
      </c>
      <c r="E19" s="12">
        <v>21</v>
      </c>
      <c r="F19" s="8">
        <v>3.91</v>
      </c>
      <c r="G19" s="12">
        <v>7</v>
      </c>
      <c r="H19" s="8">
        <v>4.46</v>
      </c>
      <c r="I19" s="12">
        <v>2</v>
      </c>
    </row>
    <row r="20" spans="2:9" ht="15" customHeight="1" x14ac:dyDescent="0.2">
      <c r="B20" s="9" t="s">
        <v>260</v>
      </c>
      <c r="C20" s="12">
        <f>SUM(LTBL_47324[総数／事業所数])</f>
        <v>704</v>
      </c>
      <c r="E20" s="12">
        <f>SUBTOTAL(109,LTBL_47324[個人／事業所数])</f>
        <v>537</v>
      </c>
      <c r="G20" s="12">
        <f>SUBTOTAL(109,LTBL_47324[法人／事業所数])</f>
        <v>157</v>
      </c>
      <c r="I20" s="12">
        <f>SUBTOTAL(109,LTBL_47324[法人以外の団体／事業所数])</f>
        <v>5</v>
      </c>
    </row>
    <row r="21" spans="2:9" ht="15" customHeight="1" x14ac:dyDescent="0.2">
      <c r="E21" s="11">
        <f>LTBL_47324[[#Totals],[個人／事業所数]]/LTBL_47324[[#Totals],[総数／事業所数]]</f>
        <v>0.76278409090909094</v>
      </c>
      <c r="G21" s="11">
        <f>LTBL_47324[[#Totals],[法人／事業所数]]/LTBL_47324[[#Totals],[総数／事業所数]]</f>
        <v>0.22301136363636365</v>
      </c>
      <c r="I21" s="11">
        <f>LTBL_47324[[#Totals],[法人以外の団体／事業所数]]/LTBL_47324[[#Totals],[総数／事業所数]]</f>
        <v>7.102272727272727E-3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77</v>
      </c>
      <c r="C24" s="12">
        <v>82</v>
      </c>
      <c r="D24" s="8">
        <v>11.65</v>
      </c>
      <c r="E24" s="12">
        <v>81</v>
      </c>
      <c r="F24" s="8">
        <v>15.08</v>
      </c>
      <c r="G24" s="12">
        <v>1</v>
      </c>
      <c r="H24" s="8">
        <v>0.64</v>
      </c>
      <c r="I24" s="12">
        <v>0</v>
      </c>
    </row>
    <row r="25" spans="2:9" ht="15" customHeight="1" x14ac:dyDescent="0.2">
      <c r="B25" t="s">
        <v>78</v>
      </c>
      <c r="C25" s="12">
        <v>81</v>
      </c>
      <c r="D25" s="8">
        <v>11.51</v>
      </c>
      <c r="E25" s="12">
        <v>75</v>
      </c>
      <c r="F25" s="8">
        <v>13.97</v>
      </c>
      <c r="G25" s="12">
        <v>6</v>
      </c>
      <c r="H25" s="8">
        <v>3.82</v>
      </c>
      <c r="I25" s="12">
        <v>0</v>
      </c>
    </row>
    <row r="26" spans="2:9" ht="15" customHeight="1" x14ac:dyDescent="0.2">
      <c r="B26" t="s">
        <v>98</v>
      </c>
      <c r="C26" s="12">
        <v>78</v>
      </c>
      <c r="D26" s="8">
        <v>11.08</v>
      </c>
      <c r="E26" s="12">
        <v>78</v>
      </c>
      <c r="F26" s="8">
        <v>14.53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73</v>
      </c>
      <c r="C27" s="12">
        <v>46</v>
      </c>
      <c r="D27" s="8">
        <v>6.53</v>
      </c>
      <c r="E27" s="12">
        <v>23</v>
      </c>
      <c r="F27" s="8">
        <v>4.28</v>
      </c>
      <c r="G27" s="12">
        <v>23</v>
      </c>
      <c r="H27" s="8">
        <v>14.65</v>
      </c>
      <c r="I27" s="12">
        <v>0</v>
      </c>
    </row>
    <row r="28" spans="2:9" ht="15" customHeight="1" x14ac:dyDescent="0.2">
      <c r="B28" t="s">
        <v>71</v>
      </c>
      <c r="C28" s="12">
        <v>45</v>
      </c>
      <c r="D28" s="8">
        <v>6.39</v>
      </c>
      <c r="E28" s="12">
        <v>35</v>
      </c>
      <c r="F28" s="8">
        <v>6.52</v>
      </c>
      <c r="G28" s="12">
        <v>10</v>
      </c>
      <c r="H28" s="8">
        <v>6.37</v>
      </c>
      <c r="I28" s="12">
        <v>0</v>
      </c>
    </row>
    <row r="29" spans="2:9" ht="15" customHeight="1" x14ac:dyDescent="0.2">
      <c r="B29" t="s">
        <v>81</v>
      </c>
      <c r="C29" s="12">
        <v>45</v>
      </c>
      <c r="D29" s="8">
        <v>6.39</v>
      </c>
      <c r="E29" s="12">
        <v>38</v>
      </c>
      <c r="F29" s="8">
        <v>7.08</v>
      </c>
      <c r="G29" s="12">
        <v>4</v>
      </c>
      <c r="H29" s="8">
        <v>2.5499999999999998</v>
      </c>
      <c r="I29" s="12">
        <v>3</v>
      </c>
    </row>
    <row r="30" spans="2:9" ht="15" customHeight="1" x14ac:dyDescent="0.2">
      <c r="B30" t="s">
        <v>95</v>
      </c>
      <c r="C30" s="12">
        <v>42</v>
      </c>
      <c r="D30" s="8">
        <v>5.97</v>
      </c>
      <c r="E30" s="12">
        <v>37</v>
      </c>
      <c r="F30" s="8">
        <v>6.89</v>
      </c>
      <c r="G30" s="12">
        <v>5</v>
      </c>
      <c r="H30" s="8">
        <v>3.18</v>
      </c>
      <c r="I30" s="12">
        <v>0</v>
      </c>
    </row>
    <row r="31" spans="2:9" ht="15" customHeight="1" x14ac:dyDescent="0.2">
      <c r="B31" t="s">
        <v>69</v>
      </c>
      <c r="C31" s="12">
        <v>28</v>
      </c>
      <c r="D31" s="8">
        <v>3.98</v>
      </c>
      <c r="E31" s="12">
        <v>24</v>
      </c>
      <c r="F31" s="8">
        <v>4.47</v>
      </c>
      <c r="G31" s="12">
        <v>4</v>
      </c>
      <c r="H31" s="8">
        <v>2.5499999999999998</v>
      </c>
      <c r="I31" s="12">
        <v>0</v>
      </c>
    </row>
    <row r="32" spans="2:9" ht="15" customHeight="1" x14ac:dyDescent="0.2">
      <c r="B32" t="s">
        <v>67</v>
      </c>
      <c r="C32" s="12">
        <v>27</v>
      </c>
      <c r="D32" s="8">
        <v>3.84</v>
      </c>
      <c r="E32" s="12">
        <v>11</v>
      </c>
      <c r="F32" s="8">
        <v>2.0499999999999998</v>
      </c>
      <c r="G32" s="12">
        <v>16</v>
      </c>
      <c r="H32" s="8">
        <v>10.19</v>
      </c>
      <c r="I32" s="12">
        <v>0</v>
      </c>
    </row>
    <row r="33" spans="2:9" ht="15" customHeight="1" x14ac:dyDescent="0.2">
      <c r="B33" t="s">
        <v>65</v>
      </c>
      <c r="C33" s="12">
        <v>26</v>
      </c>
      <c r="D33" s="8">
        <v>3.69</v>
      </c>
      <c r="E33" s="12">
        <v>9</v>
      </c>
      <c r="F33" s="8">
        <v>1.68</v>
      </c>
      <c r="G33" s="12">
        <v>17</v>
      </c>
      <c r="H33" s="8">
        <v>10.83</v>
      </c>
      <c r="I33" s="12">
        <v>0</v>
      </c>
    </row>
    <row r="34" spans="2:9" ht="15" customHeight="1" x14ac:dyDescent="0.2">
      <c r="B34" t="s">
        <v>84</v>
      </c>
      <c r="C34" s="12">
        <v>22</v>
      </c>
      <c r="D34" s="8">
        <v>3.13</v>
      </c>
      <c r="E34" s="12">
        <v>19</v>
      </c>
      <c r="F34" s="8">
        <v>3.54</v>
      </c>
      <c r="G34" s="12">
        <v>3</v>
      </c>
      <c r="H34" s="8">
        <v>1.91</v>
      </c>
      <c r="I34" s="12">
        <v>0</v>
      </c>
    </row>
    <row r="35" spans="2:9" ht="15" customHeight="1" x14ac:dyDescent="0.2">
      <c r="B35" t="s">
        <v>83</v>
      </c>
      <c r="C35" s="12">
        <v>21</v>
      </c>
      <c r="D35" s="8">
        <v>2.98</v>
      </c>
      <c r="E35" s="12">
        <v>5</v>
      </c>
      <c r="F35" s="8">
        <v>0.93</v>
      </c>
      <c r="G35" s="12">
        <v>14</v>
      </c>
      <c r="H35" s="8">
        <v>8.92</v>
      </c>
      <c r="I35" s="12">
        <v>0</v>
      </c>
    </row>
    <row r="36" spans="2:9" ht="15" customHeight="1" x14ac:dyDescent="0.2">
      <c r="B36" t="s">
        <v>82</v>
      </c>
      <c r="C36" s="12">
        <v>15</v>
      </c>
      <c r="D36" s="8">
        <v>2.13</v>
      </c>
      <c r="E36" s="12">
        <v>12</v>
      </c>
      <c r="F36" s="8">
        <v>2.23</v>
      </c>
      <c r="G36" s="12">
        <v>3</v>
      </c>
      <c r="H36" s="8">
        <v>1.91</v>
      </c>
      <c r="I36" s="12">
        <v>0</v>
      </c>
    </row>
    <row r="37" spans="2:9" ht="15" customHeight="1" x14ac:dyDescent="0.2">
      <c r="B37" t="s">
        <v>70</v>
      </c>
      <c r="C37" s="12">
        <v>14</v>
      </c>
      <c r="D37" s="8">
        <v>1.99</v>
      </c>
      <c r="E37" s="12">
        <v>12</v>
      </c>
      <c r="F37" s="8">
        <v>2.23</v>
      </c>
      <c r="G37" s="12">
        <v>2</v>
      </c>
      <c r="H37" s="8">
        <v>1.27</v>
      </c>
      <c r="I37" s="12">
        <v>0</v>
      </c>
    </row>
    <row r="38" spans="2:9" ht="15" customHeight="1" x14ac:dyDescent="0.2">
      <c r="B38" t="s">
        <v>66</v>
      </c>
      <c r="C38" s="12">
        <v>13</v>
      </c>
      <c r="D38" s="8">
        <v>1.85</v>
      </c>
      <c r="E38" s="12">
        <v>10</v>
      </c>
      <c r="F38" s="8">
        <v>1.86</v>
      </c>
      <c r="G38" s="12">
        <v>3</v>
      </c>
      <c r="H38" s="8">
        <v>1.91</v>
      </c>
      <c r="I38" s="12">
        <v>0</v>
      </c>
    </row>
    <row r="39" spans="2:9" ht="15" customHeight="1" x14ac:dyDescent="0.2">
      <c r="B39" t="s">
        <v>80</v>
      </c>
      <c r="C39" s="12">
        <v>11</v>
      </c>
      <c r="D39" s="8">
        <v>1.56</v>
      </c>
      <c r="E39" s="12">
        <v>7</v>
      </c>
      <c r="F39" s="8">
        <v>1.3</v>
      </c>
      <c r="G39" s="12">
        <v>2</v>
      </c>
      <c r="H39" s="8">
        <v>1.27</v>
      </c>
      <c r="I39" s="12">
        <v>0</v>
      </c>
    </row>
    <row r="40" spans="2:9" ht="15" customHeight="1" x14ac:dyDescent="0.2">
      <c r="B40" t="s">
        <v>75</v>
      </c>
      <c r="C40" s="12">
        <v>9</v>
      </c>
      <c r="D40" s="8">
        <v>1.28</v>
      </c>
      <c r="E40" s="12">
        <v>7</v>
      </c>
      <c r="F40" s="8">
        <v>1.3</v>
      </c>
      <c r="G40" s="12">
        <v>2</v>
      </c>
      <c r="H40" s="8">
        <v>1.27</v>
      </c>
      <c r="I40" s="12">
        <v>0</v>
      </c>
    </row>
    <row r="41" spans="2:9" ht="15" customHeight="1" x14ac:dyDescent="0.2">
      <c r="B41" t="s">
        <v>74</v>
      </c>
      <c r="C41" s="12">
        <v>7</v>
      </c>
      <c r="D41" s="8">
        <v>0.99</v>
      </c>
      <c r="E41" s="12">
        <v>4</v>
      </c>
      <c r="F41" s="8">
        <v>0.74</v>
      </c>
      <c r="G41" s="12">
        <v>3</v>
      </c>
      <c r="H41" s="8">
        <v>1.91</v>
      </c>
      <c r="I41" s="12">
        <v>0</v>
      </c>
    </row>
    <row r="42" spans="2:9" ht="15" customHeight="1" x14ac:dyDescent="0.2">
      <c r="B42" t="s">
        <v>79</v>
      </c>
      <c r="C42" s="12">
        <v>7</v>
      </c>
      <c r="D42" s="8">
        <v>0.99</v>
      </c>
      <c r="E42" s="12">
        <v>4</v>
      </c>
      <c r="F42" s="8">
        <v>0.74</v>
      </c>
      <c r="G42" s="12">
        <v>3</v>
      </c>
      <c r="H42" s="8">
        <v>1.91</v>
      </c>
      <c r="I42" s="12">
        <v>0</v>
      </c>
    </row>
    <row r="43" spans="2:9" ht="15" customHeight="1" x14ac:dyDescent="0.2">
      <c r="B43" t="s">
        <v>88</v>
      </c>
      <c r="C43" s="12">
        <v>6</v>
      </c>
      <c r="D43" s="8">
        <v>0.85</v>
      </c>
      <c r="E43" s="12">
        <v>6</v>
      </c>
      <c r="F43" s="8">
        <v>1.1200000000000001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92</v>
      </c>
      <c r="C44" s="12">
        <v>6</v>
      </c>
      <c r="D44" s="8">
        <v>0.85</v>
      </c>
      <c r="E44" s="12">
        <v>3</v>
      </c>
      <c r="F44" s="8">
        <v>0.56000000000000005</v>
      </c>
      <c r="G44" s="12">
        <v>3</v>
      </c>
      <c r="H44" s="8">
        <v>1.91</v>
      </c>
      <c r="I44" s="12">
        <v>0</v>
      </c>
    </row>
    <row r="45" spans="2:9" ht="15" customHeight="1" x14ac:dyDescent="0.2">
      <c r="B45" t="s">
        <v>68</v>
      </c>
      <c r="C45" s="12">
        <v>6</v>
      </c>
      <c r="D45" s="8">
        <v>0.85</v>
      </c>
      <c r="E45" s="12">
        <v>5</v>
      </c>
      <c r="F45" s="8">
        <v>0.93</v>
      </c>
      <c r="G45" s="12">
        <v>1</v>
      </c>
      <c r="H45" s="8">
        <v>0.64</v>
      </c>
      <c r="I45" s="12">
        <v>0</v>
      </c>
    </row>
    <row r="46" spans="2:9" ht="15" customHeight="1" x14ac:dyDescent="0.2">
      <c r="B46" t="s">
        <v>94</v>
      </c>
      <c r="C46" s="12">
        <v>6</v>
      </c>
      <c r="D46" s="8">
        <v>0.85</v>
      </c>
      <c r="E46" s="12">
        <v>2</v>
      </c>
      <c r="F46" s="8">
        <v>0.37</v>
      </c>
      <c r="G46" s="12">
        <v>4</v>
      </c>
      <c r="H46" s="8">
        <v>2.5499999999999998</v>
      </c>
      <c r="I46" s="12">
        <v>0</v>
      </c>
    </row>
    <row r="47" spans="2:9" ht="15" customHeight="1" x14ac:dyDescent="0.2">
      <c r="B47" t="s">
        <v>76</v>
      </c>
      <c r="C47" s="12">
        <v>6</v>
      </c>
      <c r="D47" s="8">
        <v>0.85</v>
      </c>
      <c r="E47" s="12">
        <v>5</v>
      </c>
      <c r="F47" s="8">
        <v>0.93</v>
      </c>
      <c r="G47" s="12">
        <v>1</v>
      </c>
      <c r="H47" s="8">
        <v>0.64</v>
      </c>
      <c r="I47" s="12">
        <v>0</v>
      </c>
    </row>
    <row r="48" spans="2:9" ht="15" customHeight="1" x14ac:dyDescent="0.2">
      <c r="B48" t="s">
        <v>91</v>
      </c>
      <c r="C48" s="12">
        <v>6</v>
      </c>
      <c r="D48" s="8">
        <v>0.85</v>
      </c>
      <c r="E48" s="12">
        <v>4</v>
      </c>
      <c r="F48" s="8">
        <v>0.74</v>
      </c>
      <c r="G48" s="12">
        <v>2</v>
      </c>
      <c r="H48" s="8">
        <v>1.27</v>
      </c>
      <c r="I48" s="12">
        <v>0</v>
      </c>
    </row>
    <row r="51" spans="2:9" ht="33" customHeight="1" x14ac:dyDescent="0.2">
      <c r="B51" t="s">
        <v>262</v>
      </c>
      <c r="C51" s="10" t="s">
        <v>58</v>
      </c>
      <c r="D51" s="10" t="s">
        <v>59</v>
      </c>
      <c r="E51" s="10" t="s">
        <v>60</v>
      </c>
      <c r="F51" s="10" t="s">
        <v>61</v>
      </c>
      <c r="G51" s="10" t="s">
        <v>62</v>
      </c>
      <c r="H51" s="10" t="s">
        <v>63</v>
      </c>
      <c r="I51" s="10" t="s">
        <v>64</v>
      </c>
    </row>
    <row r="52" spans="2:9" ht="15" customHeight="1" x14ac:dyDescent="0.2">
      <c r="B52" t="s">
        <v>167</v>
      </c>
      <c r="C52" s="12">
        <v>62</v>
      </c>
      <c r="D52" s="8">
        <v>8.81</v>
      </c>
      <c r="E52" s="12">
        <v>62</v>
      </c>
      <c r="F52" s="8">
        <v>11.55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136</v>
      </c>
      <c r="C53" s="12">
        <v>37</v>
      </c>
      <c r="D53" s="8">
        <v>5.26</v>
      </c>
      <c r="E53" s="12">
        <v>35</v>
      </c>
      <c r="F53" s="8">
        <v>6.52</v>
      </c>
      <c r="G53" s="12">
        <v>2</v>
      </c>
      <c r="H53" s="8">
        <v>1.27</v>
      </c>
      <c r="I53" s="12">
        <v>0</v>
      </c>
    </row>
    <row r="54" spans="2:9" ht="15" customHeight="1" x14ac:dyDescent="0.2">
      <c r="B54" t="s">
        <v>128</v>
      </c>
      <c r="C54" s="12">
        <v>36</v>
      </c>
      <c r="D54" s="8">
        <v>5.1100000000000003</v>
      </c>
      <c r="E54" s="12">
        <v>23</v>
      </c>
      <c r="F54" s="8">
        <v>4.28</v>
      </c>
      <c r="G54" s="12">
        <v>13</v>
      </c>
      <c r="H54" s="8">
        <v>8.2799999999999994</v>
      </c>
      <c r="I54" s="12">
        <v>0</v>
      </c>
    </row>
    <row r="55" spans="2:9" ht="15" customHeight="1" x14ac:dyDescent="0.2">
      <c r="B55" t="s">
        <v>170</v>
      </c>
      <c r="C55" s="12">
        <v>35</v>
      </c>
      <c r="D55" s="8">
        <v>4.97</v>
      </c>
      <c r="E55" s="12">
        <v>34</v>
      </c>
      <c r="F55" s="8">
        <v>6.33</v>
      </c>
      <c r="G55" s="12">
        <v>1</v>
      </c>
      <c r="H55" s="8">
        <v>0.64</v>
      </c>
      <c r="I55" s="12">
        <v>0</v>
      </c>
    </row>
    <row r="56" spans="2:9" ht="15" customHeight="1" x14ac:dyDescent="0.2">
      <c r="B56" t="s">
        <v>135</v>
      </c>
      <c r="C56" s="12">
        <v>29</v>
      </c>
      <c r="D56" s="8">
        <v>4.12</v>
      </c>
      <c r="E56" s="12">
        <v>28</v>
      </c>
      <c r="F56" s="8">
        <v>5.21</v>
      </c>
      <c r="G56" s="12">
        <v>1</v>
      </c>
      <c r="H56" s="8">
        <v>0.64</v>
      </c>
      <c r="I56" s="12">
        <v>0</v>
      </c>
    </row>
    <row r="57" spans="2:9" ht="15" customHeight="1" x14ac:dyDescent="0.2">
      <c r="B57" t="s">
        <v>133</v>
      </c>
      <c r="C57" s="12">
        <v>27</v>
      </c>
      <c r="D57" s="8">
        <v>3.84</v>
      </c>
      <c r="E57" s="12">
        <v>27</v>
      </c>
      <c r="F57" s="8">
        <v>5.03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139</v>
      </c>
      <c r="C58" s="12">
        <v>26</v>
      </c>
      <c r="D58" s="8">
        <v>3.69</v>
      </c>
      <c r="E58" s="12">
        <v>24</v>
      </c>
      <c r="F58" s="8">
        <v>4.47</v>
      </c>
      <c r="G58" s="12">
        <v>2</v>
      </c>
      <c r="H58" s="8">
        <v>1.27</v>
      </c>
      <c r="I58" s="12">
        <v>0</v>
      </c>
    </row>
    <row r="59" spans="2:9" ht="15" customHeight="1" x14ac:dyDescent="0.2">
      <c r="B59" t="s">
        <v>132</v>
      </c>
      <c r="C59" s="12">
        <v>22</v>
      </c>
      <c r="D59" s="8">
        <v>3.13</v>
      </c>
      <c r="E59" s="12">
        <v>22</v>
      </c>
      <c r="F59" s="8">
        <v>4.0999999999999996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141</v>
      </c>
      <c r="C60" s="12">
        <v>22</v>
      </c>
      <c r="D60" s="8">
        <v>3.13</v>
      </c>
      <c r="E60" s="12">
        <v>19</v>
      </c>
      <c r="F60" s="8">
        <v>3.54</v>
      </c>
      <c r="G60" s="12">
        <v>3</v>
      </c>
      <c r="H60" s="8">
        <v>1.91</v>
      </c>
      <c r="I60" s="12">
        <v>0</v>
      </c>
    </row>
    <row r="61" spans="2:9" ht="15" customHeight="1" x14ac:dyDescent="0.2">
      <c r="B61" t="s">
        <v>131</v>
      </c>
      <c r="C61" s="12">
        <v>21</v>
      </c>
      <c r="D61" s="8">
        <v>2.98</v>
      </c>
      <c r="E61" s="12">
        <v>20</v>
      </c>
      <c r="F61" s="8">
        <v>3.72</v>
      </c>
      <c r="G61" s="12">
        <v>1</v>
      </c>
      <c r="H61" s="8">
        <v>0.64</v>
      </c>
      <c r="I61" s="12">
        <v>0</v>
      </c>
    </row>
    <row r="62" spans="2:9" ht="15" customHeight="1" x14ac:dyDescent="0.2">
      <c r="B62" t="s">
        <v>146</v>
      </c>
      <c r="C62" s="12">
        <v>15</v>
      </c>
      <c r="D62" s="8">
        <v>2.13</v>
      </c>
      <c r="E62" s="12">
        <v>6</v>
      </c>
      <c r="F62" s="8">
        <v>1.1200000000000001</v>
      </c>
      <c r="G62" s="12">
        <v>9</v>
      </c>
      <c r="H62" s="8">
        <v>5.73</v>
      </c>
      <c r="I62" s="12">
        <v>0</v>
      </c>
    </row>
    <row r="63" spans="2:9" ht="15" customHeight="1" x14ac:dyDescent="0.2">
      <c r="B63" t="s">
        <v>138</v>
      </c>
      <c r="C63" s="12">
        <v>15</v>
      </c>
      <c r="D63" s="8">
        <v>2.13</v>
      </c>
      <c r="E63" s="12">
        <v>14</v>
      </c>
      <c r="F63" s="8">
        <v>2.61</v>
      </c>
      <c r="G63" s="12">
        <v>1</v>
      </c>
      <c r="H63" s="8">
        <v>0.64</v>
      </c>
      <c r="I63" s="12">
        <v>0</v>
      </c>
    </row>
    <row r="64" spans="2:9" ht="15" customHeight="1" x14ac:dyDescent="0.2">
      <c r="B64" t="s">
        <v>153</v>
      </c>
      <c r="C64" s="12">
        <v>13</v>
      </c>
      <c r="D64" s="8">
        <v>1.85</v>
      </c>
      <c r="E64" s="12">
        <v>12</v>
      </c>
      <c r="F64" s="8">
        <v>2.23</v>
      </c>
      <c r="G64" s="12">
        <v>1</v>
      </c>
      <c r="H64" s="8">
        <v>0.64</v>
      </c>
      <c r="I64" s="12">
        <v>0</v>
      </c>
    </row>
    <row r="65" spans="2:9" ht="15" customHeight="1" x14ac:dyDescent="0.2">
      <c r="B65" t="s">
        <v>137</v>
      </c>
      <c r="C65" s="12">
        <v>12</v>
      </c>
      <c r="D65" s="8">
        <v>1.7</v>
      </c>
      <c r="E65" s="12">
        <v>11</v>
      </c>
      <c r="F65" s="8">
        <v>2.0499999999999998</v>
      </c>
      <c r="G65" s="12">
        <v>1</v>
      </c>
      <c r="H65" s="8">
        <v>0.64</v>
      </c>
      <c r="I65" s="12">
        <v>0</v>
      </c>
    </row>
    <row r="66" spans="2:9" ht="15" customHeight="1" x14ac:dyDescent="0.2">
      <c r="B66" t="s">
        <v>140</v>
      </c>
      <c r="C66" s="12">
        <v>12</v>
      </c>
      <c r="D66" s="8">
        <v>1.7</v>
      </c>
      <c r="E66" s="12">
        <v>10</v>
      </c>
      <c r="F66" s="8">
        <v>1.86</v>
      </c>
      <c r="G66" s="12">
        <v>2</v>
      </c>
      <c r="H66" s="8">
        <v>1.27</v>
      </c>
      <c r="I66" s="12">
        <v>0</v>
      </c>
    </row>
    <row r="67" spans="2:9" ht="15" customHeight="1" x14ac:dyDescent="0.2">
      <c r="B67" t="s">
        <v>122</v>
      </c>
      <c r="C67" s="12">
        <v>11</v>
      </c>
      <c r="D67" s="8">
        <v>1.56</v>
      </c>
      <c r="E67" s="12">
        <v>3</v>
      </c>
      <c r="F67" s="8">
        <v>0.56000000000000005</v>
      </c>
      <c r="G67" s="12">
        <v>8</v>
      </c>
      <c r="H67" s="8">
        <v>5.0999999999999996</v>
      </c>
      <c r="I67" s="12">
        <v>0</v>
      </c>
    </row>
    <row r="68" spans="2:9" ht="15" customHeight="1" x14ac:dyDescent="0.2">
      <c r="B68" t="s">
        <v>208</v>
      </c>
      <c r="C68" s="12">
        <v>11</v>
      </c>
      <c r="D68" s="8">
        <v>1.56</v>
      </c>
      <c r="E68" s="12">
        <v>11</v>
      </c>
      <c r="F68" s="8">
        <v>2.0499999999999998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124</v>
      </c>
      <c r="C69" s="12">
        <v>11</v>
      </c>
      <c r="D69" s="8">
        <v>1.56</v>
      </c>
      <c r="E69" s="12">
        <v>9</v>
      </c>
      <c r="F69" s="8">
        <v>1.68</v>
      </c>
      <c r="G69" s="12">
        <v>2</v>
      </c>
      <c r="H69" s="8">
        <v>1.27</v>
      </c>
      <c r="I69" s="12">
        <v>0</v>
      </c>
    </row>
    <row r="70" spans="2:9" ht="15" customHeight="1" x14ac:dyDescent="0.2">
      <c r="B70" t="s">
        <v>151</v>
      </c>
      <c r="C70" s="12">
        <v>10</v>
      </c>
      <c r="D70" s="8">
        <v>1.42</v>
      </c>
      <c r="E70" s="12">
        <v>4</v>
      </c>
      <c r="F70" s="8">
        <v>0.74</v>
      </c>
      <c r="G70" s="12">
        <v>6</v>
      </c>
      <c r="H70" s="8">
        <v>3.82</v>
      </c>
      <c r="I70" s="12">
        <v>0</v>
      </c>
    </row>
    <row r="71" spans="2:9" ht="15" customHeight="1" x14ac:dyDescent="0.2">
      <c r="B71" t="s">
        <v>123</v>
      </c>
      <c r="C71" s="12">
        <v>10</v>
      </c>
      <c r="D71" s="8">
        <v>1.42</v>
      </c>
      <c r="E71" s="12">
        <v>9</v>
      </c>
      <c r="F71" s="8">
        <v>1.68</v>
      </c>
      <c r="G71" s="12">
        <v>1</v>
      </c>
      <c r="H71" s="8">
        <v>0.64</v>
      </c>
      <c r="I71" s="12">
        <v>0</v>
      </c>
    </row>
    <row r="72" spans="2:9" ht="15" customHeight="1" x14ac:dyDescent="0.2">
      <c r="B72" t="s">
        <v>159</v>
      </c>
      <c r="C72" s="12">
        <v>10</v>
      </c>
      <c r="D72" s="8">
        <v>1.42</v>
      </c>
      <c r="E72" s="12">
        <v>8</v>
      </c>
      <c r="F72" s="8">
        <v>1.49</v>
      </c>
      <c r="G72" s="12">
        <v>2</v>
      </c>
      <c r="H72" s="8">
        <v>1.27</v>
      </c>
      <c r="I72" s="12">
        <v>0</v>
      </c>
    </row>
    <row r="74" spans="2:9" ht="15" customHeight="1" x14ac:dyDescent="0.2">
      <c r="B74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7BE88-4BBB-4CEC-B98A-807D951E55B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285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33</v>
      </c>
      <c r="D6" s="8">
        <v>9.3800000000000008</v>
      </c>
      <c r="E6" s="12">
        <v>8</v>
      </c>
      <c r="F6" s="8">
        <v>3.2</v>
      </c>
      <c r="G6" s="12">
        <v>25</v>
      </c>
      <c r="H6" s="8">
        <v>26.04</v>
      </c>
      <c r="I6" s="12">
        <v>0</v>
      </c>
    </row>
    <row r="7" spans="2:9" ht="15" customHeight="1" x14ac:dyDescent="0.2">
      <c r="B7" t="s">
        <v>44</v>
      </c>
      <c r="C7" s="12">
        <v>19</v>
      </c>
      <c r="D7" s="8">
        <v>5.4</v>
      </c>
      <c r="E7" s="12">
        <v>15</v>
      </c>
      <c r="F7" s="8">
        <v>6</v>
      </c>
      <c r="G7" s="12">
        <v>4</v>
      </c>
      <c r="H7" s="8">
        <v>4.17</v>
      </c>
      <c r="I7" s="12">
        <v>0</v>
      </c>
    </row>
    <row r="8" spans="2:9" ht="15" customHeight="1" x14ac:dyDescent="0.2">
      <c r="B8" t="s">
        <v>45</v>
      </c>
      <c r="C8" s="12">
        <v>1</v>
      </c>
      <c r="D8" s="8">
        <v>0.28000000000000003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46</v>
      </c>
      <c r="C9" s="12">
        <v>5</v>
      </c>
      <c r="D9" s="8">
        <v>1.42</v>
      </c>
      <c r="E9" s="12">
        <v>0</v>
      </c>
      <c r="F9" s="8">
        <v>0</v>
      </c>
      <c r="G9" s="12">
        <v>5</v>
      </c>
      <c r="H9" s="8">
        <v>5.21</v>
      </c>
      <c r="I9" s="12">
        <v>0</v>
      </c>
    </row>
    <row r="10" spans="2:9" ht="15" customHeight="1" x14ac:dyDescent="0.2">
      <c r="B10" t="s">
        <v>47</v>
      </c>
      <c r="C10" s="12">
        <v>4</v>
      </c>
      <c r="D10" s="8">
        <v>1.1399999999999999</v>
      </c>
      <c r="E10" s="12">
        <v>4</v>
      </c>
      <c r="F10" s="8">
        <v>1.6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48</v>
      </c>
      <c r="C11" s="12">
        <v>72</v>
      </c>
      <c r="D11" s="8">
        <v>20.45</v>
      </c>
      <c r="E11" s="12">
        <v>55</v>
      </c>
      <c r="F11" s="8">
        <v>22</v>
      </c>
      <c r="G11" s="12">
        <v>16</v>
      </c>
      <c r="H11" s="8">
        <v>16.670000000000002</v>
      </c>
      <c r="I11" s="12">
        <v>1</v>
      </c>
    </row>
    <row r="12" spans="2:9" ht="15" customHeight="1" x14ac:dyDescent="0.2">
      <c r="B12" t="s">
        <v>49</v>
      </c>
      <c r="C12" s="12">
        <v>3</v>
      </c>
      <c r="D12" s="8">
        <v>0.85</v>
      </c>
      <c r="E12" s="12">
        <v>1</v>
      </c>
      <c r="F12" s="8">
        <v>0.4</v>
      </c>
      <c r="G12" s="12">
        <v>2</v>
      </c>
      <c r="H12" s="8">
        <v>2.08</v>
      </c>
      <c r="I12" s="12">
        <v>0</v>
      </c>
    </row>
    <row r="13" spans="2:9" ht="15" customHeight="1" x14ac:dyDescent="0.2">
      <c r="B13" t="s">
        <v>50</v>
      </c>
      <c r="C13" s="12">
        <v>19</v>
      </c>
      <c r="D13" s="8">
        <v>5.4</v>
      </c>
      <c r="E13" s="12">
        <v>4</v>
      </c>
      <c r="F13" s="8">
        <v>1.6</v>
      </c>
      <c r="G13" s="12">
        <v>14</v>
      </c>
      <c r="H13" s="8">
        <v>14.58</v>
      </c>
      <c r="I13" s="12">
        <v>0</v>
      </c>
    </row>
    <row r="14" spans="2:9" ht="15" customHeight="1" x14ac:dyDescent="0.2">
      <c r="B14" t="s">
        <v>51</v>
      </c>
      <c r="C14" s="12">
        <v>16</v>
      </c>
      <c r="D14" s="8">
        <v>4.55</v>
      </c>
      <c r="E14" s="12">
        <v>8</v>
      </c>
      <c r="F14" s="8">
        <v>3.2</v>
      </c>
      <c r="G14" s="12">
        <v>8</v>
      </c>
      <c r="H14" s="8">
        <v>8.33</v>
      </c>
      <c r="I14" s="12">
        <v>0</v>
      </c>
    </row>
    <row r="15" spans="2:9" ht="15" customHeight="1" x14ac:dyDescent="0.2">
      <c r="B15" t="s">
        <v>52</v>
      </c>
      <c r="C15" s="12">
        <v>73</v>
      </c>
      <c r="D15" s="8">
        <v>20.74</v>
      </c>
      <c r="E15" s="12">
        <v>66</v>
      </c>
      <c r="F15" s="8">
        <v>26.4</v>
      </c>
      <c r="G15" s="12">
        <v>6</v>
      </c>
      <c r="H15" s="8">
        <v>6.25</v>
      </c>
      <c r="I15" s="12">
        <v>0</v>
      </c>
    </row>
    <row r="16" spans="2:9" ht="15" customHeight="1" x14ac:dyDescent="0.2">
      <c r="B16" t="s">
        <v>53</v>
      </c>
      <c r="C16" s="12">
        <v>55</v>
      </c>
      <c r="D16" s="8">
        <v>15.63</v>
      </c>
      <c r="E16" s="12">
        <v>50</v>
      </c>
      <c r="F16" s="8">
        <v>20</v>
      </c>
      <c r="G16" s="12">
        <v>5</v>
      </c>
      <c r="H16" s="8">
        <v>5.21</v>
      </c>
      <c r="I16" s="12">
        <v>0</v>
      </c>
    </row>
    <row r="17" spans="2:9" ht="15" customHeight="1" x14ac:dyDescent="0.2">
      <c r="B17" t="s">
        <v>54</v>
      </c>
      <c r="C17" s="12">
        <v>29</v>
      </c>
      <c r="D17" s="8">
        <v>8.24</v>
      </c>
      <c r="E17" s="12">
        <v>21</v>
      </c>
      <c r="F17" s="8">
        <v>8.4</v>
      </c>
      <c r="G17" s="12">
        <v>6</v>
      </c>
      <c r="H17" s="8">
        <v>6.25</v>
      </c>
      <c r="I17" s="12">
        <v>1</v>
      </c>
    </row>
    <row r="18" spans="2:9" ht="15" customHeight="1" x14ac:dyDescent="0.2">
      <c r="B18" t="s">
        <v>55</v>
      </c>
      <c r="C18" s="12">
        <v>6</v>
      </c>
      <c r="D18" s="8">
        <v>1.7</v>
      </c>
      <c r="E18" s="12">
        <v>3</v>
      </c>
      <c r="F18" s="8">
        <v>1.2</v>
      </c>
      <c r="G18" s="12">
        <v>3</v>
      </c>
      <c r="H18" s="8">
        <v>3.13</v>
      </c>
      <c r="I18" s="12">
        <v>0</v>
      </c>
    </row>
    <row r="19" spans="2:9" ht="15" customHeight="1" x14ac:dyDescent="0.2">
      <c r="B19" t="s">
        <v>56</v>
      </c>
      <c r="C19" s="12">
        <v>17</v>
      </c>
      <c r="D19" s="8">
        <v>4.83</v>
      </c>
      <c r="E19" s="12">
        <v>15</v>
      </c>
      <c r="F19" s="8">
        <v>6</v>
      </c>
      <c r="G19" s="12">
        <v>2</v>
      </c>
      <c r="H19" s="8">
        <v>2.08</v>
      </c>
      <c r="I19" s="12">
        <v>0</v>
      </c>
    </row>
    <row r="20" spans="2:9" ht="15" customHeight="1" x14ac:dyDescent="0.2">
      <c r="B20" s="9" t="s">
        <v>260</v>
      </c>
      <c r="C20" s="12">
        <f>SUM(LTBL_47325[総数／事業所数])</f>
        <v>352</v>
      </c>
      <c r="E20" s="12">
        <f>SUBTOTAL(109,LTBL_47325[個人／事業所数])</f>
        <v>250</v>
      </c>
      <c r="G20" s="12">
        <f>SUBTOTAL(109,LTBL_47325[法人／事業所数])</f>
        <v>96</v>
      </c>
      <c r="I20" s="12">
        <f>SUBTOTAL(109,LTBL_47325[法人以外の団体／事業所数])</f>
        <v>2</v>
      </c>
    </row>
    <row r="21" spans="2:9" ht="15" customHeight="1" x14ac:dyDescent="0.2">
      <c r="E21" s="11">
        <f>LTBL_47325[[#Totals],[個人／事業所数]]/LTBL_47325[[#Totals],[総数／事業所数]]</f>
        <v>0.71022727272727271</v>
      </c>
      <c r="G21" s="11">
        <f>LTBL_47325[[#Totals],[法人／事業所数]]/LTBL_47325[[#Totals],[総数／事業所数]]</f>
        <v>0.27272727272727271</v>
      </c>
      <c r="I21" s="11">
        <f>LTBL_47325[[#Totals],[法人以外の団体／事業所数]]/LTBL_47325[[#Totals],[総数／事業所数]]</f>
        <v>5.681818181818182E-3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77</v>
      </c>
      <c r="C24" s="12">
        <v>63</v>
      </c>
      <c r="D24" s="8">
        <v>17.899999999999999</v>
      </c>
      <c r="E24" s="12">
        <v>59</v>
      </c>
      <c r="F24" s="8">
        <v>23.6</v>
      </c>
      <c r="G24" s="12">
        <v>4</v>
      </c>
      <c r="H24" s="8">
        <v>4.17</v>
      </c>
      <c r="I24" s="12">
        <v>0</v>
      </c>
    </row>
    <row r="25" spans="2:9" ht="15" customHeight="1" x14ac:dyDescent="0.2">
      <c r="B25" t="s">
        <v>78</v>
      </c>
      <c r="C25" s="12">
        <v>46</v>
      </c>
      <c r="D25" s="8">
        <v>13.07</v>
      </c>
      <c r="E25" s="12">
        <v>44</v>
      </c>
      <c r="F25" s="8">
        <v>17.600000000000001</v>
      </c>
      <c r="G25" s="12">
        <v>2</v>
      </c>
      <c r="H25" s="8">
        <v>2.08</v>
      </c>
      <c r="I25" s="12">
        <v>0</v>
      </c>
    </row>
    <row r="26" spans="2:9" ht="15" customHeight="1" x14ac:dyDescent="0.2">
      <c r="B26" t="s">
        <v>81</v>
      </c>
      <c r="C26" s="12">
        <v>29</v>
      </c>
      <c r="D26" s="8">
        <v>8.24</v>
      </c>
      <c r="E26" s="12">
        <v>21</v>
      </c>
      <c r="F26" s="8">
        <v>8.4</v>
      </c>
      <c r="G26" s="12">
        <v>6</v>
      </c>
      <c r="H26" s="8">
        <v>6.25</v>
      </c>
      <c r="I26" s="12">
        <v>1</v>
      </c>
    </row>
    <row r="27" spans="2:9" ht="15" customHeight="1" x14ac:dyDescent="0.2">
      <c r="B27" t="s">
        <v>69</v>
      </c>
      <c r="C27" s="12">
        <v>24</v>
      </c>
      <c r="D27" s="8">
        <v>6.82</v>
      </c>
      <c r="E27" s="12">
        <v>22</v>
      </c>
      <c r="F27" s="8">
        <v>8.8000000000000007</v>
      </c>
      <c r="G27" s="12">
        <v>2</v>
      </c>
      <c r="H27" s="8">
        <v>2.08</v>
      </c>
      <c r="I27" s="12">
        <v>0</v>
      </c>
    </row>
    <row r="28" spans="2:9" ht="15" customHeight="1" x14ac:dyDescent="0.2">
      <c r="B28" t="s">
        <v>71</v>
      </c>
      <c r="C28" s="12">
        <v>18</v>
      </c>
      <c r="D28" s="8">
        <v>5.1100000000000003</v>
      </c>
      <c r="E28" s="12">
        <v>13</v>
      </c>
      <c r="F28" s="8">
        <v>5.2</v>
      </c>
      <c r="G28" s="12">
        <v>5</v>
      </c>
      <c r="H28" s="8">
        <v>5.21</v>
      </c>
      <c r="I28" s="12">
        <v>0</v>
      </c>
    </row>
    <row r="29" spans="2:9" ht="15" customHeight="1" x14ac:dyDescent="0.2">
      <c r="B29" t="s">
        <v>73</v>
      </c>
      <c r="C29" s="12">
        <v>16</v>
      </c>
      <c r="D29" s="8">
        <v>4.55</v>
      </c>
      <c r="E29" s="12">
        <v>4</v>
      </c>
      <c r="F29" s="8">
        <v>1.6</v>
      </c>
      <c r="G29" s="12">
        <v>11</v>
      </c>
      <c r="H29" s="8">
        <v>11.46</v>
      </c>
      <c r="I29" s="12">
        <v>0</v>
      </c>
    </row>
    <row r="30" spans="2:9" ht="15" customHeight="1" x14ac:dyDescent="0.2">
      <c r="B30" t="s">
        <v>67</v>
      </c>
      <c r="C30" s="12">
        <v>15</v>
      </c>
      <c r="D30" s="8">
        <v>4.26</v>
      </c>
      <c r="E30" s="12">
        <v>2</v>
      </c>
      <c r="F30" s="8">
        <v>0.8</v>
      </c>
      <c r="G30" s="12">
        <v>13</v>
      </c>
      <c r="H30" s="8">
        <v>13.54</v>
      </c>
      <c r="I30" s="12">
        <v>0</v>
      </c>
    </row>
    <row r="31" spans="2:9" ht="15" customHeight="1" x14ac:dyDescent="0.2">
      <c r="B31" t="s">
        <v>84</v>
      </c>
      <c r="C31" s="12">
        <v>12</v>
      </c>
      <c r="D31" s="8">
        <v>3.41</v>
      </c>
      <c r="E31" s="12">
        <v>12</v>
      </c>
      <c r="F31" s="8">
        <v>4.8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66</v>
      </c>
      <c r="C32" s="12">
        <v>11</v>
      </c>
      <c r="D32" s="8">
        <v>3.13</v>
      </c>
      <c r="E32" s="12">
        <v>4</v>
      </c>
      <c r="F32" s="8">
        <v>1.6</v>
      </c>
      <c r="G32" s="12">
        <v>7</v>
      </c>
      <c r="H32" s="8">
        <v>7.29</v>
      </c>
      <c r="I32" s="12">
        <v>0</v>
      </c>
    </row>
    <row r="33" spans="2:9" ht="15" customHeight="1" x14ac:dyDescent="0.2">
      <c r="B33" t="s">
        <v>68</v>
      </c>
      <c r="C33" s="12">
        <v>10</v>
      </c>
      <c r="D33" s="8">
        <v>2.84</v>
      </c>
      <c r="E33" s="12">
        <v>8</v>
      </c>
      <c r="F33" s="8">
        <v>3.2</v>
      </c>
      <c r="G33" s="12">
        <v>2</v>
      </c>
      <c r="H33" s="8">
        <v>2.08</v>
      </c>
      <c r="I33" s="12">
        <v>0</v>
      </c>
    </row>
    <row r="34" spans="2:9" ht="15" customHeight="1" x14ac:dyDescent="0.2">
      <c r="B34" t="s">
        <v>70</v>
      </c>
      <c r="C34" s="12">
        <v>9</v>
      </c>
      <c r="D34" s="8">
        <v>2.56</v>
      </c>
      <c r="E34" s="12">
        <v>8</v>
      </c>
      <c r="F34" s="8">
        <v>3.2</v>
      </c>
      <c r="G34" s="12">
        <v>1</v>
      </c>
      <c r="H34" s="8">
        <v>1.04</v>
      </c>
      <c r="I34" s="12">
        <v>0</v>
      </c>
    </row>
    <row r="35" spans="2:9" ht="15" customHeight="1" x14ac:dyDescent="0.2">
      <c r="B35" t="s">
        <v>65</v>
      </c>
      <c r="C35" s="12">
        <v>7</v>
      </c>
      <c r="D35" s="8">
        <v>1.99</v>
      </c>
      <c r="E35" s="12">
        <v>2</v>
      </c>
      <c r="F35" s="8">
        <v>0.8</v>
      </c>
      <c r="G35" s="12">
        <v>5</v>
      </c>
      <c r="H35" s="8">
        <v>5.21</v>
      </c>
      <c r="I35" s="12">
        <v>0</v>
      </c>
    </row>
    <row r="36" spans="2:9" ht="15" customHeight="1" x14ac:dyDescent="0.2">
      <c r="B36" t="s">
        <v>74</v>
      </c>
      <c r="C36" s="12">
        <v>7</v>
      </c>
      <c r="D36" s="8">
        <v>1.99</v>
      </c>
      <c r="E36" s="12">
        <v>5</v>
      </c>
      <c r="F36" s="8">
        <v>2</v>
      </c>
      <c r="G36" s="12">
        <v>2</v>
      </c>
      <c r="H36" s="8">
        <v>2.08</v>
      </c>
      <c r="I36" s="12">
        <v>0</v>
      </c>
    </row>
    <row r="37" spans="2:9" ht="15" customHeight="1" x14ac:dyDescent="0.2">
      <c r="B37" t="s">
        <v>75</v>
      </c>
      <c r="C37" s="12">
        <v>7</v>
      </c>
      <c r="D37" s="8">
        <v>1.99</v>
      </c>
      <c r="E37" s="12">
        <v>1</v>
      </c>
      <c r="F37" s="8">
        <v>0.4</v>
      </c>
      <c r="G37" s="12">
        <v>6</v>
      </c>
      <c r="H37" s="8">
        <v>6.25</v>
      </c>
      <c r="I37" s="12">
        <v>0</v>
      </c>
    </row>
    <row r="38" spans="2:9" ht="15" customHeight="1" x14ac:dyDescent="0.2">
      <c r="B38" t="s">
        <v>91</v>
      </c>
      <c r="C38" s="12">
        <v>7</v>
      </c>
      <c r="D38" s="8">
        <v>1.99</v>
      </c>
      <c r="E38" s="12">
        <v>5</v>
      </c>
      <c r="F38" s="8">
        <v>2</v>
      </c>
      <c r="G38" s="12">
        <v>1</v>
      </c>
      <c r="H38" s="8">
        <v>1.04</v>
      </c>
      <c r="I38" s="12">
        <v>0</v>
      </c>
    </row>
    <row r="39" spans="2:9" ht="15" customHeight="1" x14ac:dyDescent="0.2">
      <c r="B39" t="s">
        <v>79</v>
      </c>
      <c r="C39" s="12">
        <v>6</v>
      </c>
      <c r="D39" s="8">
        <v>1.7</v>
      </c>
      <c r="E39" s="12">
        <v>5</v>
      </c>
      <c r="F39" s="8">
        <v>2</v>
      </c>
      <c r="G39" s="12">
        <v>1</v>
      </c>
      <c r="H39" s="8">
        <v>1.04</v>
      </c>
      <c r="I39" s="12">
        <v>0</v>
      </c>
    </row>
    <row r="40" spans="2:9" ht="15" customHeight="1" x14ac:dyDescent="0.2">
      <c r="B40" t="s">
        <v>108</v>
      </c>
      <c r="C40" s="12">
        <v>5</v>
      </c>
      <c r="D40" s="8">
        <v>1.42</v>
      </c>
      <c r="E40" s="12">
        <v>3</v>
      </c>
      <c r="F40" s="8">
        <v>1.2</v>
      </c>
      <c r="G40" s="12">
        <v>2</v>
      </c>
      <c r="H40" s="8">
        <v>2.08</v>
      </c>
      <c r="I40" s="12">
        <v>0</v>
      </c>
    </row>
    <row r="41" spans="2:9" ht="15" customHeight="1" x14ac:dyDescent="0.2">
      <c r="B41" t="s">
        <v>105</v>
      </c>
      <c r="C41" s="12">
        <v>5</v>
      </c>
      <c r="D41" s="8">
        <v>1.42</v>
      </c>
      <c r="E41" s="12">
        <v>3</v>
      </c>
      <c r="F41" s="8">
        <v>1.2</v>
      </c>
      <c r="G41" s="12">
        <v>2</v>
      </c>
      <c r="H41" s="8">
        <v>2.08</v>
      </c>
      <c r="I41" s="12">
        <v>0</v>
      </c>
    </row>
    <row r="42" spans="2:9" ht="15" customHeight="1" x14ac:dyDescent="0.2">
      <c r="B42" t="s">
        <v>89</v>
      </c>
      <c r="C42" s="12">
        <v>5</v>
      </c>
      <c r="D42" s="8">
        <v>1.42</v>
      </c>
      <c r="E42" s="12">
        <v>2</v>
      </c>
      <c r="F42" s="8">
        <v>0.8</v>
      </c>
      <c r="G42" s="12">
        <v>2</v>
      </c>
      <c r="H42" s="8">
        <v>2.08</v>
      </c>
      <c r="I42" s="12">
        <v>1</v>
      </c>
    </row>
    <row r="43" spans="2:9" ht="15" customHeight="1" x14ac:dyDescent="0.2">
      <c r="B43" t="s">
        <v>96</v>
      </c>
      <c r="C43" s="12">
        <v>4</v>
      </c>
      <c r="D43" s="8">
        <v>1.1399999999999999</v>
      </c>
      <c r="E43" s="12">
        <v>4</v>
      </c>
      <c r="F43" s="8">
        <v>1.6</v>
      </c>
      <c r="G43" s="12">
        <v>0</v>
      </c>
      <c r="H43" s="8">
        <v>0</v>
      </c>
      <c r="I43" s="12">
        <v>0</v>
      </c>
    </row>
    <row r="46" spans="2:9" ht="33" customHeight="1" x14ac:dyDescent="0.2">
      <c r="B46" t="s">
        <v>262</v>
      </c>
      <c r="C46" s="10" t="s">
        <v>58</v>
      </c>
      <c r="D46" s="10" t="s">
        <v>59</v>
      </c>
      <c r="E46" s="10" t="s">
        <v>60</v>
      </c>
      <c r="F46" s="10" t="s">
        <v>61</v>
      </c>
      <c r="G46" s="10" t="s">
        <v>62</v>
      </c>
      <c r="H46" s="10" t="s">
        <v>63</v>
      </c>
      <c r="I46" s="10" t="s">
        <v>64</v>
      </c>
    </row>
    <row r="47" spans="2:9" ht="15" customHeight="1" x14ac:dyDescent="0.2">
      <c r="B47" t="s">
        <v>136</v>
      </c>
      <c r="C47" s="12">
        <v>26</v>
      </c>
      <c r="D47" s="8">
        <v>7.39</v>
      </c>
      <c r="E47" s="12">
        <v>26</v>
      </c>
      <c r="F47" s="8">
        <v>10.4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133</v>
      </c>
      <c r="C48" s="12">
        <v>24</v>
      </c>
      <c r="D48" s="8">
        <v>6.82</v>
      </c>
      <c r="E48" s="12">
        <v>23</v>
      </c>
      <c r="F48" s="8">
        <v>9.1999999999999993</v>
      </c>
      <c r="G48" s="12">
        <v>1</v>
      </c>
      <c r="H48" s="8">
        <v>1.04</v>
      </c>
      <c r="I48" s="12">
        <v>0</v>
      </c>
    </row>
    <row r="49" spans="2:9" ht="15" customHeight="1" x14ac:dyDescent="0.2">
      <c r="B49" t="s">
        <v>139</v>
      </c>
      <c r="C49" s="12">
        <v>20</v>
      </c>
      <c r="D49" s="8">
        <v>5.68</v>
      </c>
      <c r="E49" s="12">
        <v>18</v>
      </c>
      <c r="F49" s="8">
        <v>7.2</v>
      </c>
      <c r="G49" s="12">
        <v>2</v>
      </c>
      <c r="H49" s="8">
        <v>2.08</v>
      </c>
      <c r="I49" s="12">
        <v>0</v>
      </c>
    </row>
    <row r="50" spans="2:9" ht="15" customHeight="1" x14ac:dyDescent="0.2">
      <c r="B50" t="s">
        <v>132</v>
      </c>
      <c r="C50" s="12">
        <v>18</v>
      </c>
      <c r="D50" s="8">
        <v>5.1100000000000003</v>
      </c>
      <c r="E50" s="12">
        <v>17</v>
      </c>
      <c r="F50" s="8">
        <v>6.8</v>
      </c>
      <c r="G50" s="12">
        <v>1</v>
      </c>
      <c r="H50" s="8">
        <v>1.04</v>
      </c>
      <c r="I50" s="12">
        <v>0</v>
      </c>
    </row>
    <row r="51" spans="2:9" ht="15" customHeight="1" x14ac:dyDescent="0.2">
      <c r="B51" t="s">
        <v>123</v>
      </c>
      <c r="C51" s="12">
        <v>14</v>
      </c>
      <c r="D51" s="8">
        <v>3.98</v>
      </c>
      <c r="E51" s="12">
        <v>13</v>
      </c>
      <c r="F51" s="8">
        <v>5.2</v>
      </c>
      <c r="G51" s="12">
        <v>1</v>
      </c>
      <c r="H51" s="8">
        <v>1.04</v>
      </c>
      <c r="I51" s="12">
        <v>0</v>
      </c>
    </row>
    <row r="52" spans="2:9" ht="15" customHeight="1" x14ac:dyDescent="0.2">
      <c r="B52" t="s">
        <v>128</v>
      </c>
      <c r="C52" s="12">
        <v>14</v>
      </c>
      <c r="D52" s="8">
        <v>3.98</v>
      </c>
      <c r="E52" s="12">
        <v>3</v>
      </c>
      <c r="F52" s="8">
        <v>1.2</v>
      </c>
      <c r="G52" s="12">
        <v>10</v>
      </c>
      <c r="H52" s="8">
        <v>10.42</v>
      </c>
      <c r="I52" s="12">
        <v>0</v>
      </c>
    </row>
    <row r="53" spans="2:9" ht="15" customHeight="1" x14ac:dyDescent="0.2">
      <c r="B53" t="s">
        <v>141</v>
      </c>
      <c r="C53" s="12">
        <v>12</v>
      </c>
      <c r="D53" s="8">
        <v>3.41</v>
      </c>
      <c r="E53" s="12">
        <v>12</v>
      </c>
      <c r="F53" s="8">
        <v>4.8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137</v>
      </c>
      <c r="C54" s="12">
        <v>11</v>
      </c>
      <c r="D54" s="8">
        <v>3.13</v>
      </c>
      <c r="E54" s="12">
        <v>11</v>
      </c>
      <c r="F54" s="8">
        <v>4.4000000000000004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126</v>
      </c>
      <c r="C55" s="12">
        <v>8</v>
      </c>
      <c r="D55" s="8">
        <v>2.27</v>
      </c>
      <c r="E55" s="12">
        <v>7</v>
      </c>
      <c r="F55" s="8">
        <v>2.8</v>
      </c>
      <c r="G55" s="12">
        <v>1</v>
      </c>
      <c r="H55" s="8">
        <v>1.04</v>
      </c>
      <c r="I55" s="12">
        <v>0</v>
      </c>
    </row>
    <row r="56" spans="2:9" ht="15" customHeight="1" x14ac:dyDescent="0.2">
      <c r="B56" t="s">
        <v>147</v>
      </c>
      <c r="C56" s="12">
        <v>7</v>
      </c>
      <c r="D56" s="8">
        <v>1.99</v>
      </c>
      <c r="E56" s="12">
        <v>0</v>
      </c>
      <c r="F56" s="8">
        <v>0</v>
      </c>
      <c r="G56" s="12">
        <v>7</v>
      </c>
      <c r="H56" s="8">
        <v>7.29</v>
      </c>
      <c r="I56" s="12">
        <v>0</v>
      </c>
    </row>
    <row r="57" spans="2:9" ht="15" customHeight="1" x14ac:dyDescent="0.2">
      <c r="B57" t="s">
        <v>134</v>
      </c>
      <c r="C57" s="12">
        <v>7</v>
      </c>
      <c r="D57" s="8">
        <v>1.99</v>
      </c>
      <c r="E57" s="12">
        <v>7</v>
      </c>
      <c r="F57" s="8">
        <v>2.8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135</v>
      </c>
      <c r="C58" s="12">
        <v>7</v>
      </c>
      <c r="D58" s="8">
        <v>1.99</v>
      </c>
      <c r="E58" s="12">
        <v>7</v>
      </c>
      <c r="F58" s="8">
        <v>2.8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142</v>
      </c>
      <c r="C59" s="12">
        <v>6</v>
      </c>
      <c r="D59" s="8">
        <v>1.7</v>
      </c>
      <c r="E59" s="12">
        <v>4</v>
      </c>
      <c r="F59" s="8">
        <v>1.6</v>
      </c>
      <c r="G59" s="12">
        <v>2</v>
      </c>
      <c r="H59" s="8">
        <v>2.08</v>
      </c>
      <c r="I59" s="12">
        <v>0</v>
      </c>
    </row>
    <row r="60" spans="2:9" ht="15" customHeight="1" x14ac:dyDescent="0.2">
      <c r="B60" t="s">
        <v>144</v>
      </c>
      <c r="C60" s="12">
        <v>6</v>
      </c>
      <c r="D60" s="8">
        <v>1.7</v>
      </c>
      <c r="E60" s="12">
        <v>5</v>
      </c>
      <c r="F60" s="8">
        <v>2</v>
      </c>
      <c r="G60" s="12">
        <v>1</v>
      </c>
      <c r="H60" s="8">
        <v>1.04</v>
      </c>
      <c r="I60" s="12">
        <v>0</v>
      </c>
    </row>
    <row r="61" spans="2:9" ht="15" customHeight="1" x14ac:dyDescent="0.2">
      <c r="B61" t="s">
        <v>129</v>
      </c>
      <c r="C61" s="12">
        <v>6</v>
      </c>
      <c r="D61" s="8">
        <v>1.7</v>
      </c>
      <c r="E61" s="12">
        <v>0</v>
      </c>
      <c r="F61" s="8">
        <v>0</v>
      </c>
      <c r="G61" s="12">
        <v>6</v>
      </c>
      <c r="H61" s="8">
        <v>6.25</v>
      </c>
      <c r="I61" s="12">
        <v>0</v>
      </c>
    </row>
    <row r="62" spans="2:9" ht="15" customHeight="1" x14ac:dyDescent="0.2">
      <c r="B62" t="s">
        <v>138</v>
      </c>
      <c r="C62" s="12">
        <v>6</v>
      </c>
      <c r="D62" s="8">
        <v>1.7</v>
      </c>
      <c r="E62" s="12">
        <v>2</v>
      </c>
      <c r="F62" s="8">
        <v>0.8</v>
      </c>
      <c r="G62" s="12">
        <v>4</v>
      </c>
      <c r="H62" s="8">
        <v>4.17</v>
      </c>
      <c r="I62" s="12">
        <v>0</v>
      </c>
    </row>
    <row r="63" spans="2:9" ht="15" customHeight="1" x14ac:dyDescent="0.2">
      <c r="B63" t="s">
        <v>146</v>
      </c>
      <c r="C63" s="12">
        <v>5</v>
      </c>
      <c r="D63" s="8">
        <v>1.42</v>
      </c>
      <c r="E63" s="12">
        <v>1</v>
      </c>
      <c r="F63" s="8">
        <v>0.4</v>
      </c>
      <c r="G63" s="12">
        <v>4</v>
      </c>
      <c r="H63" s="8">
        <v>4.17</v>
      </c>
      <c r="I63" s="12">
        <v>0</v>
      </c>
    </row>
    <row r="64" spans="2:9" ht="15" customHeight="1" x14ac:dyDescent="0.2">
      <c r="B64" t="s">
        <v>209</v>
      </c>
      <c r="C64" s="12">
        <v>5</v>
      </c>
      <c r="D64" s="8">
        <v>1.42</v>
      </c>
      <c r="E64" s="12">
        <v>3</v>
      </c>
      <c r="F64" s="8">
        <v>1.2</v>
      </c>
      <c r="G64" s="12">
        <v>2</v>
      </c>
      <c r="H64" s="8">
        <v>2.08</v>
      </c>
      <c r="I64" s="12">
        <v>0</v>
      </c>
    </row>
    <row r="65" spans="2:9" ht="15" customHeight="1" x14ac:dyDescent="0.2">
      <c r="B65" t="s">
        <v>124</v>
      </c>
      <c r="C65" s="12">
        <v>5</v>
      </c>
      <c r="D65" s="8">
        <v>1.42</v>
      </c>
      <c r="E65" s="12">
        <v>5</v>
      </c>
      <c r="F65" s="8">
        <v>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149</v>
      </c>
      <c r="C66" s="12">
        <v>5</v>
      </c>
      <c r="D66" s="8">
        <v>1.42</v>
      </c>
      <c r="E66" s="12">
        <v>5</v>
      </c>
      <c r="F66" s="8">
        <v>2</v>
      </c>
      <c r="G66" s="12">
        <v>0</v>
      </c>
      <c r="H66" s="8">
        <v>0</v>
      </c>
      <c r="I66" s="12">
        <v>0</v>
      </c>
    </row>
    <row r="68" spans="2:9" ht="15" customHeight="1" x14ac:dyDescent="0.2">
      <c r="B68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F6A4B-1E13-4691-966E-F58A04887414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286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54</v>
      </c>
      <c r="D6" s="8">
        <v>7.7</v>
      </c>
      <c r="E6" s="12">
        <v>15</v>
      </c>
      <c r="F6" s="8">
        <v>4.03</v>
      </c>
      <c r="G6" s="12">
        <v>39</v>
      </c>
      <c r="H6" s="8">
        <v>12.7</v>
      </c>
      <c r="I6" s="12">
        <v>0</v>
      </c>
    </row>
    <row r="7" spans="2:9" ht="15" customHeight="1" x14ac:dyDescent="0.2">
      <c r="B7" t="s">
        <v>44</v>
      </c>
      <c r="C7" s="12">
        <v>13</v>
      </c>
      <c r="D7" s="8">
        <v>1.85</v>
      </c>
      <c r="E7" s="12">
        <v>5</v>
      </c>
      <c r="F7" s="8">
        <v>1.34</v>
      </c>
      <c r="G7" s="12">
        <v>8</v>
      </c>
      <c r="H7" s="8">
        <v>2.61</v>
      </c>
      <c r="I7" s="12">
        <v>0</v>
      </c>
    </row>
    <row r="8" spans="2:9" ht="15" customHeight="1" x14ac:dyDescent="0.2">
      <c r="B8" t="s">
        <v>45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46</v>
      </c>
      <c r="C9" s="12">
        <v>4</v>
      </c>
      <c r="D9" s="8">
        <v>0.56999999999999995</v>
      </c>
      <c r="E9" s="12">
        <v>1</v>
      </c>
      <c r="F9" s="8">
        <v>0.27</v>
      </c>
      <c r="G9" s="12">
        <v>3</v>
      </c>
      <c r="H9" s="8">
        <v>0.98</v>
      </c>
      <c r="I9" s="12">
        <v>0</v>
      </c>
    </row>
    <row r="10" spans="2:9" ht="15" customHeight="1" x14ac:dyDescent="0.2">
      <c r="B10" t="s">
        <v>47</v>
      </c>
      <c r="C10" s="12">
        <v>3</v>
      </c>
      <c r="D10" s="8">
        <v>0.43</v>
      </c>
      <c r="E10" s="12">
        <v>3</v>
      </c>
      <c r="F10" s="8">
        <v>0.81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48</v>
      </c>
      <c r="C11" s="12">
        <v>163</v>
      </c>
      <c r="D11" s="8">
        <v>23.25</v>
      </c>
      <c r="E11" s="12">
        <v>88</v>
      </c>
      <c r="F11" s="8">
        <v>23.66</v>
      </c>
      <c r="G11" s="12">
        <v>74</v>
      </c>
      <c r="H11" s="8">
        <v>24.1</v>
      </c>
      <c r="I11" s="12">
        <v>1</v>
      </c>
    </row>
    <row r="12" spans="2:9" ht="15" customHeight="1" x14ac:dyDescent="0.2">
      <c r="B12" t="s">
        <v>49</v>
      </c>
      <c r="C12" s="12">
        <v>4</v>
      </c>
      <c r="D12" s="8">
        <v>0.56999999999999995</v>
      </c>
      <c r="E12" s="12">
        <v>0</v>
      </c>
      <c r="F12" s="8">
        <v>0</v>
      </c>
      <c r="G12" s="12">
        <v>4</v>
      </c>
      <c r="H12" s="8">
        <v>1.3</v>
      </c>
      <c r="I12" s="12">
        <v>0</v>
      </c>
    </row>
    <row r="13" spans="2:9" ht="15" customHeight="1" x14ac:dyDescent="0.2">
      <c r="B13" t="s">
        <v>50</v>
      </c>
      <c r="C13" s="12">
        <v>115</v>
      </c>
      <c r="D13" s="8">
        <v>16.41</v>
      </c>
      <c r="E13" s="12">
        <v>40</v>
      </c>
      <c r="F13" s="8">
        <v>10.75</v>
      </c>
      <c r="G13" s="12">
        <v>74</v>
      </c>
      <c r="H13" s="8">
        <v>24.1</v>
      </c>
      <c r="I13" s="12">
        <v>0</v>
      </c>
    </row>
    <row r="14" spans="2:9" ht="15" customHeight="1" x14ac:dyDescent="0.2">
      <c r="B14" t="s">
        <v>51</v>
      </c>
      <c r="C14" s="12">
        <v>30</v>
      </c>
      <c r="D14" s="8">
        <v>4.28</v>
      </c>
      <c r="E14" s="12">
        <v>16</v>
      </c>
      <c r="F14" s="8">
        <v>4.3</v>
      </c>
      <c r="G14" s="12">
        <v>13</v>
      </c>
      <c r="H14" s="8">
        <v>4.2300000000000004</v>
      </c>
      <c r="I14" s="12">
        <v>0</v>
      </c>
    </row>
    <row r="15" spans="2:9" ht="15" customHeight="1" x14ac:dyDescent="0.2">
      <c r="B15" t="s">
        <v>52</v>
      </c>
      <c r="C15" s="12">
        <v>108</v>
      </c>
      <c r="D15" s="8">
        <v>15.41</v>
      </c>
      <c r="E15" s="12">
        <v>65</v>
      </c>
      <c r="F15" s="8">
        <v>17.47</v>
      </c>
      <c r="G15" s="12">
        <v>43</v>
      </c>
      <c r="H15" s="8">
        <v>14.01</v>
      </c>
      <c r="I15" s="12">
        <v>0</v>
      </c>
    </row>
    <row r="16" spans="2:9" ht="15" customHeight="1" x14ac:dyDescent="0.2">
      <c r="B16" t="s">
        <v>53</v>
      </c>
      <c r="C16" s="12">
        <v>115</v>
      </c>
      <c r="D16" s="8">
        <v>16.41</v>
      </c>
      <c r="E16" s="12">
        <v>85</v>
      </c>
      <c r="F16" s="8">
        <v>22.85</v>
      </c>
      <c r="G16" s="12">
        <v>27</v>
      </c>
      <c r="H16" s="8">
        <v>8.7899999999999991</v>
      </c>
      <c r="I16" s="12">
        <v>2</v>
      </c>
    </row>
    <row r="17" spans="2:9" ht="15" customHeight="1" x14ac:dyDescent="0.2">
      <c r="B17" t="s">
        <v>54</v>
      </c>
      <c r="C17" s="12">
        <v>44</v>
      </c>
      <c r="D17" s="8">
        <v>6.28</v>
      </c>
      <c r="E17" s="12">
        <v>27</v>
      </c>
      <c r="F17" s="8">
        <v>7.26</v>
      </c>
      <c r="G17" s="12">
        <v>6</v>
      </c>
      <c r="H17" s="8">
        <v>1.95</v>
      </c>
      <c r="I17" s="12">
        <v>0</v>
      </c>
    </row>
    <row r="18" spans="2:9" ht="15" customHeight="1" x14ac:dyDescent="0.2">
      <c r="B18" t="s">
        <v>55</v>
      </c>
      <c r="C18" s="12">
        <v>28</v>
      </c>
      <c r="D18" s="8">
        <v>3.99</v>
      </c>
      <c r="E18" s="12">
        <v>14</v>
      </c>
      <c r="F18" s="8">
        <v>3.76</v>
      </c>
      <c r="G18" s="12">
        <v>9</v>
      </c>
      <c r="H18" s="8">
        <v>2.93</v>
      </c>
      <c r="I18" s="12">
        <v>0</v>
      </c>
    </row>
    <row r="19" spans="2:9" ht="15" customHeight="1" x14ac:dyDescent="0.2">
      <c r="B19" t="s">
        <v>56</v>
      </c>
      <c r="C19" s="12">
        <v>20</v>
      </c>
      <c r="D19" s="8">
        <v>2.85</v>
      </c>
      <c r="E19" s="12">
        <v>13</v>
      </c>
      <c r="F19" s="8">
        <v>3.49</v>
      </c>
      <c r="G19" s="12">
        <v>7</v>
      </c>
      <c r="H19" s="8">
        <v>2.2799999999999998</v>
      </c>
      <c r="I19" s="12">
        <v>0</v>
      </c>
    </row>
    <row r="20" spans="2:9" ht="15" customHeight="1" x14ac:dyDescent="0.2">
      <c r="B20" s="9" t="s">
        <v>260</v>
      </c>
      <c r="C20" s="12">
        <f>SUM(LTBL_47326[総数／事業所数])</f>
        <v>701</v>
      </c>
      <c r="E20" s="12">
        <f>SUBTOTAL(109,LTBL_47326[個人／事業所数])</f>
        <v>372</v>
      </c>
      <c r="G20" s="12">
        <f>SUBTOTAL(109,LTBL_47326[法人／事業所数])</f>
        <v>307</v>
      </c>
      <c r="I20" s="12">
        <f>SUBTOTAL(109,LTBL_47326[法人以外の団体／事業所数])</f>
        <v>3</v>
      </c>
    </row>
    <row r="21" spans="2:9" ht="15" customHeight="1" x14ac:dyDescent="0.2">
      <c r="E21" s="11">
        <f>LTBL_47326[[#Totals],[個人／事業所数]]/LTBL_47326[[#Totals],[総数／事業所数]]</f>
        <v>0.53067047075606277</v>
      </c>
      <c r="G21" s="11">
        <f>LTBL_47326[[#Totals],[法人／事業所数]]/LTBL_47326[[#Totals],[総数／事業所数]]</f>
        <v>0.43794579172610554</v>
      </c>
      <c r="I21" s="11">
        <f>LTBL_47326[[#Totals],[法人以外の団体／事業所数]]/LTBL_47326[[#Totals],[総数／事業所数]]</f>
        <v>4.2796005706134095E-3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73</v>
      </c>
      <c r="C24" s="12">
        <v>92</v>
      </c>
      <c r="D24" s="8">
        <v>13.12</v>
      </c>
      <c r="E24" s="12">
        <v>35</v>
      </c>
      <c r="F24" s="8">
        <v>9.41</v>
      </c>
      <c r="G24" s="12">
        <v>56</v>
      </c>
      <c r="H24" s="8">
        <v>18.239999999999998</v>
      </c>
      <c r="I24" s="12">
        <v>0</v>
      </c>
    </row>
    <row r="25" spans="2:9" ht="15" customHeight="1" x14ac:dyDescent="0.2">
      <c r="B25" t="s">
        <v>78</v>
      </c>
      <c r="C25" s="12">
        <v>91</v>
      </c>
      <c r="D25" s="8">
        <v>12.98</v>
      </c>
      <c r="E25" s="12">
        <v>76</v>
      </c>
      <c r="F25" s="8">
        <v>20.43</v>
      </c>
      <c r="G25" s="12">
        <v>15</v>
      </c>
      <c r="H25" s="8">
        <v>4.8899999999999997</v>
      </c>
      <c r="I25" s="12">
        <v>0</v>
      </c>
    </row>
    <row r="26" spans="2:9" ht="15" customHeight="1" x14ac:dyDescent="0.2">
      <c r="B26" t="s">
        <v>77</v>
      </c>
      <c r="C26" s="12">
        <v>90</v>
      </c>
      <c r="D26" s="8">
        <v>12.84</v>
      </c>
      <c r="E26" s="12">
        <v>58</v>
      </c>
      <c r="F26" s="8">
        <v>15.59</v>
      </c>
      <c r="G26" s="12">
        <v>32</v>
      </c>
      <c r="H26" s="8">
        <v>10.42</v>
      </c>
      <c r="I26" s="12">
        <v>0</v>
      </c>
    </row>
    <row r="27" spans="2:9" ht="15" customHeight="1" x14ac:dyDescent="0.2">
      <c r="B27" t="s">
        <v>71</v>
      </c>
      <c r="C27" s="12">
        <v>57</v>
      </c>
      <c r="D27" s="8">
        <v>8.1300000000000008</v>
      </c>
      <c r="E27" s="12">
        <v>32</v>
      </c>
      <c r="F27" s="8">
        <v>8.6</v>
      </c>
      <c r="G27" s="12">
        <v>25</v>
      </c>
      <c r="H27" s="8">
        <v>8.14</v>
      </c>
      <c r="I27" s="12">
        <v>0</v>
      </c>
    </row>
    <row r="28" spans="2:9" ht="15" customHeight="1" x14ac:dyDescent="0.2">
      <c r="B28" t="s">
        <v>81</v>
      </c>
      <c r="C28" s="12">
        <v>44</v>
      </c>
      <c r="D28" s="8">
        <v>6.28</v>
      </c>
      <c r="E28" s="12">
        <v>27</v>
      </c>
      <c r="F28" s="8">
        <v>7.26</v>
      </c>
      <c r="G28" s="12">
        <v>6</v>
      </c>
      <c r="H28" s="8">
        <v>1.95</v>
      </c>
      <c r="I28" s="12">
        <v>0</v>
      </c>
    </row>
    <row r="29" spans="2:9" ht="15" customHeight="1" x14ac:dyDescent="0.2">
      <c r="B29" t="s">
        <v>68</v>
      </c>
      <c r="C29" s="12">
        <v>34</v>
      </c>
      <c r="D29" s="8">
        <v>4.8499999999999996</v>
      </c>
      <c r="E29" s="12">
        <v>19</v>
      </c>
      <c r="F29" s="8">
        <v>5.1100000000000003</v>
      </c>
      <c r="G29" s="12">
        <v>15</v>
      </c>
      <c r="H29" s="8">
        <v>4.8899999999999997</v>
      </c>
      <c r="I29" s="12">
        <v>0</v>
      </c>
    </row>
    <row r="30" spans="2:9" ht="15" customHeight="1" x14ac:dyDescent="0.2">
      <c r="B30" t="s">
        <v>69</v>
      </c>
      <c r="C30" s="12">
        <v>30</v>
      </c>
      <c r="D30" s="8">
        <v>4.28</v>
      </c>
      <c r="E30" s="12">
        <v>18</v>
      </c>
      <c r="F30" s="8">
        <v>4.84</v>
      </c>
      <c r="G30" s="12">
        <v>12</v>
      </c>
      <c r="H30" s="8">
        <v>3.91</v>
      </c>
      <c r="I30" s="12">
        <v>0</v>
      </c>
    </row>
    <row r="31" spans="2:9" ht="15" customHeight="1" x14ac:dyDescent="0.2">
      <c r="B31" t="s">
        <v>65</v>
      </c>
      <c r="C31" s="12">
        <v>23</v>
      </c>
      <c r="D31" s="8">
        <v>3.28</v>
      </c>
      <c r="E31" s="12">
        <v>3</v>
      </c>
      <c r="F31" s="8">
        <v>0.81</v>
      </c>
      <c r="G31" s="12">
        <v>20</v>
      </c>
      <c r="H31" s="8">
        <v>6.51</v>
      </c>
      <c r="I31" s="12">
        <v>0</v>
      </c>
    </row>
    <row r="32" spans="2:9" ht="15" customHeight="1" x14ac:dyDescent="0.2">
      <c r="B32" t="s">
        <v>70</v>
      </c>
      <c r="C32" s="12">
        <v>19</v>
      </c>
      <c r="D32" s="8">
        <v>2.71</v>
      </c>
      <c r="E32" s="12">
        <v>11</v>
      </c>
      <c r="F32" s="8">
        <v>2.96</v>
      </c>
      <c r="G32" s="12">
        <v>7</v>
      </c>
      <c r="H32" s="8">
        <v>2.2799999999999998</v>
      </c>
      <c r="I32" s="12">
        <v>1</v>
      </c>
    </row>
    <row r="33" spans="2:9" ht="15" customHeight="1" x14ac:dyDescent="0.2">
      <c r="B33" t="s">
        <v>75</v>
      </c>
      <c r="C33" s="12">
        <v>18</v>
      </c>
      <c r="D33" s="8">
        <v>2.57</v>
      </c>
      <c r="E33" s="12">
        <v>6</v>
      </c>
      <c r="F33" s="8">
        <v>1.61</v>
      </c>
      <c r="G33" s="12">
        <v>11</v>
      </c>
      <c r="H33" s="8">
        <v>3.58</v>
      </c>
      <c r="I33" s="12">
        <v>0</v>
      </c>
    </row>
    <row r="34" spans="2:9" ht="15" customHeight="1" x14ac:dyDescent="0.2">
      <c r="B34" t="s">
        <v>72</v>
      </c>
      <c r="C34" s="12">
        <v>17</v>
      </c>
      <c r="D34" s="8">
        <v>2.4300000000000002</v>
      </c>
      <c r="E34" s="12">
        <v>4</v>
      </c>
      <c r="F34" s="8">
        <v>1.08</v>
      </c>
      <c r="G34" s="12">
        <v>13</v>
      </c>
      <c r="H34" s="8">
        <v>4.2300000000000004</v>
      </c>
      <c r="I34" s="12">
        <v>0</v>
      </c>
    </row>
    <row r="35" spans="2:9" ht="15" customHeight="1" x14ac:dyDescent="0.2">
      <c r="B35" t="s">
        <v>67</v>
      </c>
      <c r="C35" s="12">
        <v>16</v>
      </c>
      <c r="D35" s="8">
        <v>2.2799999999999998</v>
      </c>
      <c r="E35" s="12">
        <v>6</v>
      </c>
      <c r="F35" s="8">
        <v>1.61</v>
      </c>
      <c r="G35" s="12">
        <v>10</v>
      </c>
      <c r="H35" s="8">
        <v>3.26</v>
      </c>
      <c r="I35" s="12">
        <v>0</v>
      </c>
    </row>
    <row r="36" spans="2:9" ht="15" customHeight="1" x14ac:dyDescent="0.2">
      <c r="B36" t="s">
        <v>76</v>
      </c>
      <c r="C36" s="12">
        <v>16</v>
      </c>
      <c r="D36" s="8">
        <v>2.2799999999999998</v>
      </c>
      <c r="E36" s="12">
        <v>6</v>
      </c>
      <c r="F36" s="8">
        <v>1.61</v>
      </c>
      <c r="G36" s="12">
        <v>10</v>
      </c>
      <c r="H36" s="8">
        <v>3.26</v>
      </c>
      <c r="I36" s="12">
        <v>0</v>
      </c>
    </row>
    <row r="37" spans="2:9" ht="15" customHeight="1" x14ac:dyDescent="0.2">
      <c r="B37" t="s">
        <v>66</v>
      </c>
      <c r="C37" s="12">
        <v>15</v>
      </c>
      <c r="D37" s="8">
        <v>2.14</v>
      </c>
      <c r="E37" s="12">
        <v>6</v>
      </c>
      <c r="F37" s="8">
        <v>1.61</v>
      </c>
      <c r="G37" s="12">
        <v>9</v>
      </c>
      <c r="H37" s="8">
        <v>2.93</v>
      </c>
      <c r="I37" s="12">
        <v>0</v>
      </c>
    </row>
    <row r="38" spans="2:9" ht="15" customHeight="1" x14ac:dyDescent="0.2">
      <c r="B38" t="s">
        <v>83</v>
      </c>
      <c r="C38" s="12">
        <v>15</v>
      </c>
      <c r="D38" s="8">
        <v>2.14</v>
      </c>
      <c r="E38" s="12">
        <v>3</v>
      </c>
      <c r="F38" s="8">
        <v>0.81</v>
      </c>
      <c r="G38" s="12">
        <v>7</v>
      </c>
      <c r="H38" s="8">
        <v>2.2799999999999998</v>
      </c>
      <c r="I38" s="12">
        <v>0</v>
      </c>
    </row>
    <row r="39" spans="2:9" ht="15" customHeight="1" x14ac:dyDescent="0.2">
      <c r="B39" t="s">
        <v>80</v>
      </c>
      <c r="C39" s="12">
        <v>13</v>
      </c>
      <c r="D39" s="8">
        <v>1.85</v>
      </c>
      <c r="E39" s="12">
        <v>5</v>
      </c>
      <c r="F39" s="8">
        <v>1.34</v>
      </c>
      <c r="G39" s="12">
        <v>6</v>
      </c>
      <c r="H39" s="8">
        <v>1.95</v>
      </c>
      <c r="I39" s="12">
        <v>1</v>
      </c>
    </row>
    <row r="40" spans="2:9" ht="15" customHeight="1" x14ac:dyDescent="0.2">
      <c r="B40" t="s">
        <v>82</v>
      </c>
      <c r="C40" s="12">
        <v>13</v>
      </c>
      <c r="D40" s="8">
        <v>1.85</v>
      </c>
      <c r="E40" s="12">
        <v>11</v>
      </c>
      <c r="F40" s="8">
        <v>2.96</v>
      </c>
      <c r="G40" s="12">
        <v>2</v>
      </c>
      <c r="H40" s="8">
        <v>0.65</v>
      </c>
      <c r="I40" s="12">
        <v>0</v>
      </c>
    </row>
    <row r="41" spans="2:9" ht="15" customHeight="1" x14ac:dyDescent="0.2">
      <c r="B41" t="s">
        <v>74</v>
      </c>
      <c r="C41" s="12">
        <v>12</v>
      </c>
      <c r="D41" s="8">
        <v>1.71</v>
      </c>
      <c r="E41" s="12">
        <v>10</v>
      </c>
      <c r="F41" s="8">
        <v>2.69</v>
      </c>
      <c r="G41" s="12">
        <v>2</v>
      </c>
      <c r="H41" s="8">
        <v>0.65</v>
      </c>
      <c r="I41" s="12">
        <v>0</v>
      </c>
    </row>
    <row r="42" spans="2:9" ht="15" customHeight="1" x14ac:dyDescent="0.2">
      <c r="B42" t="s">
        <v>79</v>
      </c>
      <c r="C42" s="12">
        <v>11</v>
      </c>
      <c r="D42" s="8">
        <v>1.57</v>
      </c>
      <c r="E42" s="12">
        <v>4</v>
      </c>
      <c r="F42" s="8">
        <v>1.08</v>
      </c>
      <c r="G42" s="12">
        <v>6</v>
      </c>
      <c r="H42" s="8">
        <v>1.95</v>
      </c>
      <c r="I42" s="12">
        <v>1</v>
      </c>
    </row>
    <row r="43" spans="2:9" ht="15" customHeight="1" x14ac:dyDescent="0.2">
      <c r="B43" t="s">
        <v>86</v>
      </c>
      <c r="C43" s="12">
        <v>9</v>
      </c>
      <c r="D43" s="8">
        <v>1.28</v>
      </c>
      <c r="E43" s="12">
        <v>1</v>
      </c>
      <c r="F43" s="8">
        <v>0.27</v>
      </c>
      <c r="G43" s="12">
        <v>8</v>
      </c>
      <c r="H43" s="8">
        <v>2.61</v>
      </c>
      <c r="I43" s="12">
        <v>0</v>
      </c>
    </row>
    <row r="44" spans="2:9" ht="15" customHeight="1" x14ac:dyDescent="0.2">
      <c r="B44" t="s">
        <v>84</v>
      </c>
      <c r="C44" s="12">
        <v>9</v>
      </c>
      <c r="D44" s="8">
        <v>1.28</v>
      </c>
      <c r="E44" s="12">
        <v>8</v>
      </c>
      <c r="F44" s="8">
        <v>2.15</v>
      </c>
      <c r="G44" s="12">
        <v>1</v>
      </c>
      <c r="H44" s="8">
        <v>0.33</v>
      </c>
      <c r="I44" s="12">
        <v>0</v>
      </c>
    </row>
    <row r="47" spans="2:9" ht="33" customHeight="1" x14ac:dyDescent="0.2">
      <c r="B47" t="s">
        <v>262</v>
      </c>
      <c r="C47" s="10" t="s">
        <v>58</v>
      </c>
      <c r="D47" s="10" t="s">
        <v>59</v>
      </c>
      <c r="E47" s="10" t="s">
        <v>60</v>
      </c>
      <c r="F47" s="10" t="s">
        <v>61</v>
      </c>
      <c r="G47" s="10" t="s">
        <v>62</v>
      </c>
      <c r="H47" s="10" t="s">
        <v>63</v>
      </c>
      <c r="I47" s="10" t="s">
        <v>64</v>
      </c>
    </row>
    <row r="48" spans="2:9" ht="15" customHeight="1" x14ac:dyDescent="0.2">
      <c r="B48" t="s">
        <v>128</v>
      </c>
      <c r="C48" s="12">
        <v>73</v>
      </c>
      <c r="D48" s="8">
        <v>10.41</v>
      </c>
      <c r="E48" s="12">
        <v>34</v>
      </c>
      <c r="F48" s="8">
        <v>9.14</v>
      </c>
      <c r="G48" s="12">
        <v>39</v>
      </c>
      <c r="H48" s="8">
        <v>12.7</v>
      </c>
      <c r="I48" s="12">
        <v>0</v>
      </c>
    </row>
    <row r="49" spans="2:9" ht="15" customHeight="1" x14ac:dyDescent="0.2">
      <c r="B49" t="s">
        <v>136</v>
      </c>
      <c r="C49" s="12">
        <v>45</v>
      </c>
      <c r="D49" s="8">
        <v>6.42</v>
      </c>
      <c r="E49" s="12">
        <v>36</v>
      </c>
      <c r="F49" s="8">
        <v>9.68</v>
      </c>
      <c r="G49" s="12">
        <v>9</v>
      </c>
      <c r="H49" s="8">
        <v>2.93</v>
      </c>
      <c r="I49" s="12">
        <v>0</v>
      </c>
    </row>
    <row r="50" spans="2:9" ht="15" customHeight="1" x14ac:dyDescent="0.2">
      <c r="B50" t="s">
        <v>139</v>
      </c>
      <c r="C50" s="12">
        <v>27</v>
      </c>
      <c r="D50" s="8">
        <v>3.85</v>
      </c>
      <c r="E50" s="12">
        <v>25</v>
      </c>
      <c r="F50" s="8">
        <v>6.72</v>
      </c>
      <c r="G50" s="12">
        <v>2</v>
      </c>
      <c r="H50" s="8">
        <v>0.65</v>
      </c>
      <c r="I50" s="12">
        <v>0</v>
      </c>
    </row>
    <row r="51" spans="2:9" ht="15" customHeight="1" x14ac:dyDescent="0.2">
      <c r="B51" t="s">
        <v>132</v>
      </c>
      <c r="C51" s="12">
        <v>24</v>
      </c>
      <c r="D51" s="8">
        <v>3.42</v>
      </c>
      <c r="E51" s="12">
        <v>20</v>
      </c>
      <c r="F51" s="8">
        <v>5.38</v>
      </c>
      <c r="G51" s="12">
        <v>4</v>
      </c>
      <c r="H51" s="8">
        <v>1.3</v>
      </c>
      <c r="I51" s="12">
        <v>0</v>
      </c>
    </row>
    <row r="52" spans="2:9" ht="15" customHeight="1" x14ac:dyDescent="0.2">
      <c r="B52" t="s">
        <v>137</v>
      </c>
      <c r="C52" s="12">
        <v>24</v>
      </c>
      <c r="D52" s="8">
        <v>3.42</v>
      </c>
      <c r="E52" s="12">
        <v>21</v>
      </c>
      <c r="F52" s="8">
        <v>5.65</v>
      </c>
      <c r="G52" s="12">
        <v>3</v>
      </c>
      <c r="H52" s="8">
        <v>0.98</v>
      </c>
      <c r="I52" s="12">
        <v>0</v>
      </c>
    </row>
    <row r="53" spans="2:9" ht="15" customHeight="1" x14ac:dyDescent="0.2">
      <c r="B53" t="s">
        <v>131</v>
      </c>
      <c r="C53" s="12">
        <v>22</v>
      </c>
      <c r="D53" s="8">
        <v>3.14</v>
      </c>
      <c r="E53" s="12">
        <v>12</v>
      </c>
      <c r="F53" s="8">
        <v>3.23</v>
      </c>
      <c r="G53" s="12">
        <v>10</v>
      </c>
      <c r="H53" s="8">
        <v>3.26</v>
      </c>
      <c r="I53" s="12">
        <v>0</v>
      </c>
    </row>
    <row r="54" spans="2:9" ht="15" customHeight="1" x14ac:dyDescent="0.2">
      <c r="B54" t="s">
        <v>126</v>
      </c>
      <c r="C54" s="12">
        <v>21</v>
      </c>
      <c r="D54" s="8">
        <v>3</v>
      </c>
      <c r="E54" s="12">
        <v>13</v>
      </c>
      <c r="F54" s="8">
        <v>3.49</v>
      </c>
      <c r="G54" s="12">
        <v>8</v>
      </c>
      <c r="H54" s="8">
        <v>2.61</v>
      </c>
      <c r="I54" s="12">
        <v>0</v>
      </c>
    </row>
    <row r="55" spans="2:9" ht="15" customHeight="1" x14ac:dyDescent="0.2">
      <c r="B55" t="s">
        <v>135</v>
      </c>
      <c r="C55" s="12">
        <v>17</v>
      </c>
      <c r="D55" s="8">
        <v>2.4300000000000002</v>
      </c>
      <c r="E55" s="12">
        <v>17</v>
      </c>
      <c r="F55" s="8">
        <v>4.57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143</v>
      </c>
      <c r="C56" s="12">
        <v>15</v>
      </c>
      <c r="D56" s="8">
        <v>2.14</v>
      </c>
      <c r="E56" s="12">
        <v>6</v>
      </c>
      <c r="F56" s="8">
        <v>1.61</v>
      </c>
      <c r="G56" s="12">
        <v>9</v>
      </c>
      <c r="H56" s="8">
        <v>2.93</v>
      </c>
      <c r="I56" s="12">
        <v>0</v>
      </c>
    </row>
    <row r="57" spans="2:9" ht="15" customHeight="1" x14ac:dyDescent="0.2">
      <c r="B57" t="s">
        <v>127</v>
      </c>
      <c r="C57" s="12">
        <v>15</v>
      </c>
      <c r="D57" s="8">
        <v>2.14</v>
      </c>
      <c r="E57" s="12">
        <v>1</v>
      </c>
      <c r="F57" s="8">
        <v>0.27</v>
      </c>
      <c r="G57" s="12">
        <v>13</v>
      </c>
      <c r="H57" s="8">
        <v>4.2300000000000004</v>
      </c>
      <c r="I57" s="12">
        <v>0</v>
      </c>
    </row>
    <row r="58" spans="2:9" ht="15" customHeight="1" x14ac:dyDescent="0.2">
      <c r="B58" t="s">
        <v>123</v>
      </c>
      <c r="C58" s="12">
        <v>14</v>
      </c>
      <c r="D58" s="8">
        <v>2</v>
      </c>
      <c r="E58" s="12">
        <v>9</v>
      </c>
      <c r="F58" s="8">
        <v>2.42</v>
      </c>
      <c r="G58" s="12">
        <v>5</v>
      </c>
      <c r="H58" s="8">
        <v>1.63</v>
      </c>
      <c r="I58" s="12">
        <v>0</v>
      </c>
    </row>
    <row r="59" spans="2:9" ht="15" customHeight="1" x14ac:dyDescent="0.2">
      <c r="B59" t="s">
        <v>145</v>
      </c>
      <c r="C59" s="12">
        <v>14</v>
      </c>
      <c r="D59" s="8">
        <v>2</v>
      </c>
      <c r="E59" s="12">
        <v>4</v>
      </c>
      <c r="F59" s="8">
        <v>1.08</v>
      </c>
      <c r="G59" s="12">
        <v>10</v>
      </c>
      <c r="H59" s="8">
        <v>3.26</v>
      </c>
      <c r="I59" s="12">
        <v>0</v>
      </c>
    </row>
    <row r="60" spans="2:9" ht="15" customHeight="1" x14ac:dyDescent="0.2">
      <c r="B60" t="s">
        <v>129</v>
      </c>
      <c r="C60" s="12">
        <v>14</v>
      </c>
      <c r="D60" s="8">
        <v>2</v>
      </c>
      <c r="E60" s="12">
        <v>5</v>
      </c>
      <c r="F60" s="8">
        <v>1.34</v>
      </c>
      <c r="G60" s="12">
        <v>8</v>
      </c>
      <c r="H60" s="8">
        <v>2.61</v>
      </c>
      <c r="I60" s="12">
        <v>0</v>
      </c>
    </row>
    <row r="61" spans="2:9" ht="15" customHeight="1" x14ac:dyDescent="0.2">
      <c r="B61" t="s">
        <v>144</v>
      </c>
      <c r="C61" s="12">
        <v>13</v>
      </c>
      <c r="D61" s="8">
        <v>1.85</v>
      </c>
      <c r="E61" s="12">
        <v>7</v>
      </c>
      <c r="F61" s="8">
        <v>1.88</v>
      </c>
      <c r="G61" s="12">
        <v>6</v>
      </c>
      <c r="H61" s="8">
        <v>1.95</v>
      </c>
      <c r="I61" s="12">
        <v>0</v>
      </c>
    </row>
    <row r="62" spans="2:9" ht="15" customHeight="1" x14ac:dyDescent="0.2">
      <c r="B62" t="s">
        <v>146</v>
      </c>
      <c r="C62" s="12">
        <v>11</v>
      </c>
      <c r="D62" s="8">
        <v>1.57</v>
      </c>
      <c r="E62" s="12">
        <v>3</v>
      </c>
      <c r="F62" s="8">
        <v>0.81</v>
      </c>
      <c r="G62" s="12">
        <v>8</v>
      </c>
      <c r="H62" s="8">
        <v>2.61</v>
      </c>
      <c r="I62" s="12">
        <v>0</v>
      </c>
    </row>
    <row r="63" spans="2:9" ht="15" customHeight="1" x14ac:dyDescent="0.2">
      <c r="B63" t="s">
        <v>142</v>
      </c>
      <c r="C63" s="12">
        <v>11</v>
      </c>
      <c r="D63" s="8">
        <v>1.57</v>
      </c>
      <c r="E63" s="12">
        <v>8</v>
      </c>
      <c r="F63" s="8">
        <v>2.15</v>
      </c>
      <c r="G63" s="12">
        <v>3</v>
      </c>
      <c r="H63" s="8">
        <v>0.98</v>
      </c>
      <c r="I63" s="12">
        <v>0</v>
      </c>
    </row>
    <row r="64" spans="2:9" ht="15" customHeight="1" x14ac:dyDescent="0.2">
      <c r="B64" t="s">
        <v>124</v>
      </c>
      <c r="C64" s="12">
        <v>11</v>
      </c>
      <c r="D64" s="8">
        <v>1.57</v>
      </c>
      <c r="E64" s="12">
        <v>6</v>
      </c>
      <c r="F64" s="8">
        <v>1.61</v>
      </c>
      <c r="G64" s="12">
        <v>4</v>
      </c>
      <c r="H64" s="8">
        <v>1.3</v>
      </c>
      <c r="I64" s="12">
        <v>1</v>
      </c>
    </row>
    <row r="65" spans="2:9" ht="15" customHeight="1" x14ac:dyDescent="0.2">
      <c r="B65" t="s">
        <v>161</v>
      </c>
      <c r="C65" s="12">
        <v>11</v>
      </c>
      <c r="D65" s="8">
        <v>1.57</v>
      </c>
      <c r="E65" s="12">
        <v>4</v>
      </c>
      <c r="F65" s="8">
        <v>1.08</v>
      </c>
      <c r="G65" s="12">
        <v>7</v>
      </c>
      <c r="H65" s="8">
        <v>2.2799999999999998</v>
      </c>
      <c r="I65" s="12">
        <v>0</v>
      </c>
    </row>
    <row r="66" spans="2:9" ht="15" customHeight="1" x14ac:dyDescent="0.2">
      <c r="B66" t="s">
        <v>182</v>
      </c>
      <c r="C66" s="12">
        <v>11</v>
      </c>
      <c r="D66" s="8">
        <v>1.57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151</v>
      </c>
      <c r="C67" s="12">
        <v>10</v>
      </c>
      <c r="D67" s="8">
        <v>1.43</v>
      </c>
      <c r="E67" s="12">
        <v>1</v>
      </c>
      <c r="F67" s="8">
        <v>0.27</v>
      </c>
      <c r="G67" s="12">
        <v>9</v>
      </c>
      <c r="H67" s="8">
        <v>2.93</v>
      </c>
      <c r="I67" s="12">
        <v>0</v>
      </c>
    </row>
    <row r="68" spans="2:9" ht="15" customHeight="1" x14ac:dyDescent="0.2">
      <c r="B68" t="s">
        <v>125</v>
      </c>
      <c r="C68" s="12">
        <v>10</v>
      </c>
      <c r="D68" s="8">
        <v>1.43</v>
      </c>
      <c r="E68" s="12">
        <v>6</v>
      </c>
      <c r="F68" s="8">
        <v>1.61</v>
      </c>
      <c r="G68" s="12">
        <v>4</v>
      </c>
      <c r="H68" s="8">
        <v>1.3</v>
      </c>
      <c r="I68" s="12">
        <v>0</v>
      </c>
    </row>
    <row r="69" spans="2:9" ht="15" customHeight="1" x14ac:dyDescent="0.2">
      <c r="B69" t="s">
        <v>130</v>
      </c>
      <c r="C69" s="12">
        <v>10</v>
      </c>
      <c r="D69" s="8">
        <v>1.43</v>
      </c>
      <c r="E69" s="12">
        <v>5</v>
      </c>
      <c r="F69" s="8">
        <v>1.34</v>
      </c>
      <c r="G69" s="12">
        <v>5</v>
      </c>
      <c r="H69" s="8">
        <v>1.63</v>
      </c>
      <c r="I69" s="12">
        <v>0</v>
      </c>
    </row>
    <row r="70" spans="2:9" ht="15" customHeight="1" x14ac:dyDescent="0.2">
      <c r="B70" t="s">
        <v>133</v>
      </c>
      <c r="C70" s="12">
        <v>10</v>
      </c>
      <c r="D70" s="8">
        <v>1.43</v>
      </c>
      <c r="E70" s="12">
        <v>7</v>
      </c>
      <c r="F70" s="8">
        <v>1.88</v>
      </c>
      <c r="G70" s="12">
        <v>3</v>
      </c>
      <c r="H70" s="8">
        <v>0.98</v>
      </c>
      <c r="I70" s="12">
        <v>0</v>
      </c>
    </row>
    <row r="71" spans="2:9" ht="15" customHeight="1" x14ac:dyDescent="0.2">
      <c r="B71" t="s">
        <v>134</v>
      </c>
      <c r="C71" s="12">
        <v>10</v>
      </c>
      <c r="D71" s="8">
        <v>1.43</v>
      </c>
      <c r="E71" s="12">
        <v>4</v>
      </c>
      <c r="F71" s="8">
        <v>1.08</v>
      </c>
      <c r="G71" s="12">
        <v>6</v>
      </c>
      <c r="H71" s="8">
        <v>1.95</v>
      </c>
      <c r="I71" s="12">
        <v>0</v>
      </c>
    </row>
    <row r="73" spans="2:9" ht="15" customHeight="1" x14ac:dyDescent="0.2">
      <c r="B73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8BA7B-A921-4736-974F-650B409F64E5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287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30</v>
      </c>
      <c r="D6" s="8">
        <v>7.58</v>
      </c>
      <c r="E6" s="12">
        <v>15</v>
      </c>
      <c r="F6" s="8">
        <v>5.95</v>
      </c>
      <c r="G6" s="12">
        <v>15</v>
      </c>
      <c r="H6" s="8">
        <v>10.79</v>
      </c>
      <c r="I6" s="12">
        <v>0</v>
      </c>
    </row>
    <row r="7" spans="2:9" ht="15" customHeight="1" x14ac:dyDescent="0.2">
      <c r="B7" t="s">
        <v>44</v>
      </c>
      <c r="C7" s="12">
        <v>15</v>
      </c>
      <c r="D7" s="8">
        <v>3.79</v>
      </c>
      <c r="E7" s="12">
        <v>12</v>
      </c>
      <c r="F7" s="8">
        <v>4.76</v>
      </c>
      <c r="G7" s="12">
        <v>3</v>
      </c>
      <c r="H7" s="8">
        <v>2.16</v>
      </c>
      <c r="I7" s="12">
        <v>0</v>
      </c>
    </row>
    <row r="8" spans="2:9" ht="15" customHeight="1" x14ac:dyDescent="0.2">
      <c r="B8" t="s">
        <v>45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46</v>
      </c>
      <c r="C9" s="12">
        <v>4</v>
      </c>
      <c r="D9" s="8">
        <v>1.01</v>
      </c>
      <c r="E9" s="12">
        <v>1</v>
      </c>
      <c r="F9" s="8">
        <v>0.4</v>
      </c>
      <c r="G9" s="12">
        <v>2</v>
      </c>
      <c r="H9" s="8">
        <v>1.44</v>
      </c>
      <c r="I9" s="12">
        <v>1</v>
      </c>
    </row>
    <row r="10" spans="2:9" ht="15" customHeight="1" x14ac:dyDescent="0.2">
      <c r="B10" t="s">
        <v>47</v>
      </c>
      <c r="C10" s="12">
        <v>9</v>
      </c>
      <c r="D10" s="8">
        <v>2.27</v>
      </c>
      <c r="E10" s="12">
        <v>6</v>
      </c>
      <c r="F10" s="8">
        <v>2.38</v>
      </c>
      <c r="G10" s="12">
        <v>2</v>
      </c>
      <c r="H10" s="8">
        <v>1.44</v>
      </c>
      <c r="I10" s="12">
        <v>1</v>
      </c>
    </row>
    <row r="11" spans="2:9" ht="15" customHeight="1" x14ac:dyDescent="0.2">
      <c r="B11" t="s">
        <v>48</v>
      </c>
      <c r="C11" s="12">
        <v>116</v>
      </c>
      <c r="D11" s="8">
        <v>29.29</v>
      </c>
      <c r="E11" s="12">
        <v>69</v>
      </c>
      <c r="F11" s="8">
        <v>27.38</v>
      </c>
      <c r="G11" s="12">
        <v>47</v>
      </c>
      <c r="H11" s="8">
        <v>33.81</v>
      </c>
      <c r="I11" s="12">
        <v>0</v>
      </c>
    </row>
    <row r="12" spans="2:9" ht="15" customHeight="1" x14ac:dyDescent="0.2">
      <c r="B12" t="s">
        <v>49</v>
      </c>
      <c r="C12" s="12">
        <v>5</v>
      </c>
      <c r="D12" s="8">
        <v>1.26</v>
      </c>
      <c r="E12" s="12">
        <v>3</v>
      </c>
      <c r="F12" s="8">
        <v>1.19</v>
      </c>
      <c r="G12" s="12">
        <v>2</v>
      </c>
      <c r="H12" s="8">
        <v>1.44</v>
      </c>
      <c r="I12" s="12">
        <v>0</v>
      </c>
    </row>
    <row r="13" spans="2:9" ht="15" customHeight="1" x14ac:dyDescent="0.2">
      <c r="B13" t="s">
        <v>50</v>
      </c>
      <c r="C13" s="12">
        <v>44</v>
      </c>
      <c r="D13" s="8">
        <v>11.11</v>
      </c>
      <c r="E13" s="12">
        <v>11</v>
      </c>
      <c r="F13" s="8">
        <v>4.37</v>
      </c>
      <c r="G13" s="12">
        <v>33</v>
      </c>
      <c r="H13" s="8">
        <v>23.74</v>
      </c>
      <c r="I13" s="12">
        <v>0</v>
      </c>
    </row>
    <row r="14" spans="2:9" ht="15" customHeight="1" x14ac:dyDescent="0.2">
      <c r="B14" t="s">
        <v>51</v>
      </c>
      <c r="C14" s="12">
        <v>19</v>
      </c>
      <c r="D14" s="8">
        <v>4.8</v>
      </c>
      <c r="E14" s="12">
        <v>14</v>
      </c>
      <c r="F14" s="8">
        <v>5.56</v>
      </c>
      <c r="G14" s="12">
        <v>5</v>
      </c>
      <c r="H14" s="8">
        <v>3.6</v>
      </c>
      <c r="I14" s="12">
        <v>0</v>
      </c>
    </row>
    <row r="15" spans="2:9" ht="15" customHeight="1" x14ac:dyDescent="0.2">
      <c r="B15" t="s">
        <v>52</v>
      </c>
      <c r="C15" s="12">
        <v>43</v>
      </c>
      <c r="D15" s="8">
        <v>10.86</v>
      </c>
      <c r="E15" s="12">
        <v>32</v>
      </c>
      <c r="F15" s="8">
        <v>12.7</v>
      </c>
      <c r="G15" s="12">
        <v>11</v>
      </c>
      <c r="H15" s="8">
        <v>7.91</v>
      </c>
      <c r="I15" s="12">
        <v>0</v>
      </c>
    </row>
    <row r="16" spans="2:9" ht="15" customHeight="1" x14ac:dyDescent="0.2">
      <c r="B16" t="s">
        <v>53</v>
      </c>
      <c r="C16" s="12">
        <v>53</v>
      </c>
      <c r="D16" s="8">
        <v>13.38</v>
      </c>
      <c r="E16" s="12">
        <v>45</v>
      </c>
      <c r="F16" s="8">
        <v>17.86</v>
      </c>
      <c r="G16" s="12">
        <v>8</v>
      </c>
      <c r="H16" s="8">
        <v>5.76</v>
      </c>
      <c r="I16" s="12">
        <v>0</v>
      </c>
    </row>
    <row r="17" spans="2:9" ht="15" customHeight="1" x14ac:dyDescent="0.2">
      <c r="B17" t="s">
        <v>54</v>
      </c>
      <c r="C17" s="12">
        <v>18</v>
      </c>
      <c r="D17" s="8">
        <v>4.55</v>
      </c>
      <c r="E17" s="12">
        <v>17</v>
      </c>
      <c r="F17" s="8">
        <v>6.75</v>
      </c>
      <c r="G17" s="12">
        <v>1</v>
      </c>
      <c r="H17" s="8">
        <v>0.72</v>
      </c>
      <c r="I17" s="12">
        <v>0</v>
      </c>
    </row>
    <row r="18" spans="2:9" ht="15" customHeight="1" x14ac:dyDescent="0.2">
      <c r="B18" t="s">
        <v>55</v>
      </c>
      <c r="C18" s="12">
        <v>20</v>
      </c>
      <c r="D18" s="8">
        <v>5.05</v>
      </c>
      <c r="E18" s="12">
        <v>13</v>
      </c>
      <c r="F18" s="8">
        <v>5.16</v>
      </c>
      <c r="G18" s="12">
        <v>4</v>
      </c>
      <c r="H18" s="8">
        <v>2.88</v>
      </c>
      <c r="I18" s="12">
        <v>0</v>
      </c>
    </row>
    <row r="19" spans="2:9" ht="15" customHeight="1" x14ac:dyDescent="0.2">
      <c r="B19" t="s">
        <v>56</v>
      </c>
      <c r="C19" s="12">
        <v>20</v>
      </c>
      <c r="D19" s="8">
        <v>5.05</v>
      </c>
      <c r="E19" s="12">
        <v>14</v>
      </c>
      <c r="F19" s="8">
        <v>5.56</v>
      </c>
      <c r="G19" s="12">
        <v>6</v>
      </c>
      <c r="H19" s="8">
        <v>4.32</v>
      </c>
      <c r="I19" s="12">
        <v>0</v>
      </c>
    </row>
    <row r="20" spans="2:9" ht="15" customHeight="1" x14ac:dyDescent="0.2">
      <c r="B20" s="9" t="s">
        <v>260</v>
      </c>
      <c r="C20" s="12">
        <f>SUM(LTBL_47327[総数／事業所数])</f>
        <v>396</v>
      </c>
      <c r="E20" s="12">
        <f>SUBTOTAL(109,LTBL_47327[個人／事業所数])</f>
        <v>252</v>
      </c>
      <c r="G20" s="12">
        <f>SUBTOTAL(109,LTBL_47327[法人／事業所数])</f>
        <v>139</v>
      </c>
      <c r="I20" s="12">
        <f>SUBTOTAL(109,LTBL_47327[法人以外の団体／事業所数])</f>
        <v>2</v>
      </c>
    </row>
    <row r="21" spans="2:9" ht="15" customHeight="1" x14ac:dyDescent="0.2">
      <c r="E21" s="11">
        <f>LTBL_47327[[#Totals],[個人／事業所数]]/LTBL_47327[[#Totals],[総数／事業所数]]</f>
        <v>0.63636363636363635</v>
      </c>
      <c r="G21" s="11">
        <f>LTBL_47327[[#Totals],[法人／事業所数]]/LTBL_47327[[#Totals],[総数／事業所数]]</f>
        <v>0.35101010101010099</v>
      </c>
      <c r="I21" s="11">
        <f>LTBL_47327[[#Totals],[法人以外の団体／事業所数]]/LTBL_47327[[#Totals],[総数／事業所数]]</f>
        <v>5.0505050505050509E-3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78</v>
      </c>
      <c r="C24" s="12">
        <v>46</v>
      </c>
      <c r="D24" s="8">
        <v>11.62</v>
      </c>
      <c r="E24" s="12">
        <v>41</v>
      </c>
      <c r="F24" s="8">
        <v>16.27</v>
      </c>
      <c r="G24" s="12">
        <v>5</v>
      </c>
      <c r="H24" s="8">
        <v>3.6</v>
      </c>
      <c r="I24" s="12">
        <v>0</v>
      </c>
    </row>
    <row r="25" spans="2:9" ht="15" customHeight="1" x14ac:dyDescent="0.2">
      <c r="B25" t="s">
        <v>77</v>
      </c>
      <c r="C25" s="12">
        <v>39</v>
      </c>
      <c r="D25" s="8">
        <v>9.85</v>
      </c>
      <c r="E25" s="12">
        <v>31</v>
      </c>
      <c r="F25" s="8">
        <v>12.3</v>
      </c>
      <c r="G25" s="12">
        <v>8</v>
      </c>
      <c r="H25" s="8">
        <v>5.76</v>
      </c>
      <c r="I25" s="12">
        <v>0</v>
      </c>
    </row>
    <row r="26" spans="2:9" ht="15" customHeight="1" x14ac:dyDescent="0.2">
      <c r="B26" t="s">
        <v>71</v>
      </c>
      <c r="C26" s="12">
        <v>37</v>
      </c>
      <c r="D26" s="8">
        <v>9.34</v>
      </c>
      <c r="E26" s="12">
        <v>20</v>
      </c>
      <c r="F26" s="8">
        <v>7.94</v>
      </c>
      <c r="G26" s="12">
        <v>17</v>
      </c>
      <c r="H26" s="8">
        <v>12.23</v>
      </c>
      <c r="I26" s="12">
        <v>0</v>
      </c>
    </row>
    <row r="27" spans="2:9" ht="15" customHeight="1" x14ac:dyDescent="0.2">
      <c r="B27" t="s">
        <v>73</v>
      </c>
      <c r="C27" s="12">
        <v>32</v>
      </c>
      <c r="D27" s="8">
        <v>8.08</v>
      </c>
      <c r="E27" s="12">
        <v>10</v>
      </c>
      <c r="F27" s="8">
        <v>3.97</v>
      </c>
      <c r="G27" s="12">
        <v>22</v>
      </c>
      <c r="H27" s="8">
        <v>15.83</v>
      </c>
      <c r="I27" s="12">
        <v>0</v>
      </c>
    </row>
    <row r="28" spans="2:9" ht="15" customHeight="1" x14ac:dyDescent="0.2">
      <c r="B28" t="s">
        <v>68</v>
      </c>
      <c r="C28" s="12">
        <v>26</v>
      </c>
      <c r="D28" s="8">
        <v>6.57</v>
      </c>
      <c r="E28" s="12">
        <v>5</v>
      </c>
      <c r="F28" s="8">
        <v>1.98</v>
      </c>
      <c r="G28" s="12">
        <v>21</v>
      </c>
      <c r="H28" s="8">
        <v>15.11</v>
      </c>
      <c r="I28" s="12">
        <v>0</v>
      </c>
    </row>
    <row r="29" spans="2:9" ht="15" customHeight="1" x14ac:dyDescent="0.2">
      <c r="B29" t="s">
        <v>69</v>
      </c>
      <c r="C29" s="12">
        <v>23</v>
      </c>
      <c r="D29" s="8">
        <v>5.81</v>
      </c>
      <c r="E29" s="12">
        <v>21</v>
      </c>
      <c r="F29" s="8">
        <v>8.33</v>
      </c>
      <c r="G29" s="12">
        <v>2</v>
      </c>
      <c r="H29" s="8">
        <v>1.44</v>
      </c>
      <c r="I29" s="12">
        <v>0</v>
      </c>
    </row>
    <row r="30" spans="2:9" ht="15" customHeight="1" x14ac:dyDescent="0.2">
      <c r="B30" t="s">
        <v>70</v>
      </c>
      <c r="C30" s="12">
        <v>22</v>
      </c>
      <c r="D30" s="8">
        <v>5.56</v>
      </c>
      <c r="E30" s="12">
        <v>20</v>
      </c>
      <c r="F30" s="8">
        <v>7.94</v>
      </c>
      <c r="G30" s="12">
        <v>2</v>
      </c>
      <c r="H30" s="8">
        <v>1.44</v>
      </c>
      <c r="I30" s="12">
        <v>0</v>
      </c>
    </row>
    <row r="31" spans="2:9" ht="15" customHeight="1" x14ac:dyDescent="0.2">
      <c r="B31" t="s">
        <v>81</v>
      </c>
      <c r="C31" s="12">
        <v>18</v>
      </c>
      <c r="D31" s="8">
        <v>4.55</v>
      </c>
      <c r="E31" s="12">
        <v>17</v>
      </c>
      <c r="F31" s="8">
        <v>6.75</v>
      </c>
      <c r="G31" s="12">
        <v>1</v>
      </c>
      <c r="H31" s="8">
        <v>0.72</v>
      </c>
      <c r="I31" s="12">
        <v>0</v>
      </c>
    </row>
    <row r="32" spans="2:9" ht="15" customHeight="1" x14ac:dyDescent="0.2">
      <c r="B32" t="s">
        <v>84</v>
      </c>
      <c r="C32" s="12">
        <v>14</v>
      </c>
      <c r="D32" s="8">
        <v>3.54</v>
      </c>
      <c r="E32" s="12">
        <v>12</v>
      </c>
      <c r="F32" s="8">
        <v>4.76</v>
      </c>
      <c r="G32" s="12">
        <v>2</v>
      </c>
      <c r="H32" s="8">
        <v>1.44</v>
      </c>
      <c r="I32" s="12">
        <v>0</v>
      </c>
    </row>
    <row r="33" spans="2:9" ht="15" customHeight="1" x14ac:dyDescent="0.2">
      <c r="B33" t="s">
        <v>67</v>
      </c>
      <c r="C33" s="12">
        <v>13</v>
      </c>
      <c r="D33" s="8">
        <v>3.28</v>
      </c>
      <c r="E33" s="12">
        <v>8</v>
      </c>
      <c r="F33" s="8">
        <v>3.17</v>
      </c>
      <c r="G33" s="12">
        <v>5</v>
      </c>
      <c r="H33" s="8">
        <v>3.6</v>
      </c>
      <c r="I33" s="12">
        <v>0</v>
      </c>
    </row>
    <row r="34" spans="2:9" ht="15" customHeight="1" x14ac:dyDescent="0.2">
      <c r="B34" t="s">
        <v>82</v>
      </c>
      <c r="C34" s="12">
        <v>13</v>
      </c>
      <c r="D34" s="8">
        <v>3.28</v>
      </c>
      <c r="E34" s="12">
        <v>11</v>
      </c>
      <c r="F34" s="8">
        <v>4.37</v>
      </c>
      <c r="G34" s="12">
        <v>2</v>
      </c>
      <c r="H34" s="8">
        <v>1.44</v>
      </c>
      <c r="I34" s="12">
        <v>0</v>
      </c>
    </row>
    <row r="35" spans="2:9" ht="15" customHeight="1" x14ac:dyDescent="0.2">
      <c r="B35" t="s">
        <v>65</v>
      </c>
      <c r="C35" s="12">
        <v>11</v>
      </c>
      <c r="D35" s="8">
        <v>2.78</v>
      </c>
      <c r="E35" s="12">
        <v>4</v>
      </c>
      <c r="F35" s="8">
        <v>1.59</v>
      </c>
      <c r="G35" s="12">
        <v>7</v>
      </c>
      <c r="H35" s="8">
        <v>5.04</v>
      </c>
      <c r="I35" s="12">
        <v>0</v>
      </c>
    </row>
    <row r="36" spans="2:9" ht="15" customHeight="1" x14ac:dyDescent="0.2">
      <c r="B36" t="s">
        <v>72</v>
      </c>
      <c r="C36" s="12">
        <v>10</v>
      </c>
      <c r="D36" s="8">
        <v>2.5299999999999998</v>
      </c>
      <c r="E36" s="12">
        <v>1</v>
      </c>
      <c r="F36" s="8">
        <v>0.4</v>
      </c>
      <c r="G36" s="12">
        <v>9</v>
      </c>
      <c r="H36" s="8">
        <v>6.47</v>
      </c>
      <c r="I36" s="12">
        <v>0</v>
      </c>
    </row>
    <row r="37" spans="2:9" ht="15" customHeight="1" x14ac:dyDescent="0.2">
      <c r="B37" t="s">
        <v>75</v>
      </c>
      <c r="C37" s="12">
        <v>10</v>
      </c>
      <c r="D37" s="8">
        <v>2.5299999999999998</v>
      </c>
      <c r="E37" s="12">
        <v>7</v>
      </c>
      <c r="F37" s="8">
        <v>2.78</v>
      </c>
      <c r="G37" s="12">
        <v>3</v>
      </c>
      <c r="H37" s="8">
        <v>2.16</v>
      </c>
      <c r="I37" s="12">
        <v>0</v>
      </c>
    </row>
    <row r="38" spans="2:9" ht="15" customHeight="1" x14ac:dyDescent="0.2">
      <c r="B38" t="s">
        <v>74</v>
      </c>
      <c r="C38" s="12">
        <v>9</v>
      </c>
      <c r="D38" s="8">
        <v>2.27</v>
      </c>
      <c r="E38" s="12">
        <v>7</v>
      </c>
      <c r="F38" s="8">
        <v>2.78</v>
      </c>
      <c r="G38" s="12">
        <v>2</v>
      </c>
      <c r="H38" s="8">
        <v>1.44</v>
      </c>
      <c r="I38" s="12">
        <v>0</v>
      </c>
    </row>
    <row r="39" spans="2:9" ht="15" customHeight="1" x14ac:dyDescent="0.2">
      <c r="B39" t="s">
        <v>96</v>
      </c>
      <c r="C39" s="12">
        <v>7</v>
      </c>
      <c r="D39" s="8">
        <v>1.77</v>
      </c>
      <c r="E39" s="12">
        <v>6</v>
      </c>
      <c r="F39" s="8">
        <v>2.38</v>
      </c>
      <c r="G39" s="12">
        <v>1</v>
      </c>
      <c r="H39" s="8">
        <v>0.72</v>
      </c>
      <c r="I39" s="12">
        <v>0</v>
      </c>
    </row>
    <row r="40" spans="2:9" ht="15" customHeight="1" x14ac:dyDescent="0.2">
      <c r="B40" t="s">
        <v>83</v>
      </c>
      <c r="C40" s="12">
        <v>7</v>
      </c>
      <c r="D40" s="8">
        <v>1.77</v>
      </c>
      <c r="E40" s="12">
        <v>2</v>
      </c>
      <c r="F40" s="8">
        <v>0.79</v>
      </c>
      <c r="G40" s="12">
        <v>2</v>
      </c>
      <c r="H40" s="8">
        <v>1.44</v>
      </c>
      <c r="I40" s="12">
        <v>0</v>
      </c>
    </row>
    <row r="41" spans="2:9" ht="15" customHeight="1" x14ac:dyDescent="0.2">
      <c r="B41" t="s">
        <v>66</v>
      </c>
      <c r="C41" s="12">
        <v>6</v>
      </c>
      <c r="D41" s="8">
        <v>1.52</v>
      </c>
      <c r="E41" s="12">
        <v>3</v>
      </c>
      <c r="F41" s="8">
        <v>1.19</v>
      </c>
      <c r="G41" s="12">
        <v>3</v>
      </c>
      <c r="H41" s="8">
        <v>2.16</v>
      </c>
      <c r="I41" s="12">
        <v>0</v>
      </c>
    </row>
    <row r="42" spans="2:9" ht="15" customHeight="1" x14ac:dyDescent="0.2">
      <c r="B42" t="s">
        <v>95</v>
      </c>
      <c r="C42" s="12">
        <v>5</v>
      </c>
      <c r="D42" s="8">
        <v>1.26</v>
      </c>
      <c r="E42" s="12">
        <v>5</v>
      </c>
      <c r="F42" s="8">
        <v>1.98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109</v>
      </c>
      <c r="C43" s="12">
        <v>5</v>
      </c>
      <c r="D43" s="8">
        <v>1.26</v>
      </c>
      <c r="E43" s="12">
        <v>3</v>
      </c>
      <c r="F43" s="8">
        <v>1.19</v>
      </c>
      <c r="G43" s="12">
        <v>2</v>
      </c>
      <c r="H43" s="8">
        <v>1.44</v>
      </c>
      <c r="I43" s="12">
        <v>0</v>
      </c>
    </row>
    <row r="44" spans="2:9" ht="15" customHeight="1" x14ac:dyDescent="0.2">
      <c r="B44" t="s">
        <v>79</v>
      </c>
      <c r="C44" s="12">
        <v>5</v>
      </c>
      <c r="D44" s="8">
        <v>1.26</v>
      </c>
      <c r="E44" s="12">
        <v>2</v>
      </c>
      <c r="F44" s="8">
        <v>0.79</v>
      </c>
      <c r="G44" s="12">
        <v>3</v>
      </c>
      <c r="H44" s="8">
        <v>2.16</v>
      </c>
      <c r="I44" s="12">
        <v>0</v>
      </c>
    </row>
    <row r="47" spans="2:9" ht="33" customHeight="1" x14ac:dyDescent="0.2">
      <c r="B47" t="s">
        <v>262</v>
      </c>
      <c r="C47" s="10" t="s">
        <v>58</v>
      </c>
      <c r="D47" s="10" t="s">
        <v>59</v>
      </c>
      <c r="E47" s="10" t="s">
        <v>60</v>
      </c>
      <c r="F47" s="10" t="s">
        <v>61</v>
      </c>
      <c r="G47" s="10" t="s">
        <v>62</v>
      </c>
      <c r="H47" s="10" t="s">
        <v>63</v>
      </c>
      <c r="I47" s="10" t="s">
        <v>64</v>
      </c>
    </row>
    <row r="48" spans="2:9" ht="15" customHeight="1" x14ac:dyDescent="0.2">
      <c r="B48" t="s">
        <v>128</v>
      </c>
      <c r="C48" s="12">
        <v>25</v>
      </c>
      <c r="D48" s="8">
        <v>6.31</v>
      </c>
      <c r="E48" s="12">
        <v>7</v>
      </c>
      <c r="F48" s="8">
        <v>2.78</v>
      </c>
      <c r="G48" s="12">
        <v>18</v>
      </c>
      <c r="H48" s="8">
        <v>12.95</v>
      </c>
      <c r="I48" s="12">
        <v>0</v>
      </c>
    </row>
    <row r="49" spans="2:9" ht="15" customHeight="1" x14ac:dyDescent="0.2">
      <c r="B49" t="s">
        <v>136</v>
      </c>
      <c r="C49" s="12">
        <v>21</v>
      </c>
      <c r="D49" s="8">
        <v>5.3</v>
      </c>
      <c r="E49" s="12">
        <v>20</v>
      </c>
      <c r="F49" s="8">
        <v>7.94</v>
      </c>
      <c r="G49" s="12">
        <v>1</v>
      </c>
      <c r="H49" s="8">
        <v>0.72</v>
      </c>
      <c r="I49" s="12">
        <v>0</v>
      </c>
    </row>
    <row r="50" spans="2:9" ht="15" customHeight="1" x14ac:dyDescent="0.2">
      <c r="B50" t="s">
        <v>124</v>
      </c>
      <c r="C50" s="12">
        <v>17</v>
      </c>
      <c r="D50" s="8">
        <v>4.29</v>
      </c>
      <c r="E50" s="12">
        <v>17</v>
      </c>
      <c r="F50" s="8">
        <v>6.75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139</v>
      </c>
      <c r="C51" s="12">
        <v>15</v>
      </c>
      <c r="D51" s="8">
        <v>3.79</v>
      </c>
      <c r="E51" s="12">
        <v>14</v>
      </c>
      <c r="F51" s="8">
        <v>5.56</v>
      </c>
      <c r="G51" s="12">
        <v>1</v>
      </c>
      <c r="H51" s="8">
        <v>0.72</v>
      </c>
      <c r="I51" s="12">
        <v>0</v>
      </c>
    </row>
    <row r="52" spans="2:9" ht="15" customHeight="1" x14ac:dyDescent="0.2">
      <c r="B52" t="s">
        <v>137</v>
      </c>
      <c r="C52" s="12">
        <v>14</v>
      </c>
      <c r="D52" s="8">
        <v>3.54</v>
      </c>
      <c r="E52" s="12">
        <v>12</v>
      </c>
      <c r="F52" s="8">
        <v>4.76</v>
      </c>
      <c r="G52" s="12">
        <v>2</v>
      </c>
      <c r="H52" s="8">
        <v>1.44</v>
      </c>
      <c r="I52" s="12">
        <v>0</v>
      </c>
    </row>
    <row r="53" spans="2:9" ht="15" customHeight="1" x14ac:dyDescent="0.2">
      <c r="B53" t="s">
        <v>141</v>
      </c>
      <c r="C53" s="12">
        <v>14</v>
      </c>
      <c r="D53" s="8">
        <v>3.54</v>
      </c>
      <c r="E53" s="12">
        <v>12</v>
      </c>
      <c r="F53" s="8">
        <v>4.76</v>
      </c>
      <c r="G53" s="12">
        <v>2</v>
      </c>
      <c r="H53" s="8">
        <v>1.44</v>
      </c>
      <c r="I53" s="12">
        <v>0</v>
      </c>
    </row>
    <row r="54" spans="2:9" ht="15" customHeight="1" x14ac:dyDescent="0.2">
      <c r="B54" t="s">
        <v>131</v>
      </c>
      <c r="C54" s="12">
        <v>13</v>
      </c>
      <c r="D54" s="8">
        <v>3.28</v>
      </c>
      <c r="E54" s="12">
        <v>9</v>
      </c>
      <c r="F54" s="8">
        <v>3.57</v>
      </c>
      <c r="G54" s="12">
        <v>4</v>
      </c>
      <c r="H54" s="8">
        <v>2.88</v>
      </c>
      <c r="I54" s="12">
        <v>0</v>
      </c>
    </row>
    <row r="55" spans="2:9" ht="15" customHeight="1" x14ac:dyDescent="0.2">
      <c r="B55" t="s">
        <v>143</v>
      </c>
      <c r="C55" s="12">
        <v>12</v>
      </c>
      <c r="D55" s="8">
        <v>3.03</v>
      </c>
      <c r="E55" s="12">
        <v>1</v>
      </c>
      <c r="F55" s="8">
        <v>0.4</v>
      </c>
      <c r="G55" s="12">
        <v>11</v>
      </c>
      <c r="H55" s="8">
        <v>7.91</v>
      </c>
      <c r="I55" s="12">
        <v>0</v>
      </c>
    </row>
    <row r="56" spans="2:9" ht="15" customHeight="1" x14ac:dyDescent="0.2">
      <c r="B56" t="s">
        <v>126</v>
      </c>
      <c r="C56" s="12">
        <v>12</v>
      </c>
      <c r="D56" s="8">
        <v>3.03</v>
      </c>
      <c r="E56" s="12">
        <v>11</v>
      </c>
      <c r="F56" s="8">
        <v>4.37</v>
      </c>
      <c r="G56" s="12">
        <v>1</v>
      </c>
      <c r="H56" s="8">
        <v>0.72</v>
      </c>
      <c r="I56" s="12">
        <v>0</v>
      </c>
    </row>
    <row r="57" spans="2:9" ht="15" customHeight="1" x14ac:dyDescent="0.2">
      <c r="B57" t="s">
        <v>140</v>
      </c>
      <c r="C57" s="12">
        <v>12</v>
      </c>
      <c r="D57" s="8">
        <v>3.03</v>
      </c>
      <c r="E57" s="12">
        <v>10</v>
      </c>
      <c r="F57" s="8">
        <v>3.97</v>
      </c>
      <c r="G57" s="12">
        <v>2</v>
      </c>
      <c r="H57" s="8">
        <v>1.44</v>
      </c>
      <c r="I57" s="12">
        <v>0</v>
      </c>
    </row>
    <row r="58" spans="2:9" ht="15" customHeight="1" x14ac:dyDescent="0.2">
      <c r="B58" t="s">
        <v>123</v>
      </c>
      <c r="C58" s="12">
        <v>11</v>
      </c>
      <c r="D58" s="8">
        <v>2.78</v>
      </c>
      <c r="E58" s="12">
        <v>11</v>
      </c>
      <c r="F58" s="8">
        <v>4.37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125</v>
      </c>
      <c r="C59" s="12">
        <v>10</v>
      </c>
      <c r="D59" s="8">
        <v>2.5299999999999998</v>
      </c>
      <c r="E59" s="12">
        <v>2</v>
      </c>
      <c r="F59" s="8">
        <v>0.79</v>
      </c>
      <c r="G59" s="12">
        <v>8</v>
      </c>
      <c r="H59" s="8">
        <v>5.76</v>
      </c>
      <c r="I59" s="12">
        <v>0</v>
      </c>
    </row>
    <row r="60" spans="2:9" ht="15" customHeight="1" x14ac:dyDescent="0.2">
      <c r="B60" t="s">
        <v>132</v>
      </c>
      <c r="C60" s="12">
        <v>10</v>
      </c>
      <c r="D60" s="8">
        <v>2.5299999999999998</v>
      </c>
      <c r="E60" s="12">
        <v>10</v>
      </c>
      <c r="F60" s="8">
        <v>3.97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134</v>
      </c>
      <c r="C61" s="12">
        <v>10</v>
      </c>
      <c r="D61" s="8">
        <v>2.5299999999999998</v>
      </c>
      <c r="E61" s="12">
        <v>8</v>
      </c>
      <c r="F61" s="8">
        <v>3.17</v>
      </c>
      <c r="G61" s="12">
        <v>2</v>
      </c>
      <c r="H61" s="8">
        <v>1.44</v>
      </c>
      <c r="I61" s="12">
        <v>0</v>
      </c>
    </row>
    <row r="62" spans="2:9" ht="15" customHeight="1" x14ac:dyDescent="0.2">
      <c r="B62" t="s">
        <v>135</v>
      </c>
      <c r="C62" s="12">
        <v>10</v>
      </c>
      <c r="D62" s="8">
        <v>2.5299999999999998</v>
      </c>
      <c r="E62" s="12">
        <v>9</v>
      </c>
      <c r="F62" s="8">
        <v>3.57</v>
      </c>
      <c r="G62" s="12">
        <v>1</v>
      </c>
      <c r="H62" s="8">
        <v>0.72</v>
      </c>
      <c r="I62" s="12">
        <v>0</v>
      </c>
    </row>
    <row r="63" spans="2:9" ht="15" customHeight="1" x14ac:dyDescent="0.2">
      <c r="B63" t="s">
        <v>144</v>
      </c>
      <c r="C63" s="12">
        <v>8</v>
      </c>
      <c r="D63" s="8">
        <v>2.02</v>
      </c>
      <c r="E63" s="12">
        <v>6</v>
      </c>
      <c r="F63" s="8">
        <v>2.38</v>
      </c>
      <c r="G63" s="12">
        <v>2</v>
      </c>
      <c r="H63" s="8">
        <v>1.44</v>
      </c>
      <c r="I63" s="12">
        <v>0</v>
      </c>
    </row>
    <row r="64" spans="2:9" ht="15" customHeight="1" x14ac:dyDescent="0.2">
      <c r="B64" t="s">
        <v>129</v>
      </c>
      <c r="C64" s="12">
        <v>8</v>
      </c>
      <c r="D64" s="8">
        <v>2.02</v>
      </c>
      <c r="E64" s="12">
        <v>6</v>
      </c>
      <c r="F64" s="8">
        <v>2.38</v>
      </c>
      <c r="G64" s="12">
        <v>2</v>
      </c>
      <c r="H64" s="8">
        <v>1.44</v>
      </c>
      <c r="I64" s="12">
        <v>0</v>
      </c>
    </row>
    <row r="65" spans="2:9" ht="15" customHeight="1" x14ac:dyDescent="0.2">
      <c r="B65" t="s">
        <v>157</v>
      </c>
      <c r="C65" s="12">
        <v>7</v>
      </c>
      <c r="D65" s="8">
        <v>1.77</v>
      </c>
      <c r="E65" s="12">
        <v>6</v>
      </c>
      <c r="F65" s="8">
        <v>2.38</v>
      </c>
      <c r="G65" s="12">
        <v>1</v>
      </c>
      <c r="H65" s="8">
        <v>0.72</v>
      </c>
      <c r="I65" s="12">
        <v>0</v>
      </c>
    </row>
    <row r="66" spans="2:9" ht="15" customHeight="1" x14ac:dyDescent="0.2">
      <c r="B66" t="s">
        <v>146</v>
      </c>
      <c r="C66" s="12">
        <v>6</v>
      </c>
      <c r="D66" s="8">
        <v>1.52</v>
      </c>
      <c r="E66" s="12">
        <v>3</v>
      </c>
      <c r="F66" s="8">
        <v>1.19</v>
      </c>
      <c r="G66" s="12">
        <v>3</v>
      </c>
      <c r="H66" s="8">
        <v>2.16</v>
      </c>
      <c r="I66" s="12">
        <v>0</v>
      </c>
    </row>
    <row r="67" spans="2:9" ht="15" customHeight="1" x14ac:dyDescent="0.2">
      <c r="B67" t="s">
        <v>147</v>
      </c>
      <c r="C67" s="12">
        <v>6</v>
      </c>
      <c r="D67" s="8">
        <v>1.52</v>
      </c>
      <c r="E67" s="12">
        <v>5</v>
      </c>
      <c r="F67" s="8">
        <v>1.98</v>
      </c>
      <c r="G67" s="12">
        <v>1</v>
      </c>
      <c r="H67" s="8">
        <v>0.72</v>
      </c>
      <c r="I67" s="12">
        <v>0</v>
      </c>
    </row>
    <row r="68" spans="2:9" ht="15" customHeight="1" x14ac:dyDescent="0.2">
      <c r="B68" t="s">
        <v>210</v>
      </c>
      <c r="C68" s="12">
        <v>6</v>
      </c>
      <c r="D68" s="8">
        <v>1.52</v>
      </c>
      <c r="E68" s="12">
        <v>4</v>
      </c>
      <c r="F68" s="8">
        <v>1.59</v>
      </c>
      <c r="G68" s="12">
        <v>2</v>
      </c>
      <c r="H68" s="8">
        <v>1.44</v>
      </c>
      <c r="I68" s="12">
        <v>0</v>
      </c>
    </row>
    <row r="69" spans="2:9" ht="15" customHeight="1" x14ac:dyDescent="0.2">
      <c r="B69" t="s">
        <v>153</v>
      </c>
      <c r="C69" s="12">
        <v>6</v>
      </c>
      <c r="D69" s="8">
        <v>1.52</v>
      </c>
      <c r="E69" s="12">
        <v>5</v>
      </c>
      <c r="F69" s="8">
        <v>1.98</v>
      </c>
      <c r="G69" s="12">
        <v>1</v>
      </c>
      <c r="H69" s="8">
        <v>0.72</v>
      </c>
      <c r="I69" s="12">
        <v>0</v>
      </c>
    </row>
    <row r="70" spans="2:9" ht="15" customHeight="1" x14ac:dyDescent="0.2">
      <c r="B70" t="s">
        <v>152</v>
      </c>
      <c r="C70" s="12">
        <v>6</v>
      </c>
      <c r="D70" s="8">
        <v>1.52</v>
      </c>
      <c r="E70" s="12">
        <v>2</v>
      </c>
      <c r="F70" s="8">
        <v>0.79</v>
      </c>
      <c r="G70" s="12">
        <v>1</v>
      </c>
      <c r="H70" s="8">
        <v>0.72</v>
      </c>
      <c r="I70" s="12">
        <v>0</v>
      </c>
    </row>
    <row r="72" spans="2:9" ht="15" customHeight="1" x14ac:dyDescent="0.2">
      <c r="B72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77380-0923-4424-828F-079EF23CA3F5}">
  <sheetPr>
    <pageSetUpPr fitToPage="1"/>
  </sheetPr>
  <dimension ref="A1:I975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120</v>
      </c>
      <c r="B1" s="3" t="s">
        <v>121</v>
      </c>
      <c r="C1" s="7" t="s">
        <v>58</v>
      </c>
      <c r="D1" s="7" t="s">
        <v>59</v>
      </c>
      <c r="E1" s="7" t="s">
        <v>60</v>
      </c>
      <c r="F1" s="7" t="s">
        <v>61</v>
      </c>
      <c r="G1" s="7" t="s">
        <v>62</v>
      </c>
      <c r="H1" s="7" t="s">
        <v>63</v>
      </c>
      <c r="I1" s="7" t="s">
        <v>64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77</v>
      </c>
      <c r="C3" s="4">
        <v>5930</v>
      </c>
      <c r="D3" s="8">
        <v>15.51</v>
      </c>
      <c r="E3" s="4">
        <v>5475</v>
      </c>
      <c r="F3" s="8">
        <v>21.91</v>
      </c>
      <c r="G3" s="4">
        <v>451</v>
      </c>
      <c r="H3" s="8">
        <v>3.5</v>
      </c>
      <c r="I3" s="4">
        <v>4</v>
      </c>
    </row>
    <row r="4" spans="1:9" x14ac:dyDescent="0.2">
      <c r="A4" s="2">
        <v>2</v>
      </c>
      <c r="B4" s="1" t="s">
        <v>73</v>
      </c>
      <c r="C4" s="4">
        <v>3864</v>
      </c>
      <c r="D4" s="8">
        <v>10.1</v>
      </c>
      <c r="E4" s="4">
        <v>2280</v>
      </c>
      <c r="F4" s="8">
        <v>9.1300000000000008</v>
      </c>
      <c r="G4" s="4">
        <v>1571</v>
      </c>
      <c r="H4" s="8">
        <v>12.21</v>
      </c>
      <c r="I4" s="4">
        <v>5</v>
      </c>
    </row>
    <row r="5" spans="1:9" x14ac:dyDescent="0.2">
      <c r="A5" s="2">
        <v>3</v>
      </c>
      <c r="B5" s="1" t="s">
        <v>78</v>
      </c>
      <c r="C5" s="4">
        <v>3570</v>
      </c>
      <c r="D5" s="8">
        <v>9.34</v>
      </c>
      <c r="E5" s="4">
        <v>3193</v>
      </c>
      <c r="F5" s="8">
        <v>12.78</v>
      </c>
      <c r="G5" s="4">
        <v>377</v>
      </c>
      <c r="H5" s="8">
        <v>2.93</v>
      </c>
      <c r="I5" s="4">
        <v>0</v>
      </c>
    </row>
    <row r="6" spans="1:9" x14ac:dyDescent="0.2">
      <c r="A6" s="2">
        <v>4</v>
      </c>
      <c r="B6" s="1" t="s">
        <v>71</v>
      </c>
      <c r="C6" s="4">
        <v>2582</v>
      </c>
      <c r="D6" s="8">
        <v>6.75</v>
      </c>
      <c r="E6" s="4">
        <v>1809</v>
      </c>
      <c r="F6" s="8">
        <v>7.24</v>
      </c>
      <c r="G6" s="4">
        <v>771</v>
      </c>
      <c r="H6" s="8">
        <v>5.99</v>
      </c>
      <c r="I6" s="4">
        <v>2</v>
      </c>
    </row>
    <row r="7" spans="1:9" x14ac:dyDescent="0.2">
      <c r="A7" s="2">
        <v>5</v>
      </c>
      <c r="B7" s="1" t="s">
        <v>69</v>
      </c>
      <c r="C7" s="4">
        <v>2108</v>
      </c>
      <c r="D7" s="8">
        <v>5.51</v>
      </c>
      <c r="E7" s="4">
        <v>1730</v>
      </c>
      <c r="F7" s="8">
        <v>6.92</v>
      </c>
      <c r="G7" s="4">
        <v>365</v>
      </c>
      <c r="H7" s="8">
        <v>2.84</v>
      </c>
      <c r="I7" s="4">
        <v>13</v>
      </c>
    </row>
    <row r="8" spans="1:9" x14ac:dyDescent="0.2">
      <c r="A8" s="2">
        <v>6</v>
      </c>
      <c r="B8" s="1" t="s">
        <v>81</v>
      </c>
      <c r="C8" s="4">
        <v>2018</v>
      </c>
      <c r="D8" s="8">
        <v>5.28</v>
      </c>
      <c r="E8" s="4">
        <v>1678</v>
      </c>
      <c r="F8" s="8">
        <v>6.72</v>
      </c>
      <c r="G8" s="4">
        <v>247</v>
      </c>
      <c r="H8" s="8">
        <v>1.92</v>
      </c>
      <c r="I8" s="4">
        <v>40</v>
      </c>
    </row>
    <row r="9" spans="1:9" x14ac:dyDescent="0.2">
      <c r="A9" s="2">
        <v>7</v>
      </c>
      <c r="B9" s="1" t="s">
        <v>65</v>
      </c>
      <c r="C9" s="4">
        <v>1356</v>
      </c>
      <c r="D9" s="8">
        <v>3.55</v>
      </c>
      <c r="E9" s="4">
        <v>232</v>
      </c>
      <c r="F9" s="8">
        <v>0.93</v>
      </c>
      <c r="G9" s="4">
        <v>1124</v>
      </c>
      <c r="H9" s="8">
        <v>8.73</v>
      </c>
      <c r="I9" s="4">
        <v>0</v>
      </c>
    </row>
    <row r="10" spans="1:9" x14ac:dyDescent="0.2">
      <c r="A10" s="2">
        <v>8</v>
      </c>
      <c r="B10" s="1" t="s">
        <v>68</v>
      </c>
      <c r="C10" s="4">
        <v>1040</v>
      </c>
      <c r="D10" s="8">
        <v>2.72</v>
      </c>
      <c r="E10" s="4">
        <v>692</v>
      </c>
      <c r="F10" s="8">
        <v>2.77</v>
      </c>
      <c r="G10" s="4">
        <v>348</v>
      </c>
      <c r="H10" s="8">
        <v>2.7</v>
      </c>
      <c r="I10" s="4">
        <v>0</v>
      </c>
    </row>
    <row r="11" spans="1:9" x14ac:dyDescent="0.2">
      <c r="A11" s="2">
        <v>9</v>
      </c>
      <c r="B11" s="1" t="s">
        <v>70</v>
      </c>
      <c r="C11" s="4">
        <v>1002</v>
      </c>
      <c r="D11" s="8">
        <v>2.62</v>
      </c>
      <c r="E11" s="4">
        <v>778</v>
      </c>
      <c r="F11" s="8">
        <v>3.11</v>
      </c>
      <c r="G11" s="4">
        <v>223</v>
      </c>
      <c r="H11" s="8">
        <v>1.73</v>
      </c>
      <c r="I11" s="4">
        <v>1</v>
      </c>
    </row>
    <row r="12" spans="1:9" x14ac:dyDescent="0.2">
      <c r="A12" s="2">
        <v>10</v>
      </c>
      <c r="B12" s="1" t="s">
        <v>67</v>
      </c>
      <c r="C12" s="4">
        <v>976</v>
      </c>
      <c r="D12" s="8">
        <v>2.5499999999999998</v>
      </c>
      <c r="E12" s="4">
        <v>329</v>
      </c>
      <c r="F12" s="8">
        <v>1.32</v>
      </c>
      <c r="G12" s="4">
        <v>646</v>
      </c>
      <c r="H12" s="8">
        <v>5.0199999999999996</v>
      </c>
      <c r="I12" s="4">
        <v>1</v>
      </c>
    </row>
    <row r="13" spans="1:9" x14ac:dyDescent="0.2">
      <c r="A13" s="2">
        <v>11</v>
      </c>
      <c r="B13" s="1" t="s">
        <v>66</v>
      </c>
      <c r="C13" s="4">
        <v>975</v>
      </c>
      <c r="D13" s="8">
        <v>2.5499999999999998</v>
      </c>
      <c r="E13" s="4">
        <v>495</v>
      </c>
      <c r="F13" s="8">
        <v>1.98</v>
      </c>
      <c r="G13" s="4">
        <v>480</v>
      </c>
      <c r="H13" s="8">
        <v>3.73</v>
      </c>
      <c r="I13" s="4">
        <v>0</v>
      </c>
    </row>
    <row r="14" spans="1:9" x14ac:dyDescent="0.2">
      <c r="A14" s="2">
        <v>12</v>
      </c>
      <c r="B14" s="1" t="s">
        <v>74</v>
      </c>
      <c r="C14" s="4">
        <v>874</v>
      </c>
      <c r="D14" s="8">
        <v>2.29</v>
      </c>
      <c r="E14" s="4">
        <v>584</v>
      </c>
      <c r="F14" s="8">
        <v>2.34</v>
      </c>
      <c r="G14" s="4">
        <v>287</v>
      </c>
      <c r="H14" s="8">
        <v>2.23</v>
      </c>
      <c r="I14" s="4">
        <v>3</v>
      </c>
    </row>
    <row r="15" spans="1:9" x14ac:dyDescent="0.2">
      <c r="A15" s="2">
        <v>13</v>
      </c>
      <c r="B15" s="1" t="s">
        <v>75</v>
      </c>
      <c r="C15" s="4">
        <v>823</v>
      </c>
      <c r="D15" s="8">
        <v>2.15</v>
      </c>
      <c r="E15" s="4">
        <v>377</v>
      </c>
      <c r="F15" s="8">
        <v>1.51</v>
      </c>
      <c r="G15" s="4">
        <v>436</v>
      </c>
      <c r="H15" s="8">
        <v>3.39</v>
      </c>
      <c r="I15" s="4">
        <v>1</v>
      </c>
    </row>
    <row r="16" spans="1:9" x14ac:dyDescent="0.2">
      <c r="A16" s="2">
        <v>14</v>
      </c>
      <c r="B16" s="1" t="s">
        <v>82</v>
      </c>
      <c r="C16" s="4">
        <v>792</v>
      </c>
      <c r="D16" s="8">
        <v>2.0699999999999998</v>
      </c>
      <c r="E16" s="4">
        <v>690</v>
      </c>
      <c r="F16" s="8">
        <v>2.76</v>
      </c>
      <c r="G16" s="4">
        <v>97</v>
      </c>
      <c r="H16" s="8">
        <v>0.75</v>
      </c>
      <c r="I16" s="4">
        <v>0</v>
      </c>
    </row>
    <row r="17" spans="1:9" x14ac:dyDescent="0.2">
      <c r="A17" s="2">
        <v>15</v>
      </c>
      <c r="B17" s="1" t="s">
        <v>76</v>
      </c>
      <c r="C17" s="4">
        <v>743</v>
      </c>
      <c r="D17" s="8">
        <v>1.94</v>
      </c>
      <c r="E17" s="4">
        <v>562</v>
      </c>
      <c r="F17" s="8">
        <v>2.25</v>
      </c>
      <c r="G17" s="4">
        <v>176</v>
      </c>
      <c r="H17" s="8">
        <v>1.37</v>
      </c>
      <c r="I17" s="4">
        <v>1</v>
      </c>
    </row>
    <row r="18" spans="1:9" x14ac:dyDescent="0.2">
      <c r="A18" s="2">
        <v>16</v>
      </c>
      <c r="B18" s="1" t="s">
        <v>84</v>
      </c>
      <c r="C18" s="4">
        <v>723</v>
      </c>
      <c r="D18" s="8">
        <v>1.89</v>
      </c>
      <c r="E18" s="4">
        <v>661</v>
      </c>
      <c r="F18" s="8">
        <v>2.65</v>
      </c>
      <c r="G18" s="4">
        <v>61</v>
      </c>
      <c r="H18" s="8">
        <v>0.47</v>
      </c>
      <c r="I18" s="4">
        <v>1</v>
      </c>
    </row>
    <row r="19" spans="1:9" x14ac:dyDescent="0.2">
      <c r="A19" s="2">
        <v>17</v>
      </c>
      <c r="B19" s="1" t="s">
        <v>83</v>
      </c>
      <c r="C19" s="4">
        <v>720</v>
      </c>
      <c r="D19" s="8">
        <v>1.88</v>
      </c>
      <c r="E19" s="4">
        <v>90</v>
      </c>
      <c r="F19" s="8">
        <v>0.36</v>
      </c>
      <c r="G19" s="4">
        <v>563</v>
      </c>
      <c r="H19" s="8">
        <v>4.38</v>
      </c>
      <c r="I19" s="4">
        <v>20</v>
      </c>
    </row>
    <row r="20" spans="1:9" x14ac:dyDescent="0.2">
      <c r="A20" s="2">
        <v>18</v>
      </c>
      <c r="B20" s="1" t="s">
        <v>72</v>
      </c>
      <c r="C20" s="4">
        <v>640</v>
      </c>
      <c r="D20" s="8">
        <v>1.67</v>
      </c>
      <c r="E20" s="4">
        <v>122</v>
      </c>
      <c r="F20" s="8">
        <v>0.49</v>
      </c>
      <c r="G20" s="4">
        <v>518</v>
      </c>
      <c r="H20" s="8">
        <v>4.03</v>
      </c>
      <c r="I20" s="4">
        <v>0</v>
      </c>
    </row>
    <row r="21" spans="1:9" x14ac:dyDescent="0.2">
      <c r="A21" s="2">
        <v>19</v>
      </c>
      <c r="B21" s="1" t="s">
        <v>80</v>
      </c>
      <c r="C21" s="4">
        <v>614</v>
      </c>
      <c r="D21" s="8">
        <v>1.61</v>
      </c>
      <c r="E21" s="4">
        <v>394</v>
      </c>
      <c r="F21" s="8">
        <v>1.58</v>
      </c>
      <c r="G21" s="4">
        <v>185</v>
      </c>
      <c r="H21" s="8">
        <v>1.44</v>
      </c>
      <c r="I21" s="4">
        <v>8</v>
      </c>
    </row>
    <row r="22" spans="1:9" x14ac:dyDescent="0.2">
      <c r="A22" s="2">
        <v>20</v>
      </c>
      <c r="B22" s="1" t="s">
        <v>79</v>
      </c>
      <c r="C22" s="4">
        <v>502</v>
      </c>
      <c r="D22" s="8">
        <v>1.31</v>
      </c>
      <c r="E22" s="4">
        <v>259</v>
      </c>
      <c r="F22" s="8">
        <v>1.04</v>
      </c>
      <c r="G22" s="4">
        <v>234</v>
      </c>
      <c r="H22" s="8">
        <v>1.82</v>
      </c>
      <c r="I22" s="4">
        <v>4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77</v>
      </c>
      <c r="C25" s="4">
        <v>1890</v>
      </c>
      <c r="D25" s="8">
        <v>18.84</v>
      </c>
      <c r="E25" s="4">
        <v>1708</v>
      </c>
      <c r="F25" s="8">
        <v>28.55</v>
      </c>
      <c r="G25" s="4">
        <v>181</v>
      </c>
      <c r="H25" s="8">
        <v>4.51</v>
      </c>
      <c r="I25" s="4">
        <v>1</v>
      </c>
    </row>
    <row r="26" spans="1:9" x14ac:dyDescent="0.2">
      <c r="A26" s="2">
        <v>2</v>
      </c>
      <c r="B26" s="1" t="s">
        <v>73</v>
      </c>
      <c r="C26" s="4">
        <v>1326</v>
      </c>
      <c r="D26" s="8">
        <v>13.22</v>
      </c>
      <c r="E26" s="4">
        <v>714</v>
      </c>
      <c r="F26" s="8">
        <v>11.93</v>
      </c>
      <c r="G26" s="4">
        <v>610</v>
      </c>
      <c r="H26" s="8">
        <v>15.21</v>
      </c>
      <c r="I26" s="4">
        <v>2</v>
      </c>
    </row>
    <row r="27" spans="1:9" x14ac:dyDescent="0.2">
      <c r="A27" s="2">
        <v>3</v>
      </c>
      <c r="B27" s="1" t="s">
        <v>78</v>
      </c>
      <c r="C27" s="4">
        <v>846</v>
      </c>
      <c r="D27" s="8">
        <v>8.43</v>
      </c>
      <c r="E27" s="4">
        <v>725</v>
      </c>
      <c r="F27" s="8">
        <v>12.12</v>
      </c>
      <c r="G27" s="4">
        <v>121</v>
      </c>
      <c r="H27" s="8">
        <v>3.02</v>
      </c>
      <c r="I27" s="4">
        <v>0</v>
      </c>
    </row>
    <row r="28" spans="1:9" x14ac:dyDescent="0.2">
      <c r="A28" s="2">
        <v>4</v>
      </c>
      <c r="B28" s="1" t="s">
        <v>71</v>
      </c>
      <c r="C28" s="4">
        <v>646</v>
      </c>
      <c r="D28" s="8">
        <v>6.44</v>
      </c>
      <c r="E28" s="4">
        <v>428</v>
      </c>
      <c r="F28" s="8">
        <v>7.15</v>
      </c>
      <c r="G28" s="4">
        <v>218</v>
      </c>
      <c r="H28" s="8">
        <v>5.44</v>
      </c>
      <c r="I28" s="4">
        <v>0</v>
      </c>
    </row>
    <row r="29" spans="1:9" x14ac:dyDescent="0.2">
      <c r="A29" s="2">
        <v>5</v>
      </c>
      <c r="B29" s="1" t="s">
        <v>81</v>
      </c>
      <c r="C29" s="4">
        <v>510</v>
      </c>
      <c r="D29" s="8">
        <v>5.08</v>
      </c>
      <c r="E29" s="4">
        <v>419</v>
      </c>
      <c r="F29" s="8">
        <v>7</v>
      </c>
      <c r="G29" s="4">
        <v>86</v>
      </c>
      <c r="H29" s="8">
        <v>2.14</v>
      </c>
      <c r="I29" s="4">
        <v>2</v>
      </c>
    </row>
    <row r="30" spans="1:9" x14ac:dyDescent="0.2">
      <c r="A30" s="2">
        <v>6</v>
      </c>
      <c r="B30" s="1" t="s">
        <v>69</v>
      </c>
      <c r="C30" s="4">
        <v>507</v>
      </c>
      <c r="D30" s="8">
        <v>5.05</v>
      </c>
      <c r="E30" s="4">
        <v>375</v>
      </c>
      <c r="F30" s="8">
        <v>6.27</v>
      </c>
      <c r="G30" s="4">
        <v>132</v>
      </c>
      <c r="H30" s="8">
        <v>3.29</v>
      </c>
      <c r="I30" s="4">
        <v>0</v>
      </c>
    </row>
    <row r="31" spans="1:9" x14ac:dyDescent="0.2">
      <c r="A31" s="2">
        <v>7</v>
      </c>
      <c r="B31" s="1" t="s">
        <v>68</v>
      </c>
      <c r="C31" s="4">
        <v>361</v>
      </c>
      <c r="D31" s="8">
        <v>3.6</v>
      </c>
      <c r="E31" s="4">
        <v>244</v>
      </c>
      <c r="F31" s="8">
        <v>4.08</v>
      </c>
      <c r="G31" s="4">
        <v>117</v>
      </c>
      <c r="H31" s="8">
        <v>2.92</v>
      </c>
      <c r="I31" s="4">
        <v>0</v>
      </c>
    </row>
    <row r="32" spans="1:9" x14ac:dyDescent="0.2">
      <c r="A32" s="2">
        <v>8</v>
      </c>
      <c r="B32" s="1" t="s">
        <v>74</v>
      </c>
      <c r="C32" s="4">
        <v>327</v>
      </c>
      <c r="D32" s="8">
        <v>3.26</v>
      </c>
      <c r="E32" s="4">
        <v>189</v>
      </c>
      <c r="F32" s="8">
        <v>3.16</v>
      </c>
      <c r="G32" s="4">
        <v>137</v>
      </c>
      <c r="H32" s="8">
        <v>3.42</v>
      </c>
      <c r="I32" s="4">
        <v>1</v>
      </c>
    </row>
    <row r="33" spans="1:9" x14ac:dyDescent="0.2">
      <c r="A33" s="2">
        <v>9</v>
      </c>
      <c r="B33" s="1" t="s">
        <v>65</v>
      </c>
      <c r="C33" s="4">
        <v>238</v>
      </c>
      <c r="D33" s="8">
        <v>2.37</v>
      </c>
      <c r="E33" s="4">
        <v>25</v>
      </c>
      <c r="F33" s="8">
        <v>0.42</v>
      </c>
      <c r="G33" s="4">
        <v>213</v>
      </c>
      <c r="H33" s="8">
        <v>5.31</v>
      </c>
      <c r="I33" s="4">
        <v>0</v>
      </c>
    </row>
    <row r="34" spans="1:9" x14ac:dyDescent="0.2">
      <c r="A34" s="2">
        <v>10</v>
      </c>
      <c r="B34" s="1" t="s">
        <v>75</v>
      </c>
      <c r="C34" s="4">
        <v>234</v>
      </c>
      <c r="D34" s="8">
        <v>2.33</v>
      </c>
      <c r="E34" s="4">
        <v>91</v>
      </c>
      <c r="F34" s="8">
        <v>1.52</v>
      </c>
      <c r="G34" s="4">
        <v>143</v>
      </c>
      <c r="H34" s="8">
        <v>3.57</v>
      </c>
      <c r="I34" s="4">
        <v>0</v>
      </c>
    </row>
    <row r="35" spans="1:9" x14ac:dyDescent="0.2">
      <c r="A35" s="2">
        <v>11</v>
      </c>
      <c r="B35" s="1" t="s">
        <v>82</v>
      </c>
      <c r="C35" s="4">
        <v>232</v>
      </c>
      <c r="D35" s="8">
        <v>2.31</v>
      </c>
      <c r="E35" s="4">
        <v>207</v>
      </c>
      <c r="F35" s="8">
        <v>3.46</v>
      </c>
      <c r="G35" s="4">
        <v>25</v>
      </c>
      <c r="H35" s="8">
        <v>0.62</v>
      </c>
      <c r="I35" s="4">
        <v>0</v>
      </c>
    </row>
    <row r="36" spans="1:9" x14ac:dyDescent="0.2">
      <c r="A36" s="2">
        <v>12</v>
      </c>
      <c r="B36" s="1" t="s">
        <v>72</v>
      </c>
      <c r="C36" s="4">
        <v>227</v>
      </c>
      <c r="D36" s="8">
        <v>2.2599999999999998</v>
      </c>
      <c r="E36" s="4">
        <v>44</v>
      </c>
      <c r="F36" s="8">
        <v>0.74</v>
      </c>
      <c r="G36" s="4">
        <v>183</v>
      </c>
      <c r="H36" s="8">
        <v>4.5599999999999996</v>
      </c>
      <c r="I36" s="4">
        <v>0</v>
      </c>
    </row>
    <row r="37" spans="1:9" x14ac:dyDescent="0.2">
      <c r="A37" s="2">
        <v>13</v>
      </c>
      <c r="B37" s="1" t="s">
        <v>67</v>
      </c>
      <c r="C37" s="4">
        <v>200</v>
      </c>
      <c r="D37" s="8">
        <v>1.99</v>
      </c>
      <c r="E37" s="4">
        <v>43</v>
      </c>
      <c r="F37" s="8">
        <v>0.72</v>
      </c>
      <c r="G37" s="4">
        <v>157</v>
      </c>
      <c r="H37" s="8">
        <v>3.92</v>
      </c>
      <c r="I37" s="4">
        <v>0</v>
      </c>
    </row>
    <row r="38" spans="1:9" x14ac:dyDescent="0.2">
      <c r="A38" s="2">
        <v>14</v>
      </c>
      <c r="B38" s="1" t="s">
        <v>66</v>
      </c>
      <c r="C38" s="4">
        <v>166</v>
      </c>
      <c r="D38" s="8">
        <v>1.65</v>
      </c>
      <c r="E38" s="4">
        <v>54</v>
      </c>
      <c r="F38" s="8">
        <v>0.9</v>
      </c>
      <c r="G38" s="4">
        <v>112</v>
      </c>
      <c r="H38" s="8">
        <v>2.79</v>
      </c>
      <c r="I38" s="4">
        <v>0</v>
      </c>
    </row>
    <row r="39" spans="1:9" x14ac:dyDescent="0.2">
      <c r="A39" s="2">
        <v>15</v>
      </c>
      <c r="B39" s="1" t="s">
        <v>70</v>
      </c>
      <c r="C39" s="4">
        <v>162</v>
      </c>
      <c r="D39" s="8">
        <v>1.61</v>
      </c>
      <c r="E39" s="4">
        <v>125</v>
      </c>
      <c r="F39" s="8">
        <v>2.09</v>
      </c>
      <c r="G39" s="4">
        <v>37</v>
      </c>
      <c r="H39" s="8">
        <v>0.92</v>
      </c>
      <c r="I39" s="4">
        <v>0</v>
      </c>
    </row>
    <row r="40" spans="1:9" x14ac:dyDescent="0.2">
      <c r="A40" s="2">
        <v>16</v>
      </c>
      <c r="B40" s="1" t="s">
        <v>83</v>
      </c>
      <c r="C40" s="4">
        <v>159</v>
      </c>
      <c r="D40" s="8">
        <v>1.58</v>
      </c>
      <c r="E40" s="4">
        <v>16</v>
      </c>
      <c r="F40" s="8">
        <v>0.27</v>
      </c>
      <c r="G40" s="4">
        <v>133</v>
      </c>
      <c r="H40" s="8">
        <v>3.32</v>
      </c>
      <c r="I40" s="4">
        <v>10</v>
      </c>
    </row>
    <row r="41" spans="1:9" x14ac:dyDescent="0.2">
      <c r="A41" s="2">
        <v>17</v>
      </c>
      <c r="B41" s="1" t="s">
        <v>85</v>
      </c>
      <c r="C41" s="4">
        <v>142</v>
      </c>
      <c r="D41" s="8">
        <v>1.42</v>
      </c>
      <c r="E41" s="4">
        <v>8</v>
      </c>
      <c r="F41" s="8">
        <v>0.13</v>
      </c>
      <c r="G41" s="4">
        <v>134</v>
      </c>
      <c r="H41" s="8">
        <v>3.34</v>
      </c>
      <c r="I41" s="4">
        <v>0</v>
      </c>
    </row>
    <row r="42" spans="1:9" x14ac:dyDescent="0.2">
      <c r="A42" s="2">
        <v>18</v>
      </c>
      <c r="B42" s="1" t="s">
        <v>79</v>
      </c>
      <c r="C42" s="4">
        <v>141</v>
      </c>
      <c r="D42" s="8">
        <v>1.41</v>
      </c>
      <c r="E42" s="4">
        <v>66</v>
      </c>
      <c r="F42" s="8">
        <v>1.1000000000000001</v>
      </c>
      <c r="G42" s="4">
        <v>73</v>
      </c>
      <c r="H42" s="8">
        <v>1.82</v>
      </c>
      <c r="I42" s="4">
        <v>1</v>
      </c>
    </row>
    <row r="43" spans="1:9" x14ac:dyDescent="0.2">
      <c r="A43" s="2">
        <v>19</v>
      </c>
      <c r="B43" s="1" t="s">
        <v>87</v>
      </c>
      <c r="C43" s="4">
        <v>140</v>
      </c>
      <c r="D43" s="8">
        <v>1.4</v>
      </c>
      <c r="E43" s="4">
        <v>16</v>
      </c>
      <c r="F43" s="8">
        <v>0.27</v>
      </c>
      <c r="G43" s="4">
        <v>118</v>
      </c>
      <c r="H43" s="8">
        <v>2.94</v>
      </c>
      <c r="I43" s="4">
        <v>6</v>
      </c>
    </row>
    <row r="44" spans="1:9" x14ac:dyDescent="0.2">
      <c r="A44" s="2">
        <v>20</v>
      </c>
      <c r="B44" s="1" t="s">
        <v>86</v>
      </c>
      <c r="C44" s="4">
        <v>139</v>
      </c>
      <c r="D44" s="8">
        <v>1.39</v>
      </c>
      <c r="E44" s="4">
        <v>28</v>
      </c>
      <c r="F44" s="8">
        <v>0.47</v>
      </c>
      <c r="G44" s="4">
        <v>110</v>
      </c>
      <c r="H44" s="8">
        <v>2.74</v>
      </c>
      <c r="I44" s="4">
        <v>1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77</v>
      </c>
      <c r="C47" s="4">
        <v>313</v>
      </c>
      <c r="D47" s="8">
        <v>14.4</v>
      </c>
      <c r="E47" s="4">
        <v>296</v>
      </c>
      <c r="F47" s="8">
        <v>21.28</v>
      </c>
      <c r="G47" s="4">
        <v>17</v>
      </c>
      <c r="H47" s="8">
        <v>2.2000000000000002</v>
      </c>
      <c r="I47" s="4">
        <v>0</v>
      </c>
    </row>
    <row r="48" spans="1:9" x14ac:dyDescent="0.2">
      <c r="A48" s="2">
        <v>2</v>
      </c>
      <c r="B48" s="1" t="s">
        <v>78</v>
      </c>
      <c r="C48" s="4">
        <v>235</v>
      </c>
      <c r="D48" s="8">
        <v>10.81</v>
      </c>
      <c r="E48" s="4">
        <v>206</v>
      </c>
      <c r="F48" s="8">
        <v>14.81</v>
      </c>
      <c r="G48" s="4">
        <v>29</v>
      </c>
      <c r="H48" s="8">
        <v>3.75</v>
      </c>
      <c r="I48" s="4">
        <v>0</v>
      </c>
    </row>
    <row r="49" spans="1:9" x14ac:dyDescent="0.2">
      <c r="A49" s="2">
        <v>3</v>
      </c>
      <c r="B49" s="1" t="s">
        <v>73</v>
      </c>
      <c r="C49" s="4">
        <v>192</v>
      </c>
      <c r="D49" s="8">
        <v>8.83</v>
      </c>
      <c r="E49" s="4">
        <v>72</v>
      </c>
      <c r="F49" s="8">
        <v>5.18</v>
      </c>
      <c r="G49" s="4">
        <v>119</v>
      </c>
      <c r="H49" s="8">
        <v>15.39</v>
      </c>
      <c r="I49" s="4">
        <v>1</v>
      </c>
    </row>
    <row r="50" spans="1:9" x14ac:dyDescent="0.2">
      <c r="A50" s="2">
        <v>4</v>
      </c>
      <c r="B50" s="1" t="s">
        <v>71</v>
      </c>
      <c r="C50" s="4">
        <v>150</v>
      </c>
      <c r="D50" s="8">
        <v>6.9</v>
      </c>
      <c r="E50" s="4">
        <v>108</v>
      </c>
      <c r="F50" s="8">
        <v>7.76</v>
      </c>
      <c r="G50" s="4">
        <v>42</v>
      </c>
      <c r="H50" s="8">
        <v>5.43</v>
      </c>
      <c r="I50" s="4">
        <v>0</v>
      </c>
    </row>
    <row r="51" spans="1:9" x14ac:dyDescent="0.2">
      <c r="A51" s="2">
        <v>5</v>
      </c>
      <c r="B51" s="1" t="s">
        <v>81</v>
      </c>
      <c r="C51" s="4">
        <v>141</v>
      </c>
      <c r="D51" s="8">
        <v>6.49</v>
      </c>
      <c r="E51" s="4">
        <v>125</v>
      </c>
      <c r="F51" s="8">
        <v>8.99</v>
      </c>
      <c r="G51" s="4">
        <v>10</v>
      </c>
      <c r="H51" s="8">
        <v>1.29</v>
      </c>
      <c r="I51" s="4">
        <v>4</v>
      </c>
    </row>
    <row r="52" spans="1:9" x14ac:dyDescent="0.2">
      <c r="A52" s="2">
        <v>6</v>
      </c>
      <c r="B52" s="1" t="s">
        <v>70</v>
      </c>
      <c r="C52" s="4">
        <v>107</v>
      </c>
      <c r="D52" s="8">
        <v>4.92</v>
      </c>
      <c r="E52" s="4">
        <v>83</v>
      </c>
      <c r="F52" s="8">
        <v>5.97</v>
      </c>
      <c r="G52" s="4">
        <v>24</v>
      </c>
      <c r="H52" s="8">
        <v>3.1</v>
      </c>
      <c r="I52" s="4">
        <v>0</v>
      </c>
    </row>
    <row r="53" spans="1:9" x14ac:dyDescent="0.2">
      <c r="A53" s="2">
        <v>7</v>
      </c>
      <c r="B53" s="1" t="s">
        <v>69</v>
      </c>
      <c r="C53" s="4">
        <v>75</v>
      </c>
      <c r="D53" s="8">
        <v>3.45</v>
      </c>
      <c r="E53" s="4">
        <v>54</v>
      </c>
      <c r="F53" s="8">
        <v>3.88</v>
      </c>
      <c r="G53" s="4">
        <v>21</v>
      </c>
      <c r="H53" s="8">
        <v>2.72</v>
      </c>
      <c r="I53" s="4">
        <v>0</v>
      </c>
    </row>
    <row r="54" spans="1:9" x14ac:dyDescent="0.2">
      <c r="A54" s="2">
        <v>8</v>
      </c>
      <c r="B54" s="1" t="s">
        <v>65</v>
      </c>
      <c r="C54" s="4">
        <v>71</v>
      </c>
      <c r="D54" s="8">
        <v>3.27</v>
      </c>
      <c r="E54" s="4">
        <v>7</v>
      </c>
      <c r="F54" s="8">
        <v>0.5</v>
      </c>
      <c r="G54" s="4">
        <v>64</v>
      </c>
      <c r="H54" s="8">
        <v>8.2799999999999994</v>
      </c>
      <c r="I54" s="4">
        <v>0</v>
      </c>
    </row>
    <row r="55" spans="1:9" x14ac:dyDescent="0.2">
      <c r="A55" s="2">
        <v>9</v>
      </c>
      <c r="B55" s="1" t="s">
        <v>67</v>
      </c>
      <c r="C55" s="4">
        <v>68</v>
      </c>
      <c r="D55" s="8">
        <v>3.13</v>
      </c>
      <c r="E55" s="4">
        <v>17</v>
      </c>
      <c r="F55" s="8">
        <v>1.22</v>
      </c>
      <c r="G55" s="4">
        <v>51</v>
      </c>
      <c r="H55" s="8">
        <v>6.6</v>
      </c>
      <c r="I55" s="4">
        <v>0</v>
      </c>
    </row>
    <row r="56" spans="1:9" x14ac:dyDescent="0.2">
      <c r="A56" s="2">
        <v>10</v>
      </c>
      <c r="B56" s="1" t="s">
        <v>68</v>
      </c>
      <c r="C56" s="4">
        <v>67</v>
      </c>
      <c r="D56" s="8">
        <v>3.08</v>
      </c>
      <c r="E56" s="4">
        <v>47</v>
      </c>
      <c r="F56" s="8">
        <v>3.38</v>
      </c>
      <c r="G56" s="4">
        <v>20</v>
      </c>
      <c r="H56" s="8">
        <v>2.59</v>
      </c>
      <c r="I56" s="4">
        <v>0</v>
      </c>
    </row>
    <row r="57" spans="1:9" x14ac:dyDescent="0.2">
      <c r="A57" s="2">
        <v>11</v>
      </c>
      <c r="B57" s="1" t="s">
        <v>66</v>
      </c>
      <c r="C57" s="4">
        <v>63</v>
      </c>
      <c r="D57" s="8">
        <v>2.9</v>
      </c>
      <c r="E57" s="4">
        <v>30</v>
      </c>
      <c r="F57" s="8">
        <v>2.16</v>
      </c>
      <c r="G57" s="4">
        <v>33</v>
      </c>
      <c r="H57" s="8">
        <v>4.2699999999999996</v>
      </c>
      <c r="I57" s="4">
        <v>0</v>
      </c>
    </row>
    <row r="58" spans="1:9" x14ac:dyDescent="0.2">
      <c r="A58" s="2">
        <v>11</v>
      </c>
      <c r="B58" s="1" t="s">
        <v>74</v>
      </c>
      <c r="C58" s="4">
        <v>63</v>
      </c>
      <c r="D58" s="8">
        <v>2.9</v>
      </c>
      <c r="E58" s="4">
        <v>46</v>
      </c>
      <c r="F58" s="8">
        <v>3.31</v>
      </c>
      <c r="G58" s="4">
        <v>16</v>
      </c>
      <c r="H58" s="8">
        <v>2.0699999999999998</v>
      </c>
      <c r="I58" s="4">
        <v>1</v>
      </c>
    </row>
    <row r="59" spans="1:9" x14ac:dyDescent="0.2">
      <c r="A59" s="2">
        <v>13</v>
      </c>
      <c r="B59" s="1" t="s">
        <v>75</v>
      </c>
      <c r="C59" s="4">
        <v>61</v>
      </c>
      <c r="D59" s="8">
        <v>2.81</v>
      </c>
      <c r="E59" s="4">
        <v>25</v>
      </c>
      <c r="F59" s="8">
        <v>1.8</v>
      </c>
      <c r="G59" s="4">
        <v>36</v>
      </c>
      <c r="H59" s="8">
        <v>4.66</v>
      </c>
      <c r="I59" s="4">
        <v>0</v>
      </c>
    </row>
    <row r="60" spans="1:9" x14ac:dyDescent="0.2">
      <c r="A60" s="2">
        <v>14</v>
      </c>
      <c r="B60" s="1" t="s">
        <v>84</v>
      </c>
      <c r="C60" s="4">
        <v>52</v>
      </c>
      <c r="D60" s="8">
        <v>2.39</v>
      </c>
      <c r="E60" s="4">
        <v>51</v>
      </c>
      <c r="F60" s="8">
        <v>3.67</v>
      </c>
      <c r="G60" s="4">
        <v>1</v>
      </c>
      <c r="H60" s="8">
        <v>0.13</v>
      </c>
      <c r="I60" s="4">
        <v>0</v>
      </c>
    </row>
    <row r="61" spans="1:9" x14ac:dyDescent="0.2">
      <c r="A61" s="2">
        <v>15</v>
      </c>
      <c r="B61" s="1" t="s">
        <v>82</v>
      </c>
      <c r="C61" s="4">
        <v>50</v>
      </c>
      <c r="D61" s="8">
        <v>2.2999999999999998</v>
      </c>
      <c r="E61" s="4">
        <v>43</v>
      </c>
      <c r="F61" s="8">
        <v>3.09</v>
      </c>
      <c r="G61" s="4">
        <v>7</v>
      </c>
      <c r="H61" s="8">
        <v>0.91</v>
      </c>
      <c r="I61" s="4">
        <v>0</v>
      </c>
    </row>
    <row r="62" spans="1:9" x14ac:dyDescent="0.2">
      <c r="A62" s="2">
        <v>16</v>
      </c>
      <c r="B62" s="1" t="s">
        <v>83</v>
      </c>
      <c r="C62" s="4">
        <v>48</v>
      </c>
      <c r="D62" s="8">
        <v>2.21</v>
      </c>
      <c r="E62" s="4">
        <v>7</v>
      </c>
      <c r="F62" s="8">
        <v>0.5</v>
      </c>
      <c r="G62" s="4">
        <v>41</v>
      </c>
      <c r="H62" s="8">
        <v>5.3</v>
      </c>
      <c r="I62" s="4">
        <v>0</v>
      </c>
    </row>
    <row r="63" spans="1:9" x14ac:dyDescent="0.2">
      <c r="A63" s="2">
        <v>17</v>
      </c>
      <c r="B63" s="1" t="s">
        <v>72</v>
      </c>
      <c r="C63" s="4">
        <v>47</v>
      </c>
      <c r="D63" s="8">
        <v>2.16</v>
      </c>
      <c r="E63" s="4">
        <v>17</v>
      </c>
      <c r="F63" s="8">
        <v>1.22</v>
      </c>
      <c r="G63" s="4">
        <v>30</v>
      </c>
      <c r="H63" s="8">
        <v>3.88</v>
      </c>
      <c r="I63" s="4">
        <v>0</v>
      </c>
    </row>
    <row r="64" spans="1:9" x14ac:dyDescent="0.2">
      <c r="A64" s="2">
        <v>18</v>
      </c>
      <c r="B64" s="1" t="s">
        <v>80</v>
      </c>
      <c r="C64" s="4">
        <v>31</v>
      </c>
      <c r="D64" s="8">
        <v>1.43</v>
      </c>
      <c r="E64" s="4">
        <v>22</v>
      </c>
      <c r="F64" s="8">
        <v>1.58</v>
      </c>
      <c r="G64" s="4">
        <v>9</v>
      </c>
      <c r="H64" s="8">
        <v>1.1599999999999999</v>
      </c>
      <c r="I64" s="4">
        <v>0</v>
      </c>
    </row>
    <row r="65" spans="1:9" x14ac:dyDescent="0.2">
      <c r="A65" s="2">
        <v>19</v>
      </c>
      <c r="B65" s="1" t="s">
        <v>86</v>
      </c>
      <c r="C65" s="4">
        <v>25</v>
      </c>
      <c r="D65" s="8">
        <v>1.1499999999999999</v>
      </c>
      <c r="E65" s="4">
        <v>8</v>
      </c>
      <c r="F65" s="8">
        <v>0.57999999999999996</v>
      </c>
      <c r="G65" s="4">
        <v>17</v>
      </c>
      <c r="H65" s="8">
        <v>2.2000000000000002</v>
      </c>
      <c r="I65" s="4">
        <v>0</v>
      </c>
    </row>
    <row r="66" spans="1:9" x14ac:dyDescent="0.2">
      <c r="A66" s="2">
        <v>19</v>
      </c>
      <c r="B66" s="1" t="s">
        <v>79</v>
      </c>
      <c r="C66" s="4">
        <v>25</v>
      </c>
      <c r="D66" s="8">
        <v>1.1499999999999999</v>
      </c>
      <c r="E66" s="4">
        <v>11</v>
      </c>
      <c r="F66" s="8">
        <v>0.79</v>
      </c>
      <c r="G66" s="4">
        <v>14</v>
      </c>
      <c r="H66" s="8">
        <v>1.81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77</v>
      </c>
      <c r="C69" s="4">
        <v>323</v>
      </c>
      <c r="D69" s="8">
        <v>16.95</v>
      </c>
      <c r="E69" s="4">
        <v>295</v>
      </c>
      <c r="F69" s="8">
        <v>22.23</v>
      </c>
      <c r="G69" s="4">
        <v>28</v>
      </c>
      <c r="H69" s="8">
        <v>4.92</v>
      </c>
      <c r="I69" s="4">
        <v>0</v>
      </c>
    </row>
    <row r="70" spans="1:9" x14ac:dyDescent="0.2">
      <c r="A70" s="2">
        <v>2</v>
      </c>
      <c r="B70" s="1" t="s">
        <v>78</v>
      </c>
      <c r="C70" s="4">
        <v>151</v>
      </c>
      <c r="D70" s="8">
        <v>7.92</v>
      </c>
      <c r="E70" s="4">
        <v>142</v>
      </c>
      <c r="F70" s="8">
        <v>10.7</v>
      </c>
      <c r="G70" s="4">
        <v>9</v>
      </c>
      <c r="H70" s="8">
        <v>1.58</v>
      </c>
      <c r="I70" s="4">
        <v>0</v>
      </c>
    </row>
    <row r="71" spans="1:9" x14ac:dyDescent="0.2">
      <c r="A71" s="2">
        <v>3</v>
      </c>
      <c r="B71" s="1" t="s">
        <v>69</v>
      </c>
      <c r="C71" s="4">
        <v>137</v>
      </c>
      <c r="D71" s="8">
        <v>7.19</v>
      </c>
      <c r="E71" s="4">
        <v>120</v>
      </c>
      <c r="F71" s="8">
        <v>9.0399999999999991</v>
      </c>
      <c r="G71" s="4">
        <v>17</v>
      </c>
      <c r="H71" s="8">
        <v>2.99</v>
      </c>
      <c r="I71" s="4">
        <v>0</v>
      </c>
    </row>
    <row r="72" spans="1:9" x14ac:dyDescent="0.2">
      <c r="A72" s="2">
        <v>4</v>
      </c>
      <c r="B72" s="1" t="s">
        <v>71</v>
      </c>
      <c r="C72" s="4">
        <v>129</v>
      </c>
      <c r="D72" s="8">
        <v>6.77</v>
      </c>
      <c r="E72" s="4">
        <v>84</v>
      </c>
      <c r="F72" s="8">
        <v>6.33</v>
      </c>
      <c r="G72" s="4">
        <v>45</v>
      </c>
      <c r="H72" s="8">
        <v>7.91</v>
      </c>
      <c r="I72" s="4">
        <v>0</v>
      </c>
    </row>
    <row r="73" spans="1:9" x14ac:dyDescent="0.2">
      <c r="A73" s="2">
        <v>5</v>
      </c>
      <c r="B73" s="1" t="s">
        <v>73</v>
      </c>
      <c r="C73" s="4">
        <v>111</v>
      </c>
      <c r="D73" s="8">
        <v>5.82</v>
      </c>
      <c r="E73" s="4">
        <v>73</v>
      </c>
      <c r="F73" s="8">
        <v>5.5</v>
      </c>
      <c r="G73" s="4">
        <v>38</v>
      </c>
      <c r="H73" s="8">
        <v>6.68</v>
      </c>
      <c r="I73" s="4">
        <v>0</v>
      </c>
    </row>
    <row r="74" spans="1:9" x14ac:dyDescent="0.2">
      <c r="A74" s="2">
        <v>6</v>
      </c>
      <c r="B74" s="1" t="s">
        <v>76</v>
      </c>
      <c r="C74" s="4">
        <v>102</v>
      </c>
      <c r="D74" s="8">
        <v>5.35</v>
      </c>
      <c r="E74" s="4">
        <v>80</v>
      </c>
      <c r="F74" s="8">
        <v>6.03</v>
      </c>
      <c r="G74" s="4">
        <v>22</v>
      </c>
      <c r="H74" s="8">
        <v>3.87</v>
      </c>
      <c r="I74" s="4">
        <v>0</v>
      </c>
    </row>
    <row r="75" spans="1:9" x14ac:dyDescent="0.2">
      <c r="A75" s="2">
        <v>7</v>
      </c>
      <c r="B75" s="1" t="s">
        <v>65</v>
      </c>
      <c r="C75" s="4">
        <v>79</v>
      </c>
      <c r="D75" s="8">
        <v>4.1399999999999997</v>
      </c>
      <c r="E75" s="4">
        <v>16</v>
      </c>
      <c r="F75" s="8">
        <v>1.21</v>
      </c>
      <c r="G75" s="4">
        <v>63</v>
      </c>
      <c r="H75" s="8">
        <v>11.07</v>
      </c>
      <c r="I75" s="4">
        <v>0</v>
      </c>
    </row>
    <row r="76" spans="1:9" x14ac:dyDescent="0.2">
      <c r="A76" s="2">
        <v>7</v>
      </c>
      <c r="B76" s="1" t="s">
        <v>80</v>
      </c>
      <c r="C76" s="4">
        <v>79</v>
      </c>
      <c r="D76" s="8">
        <v>4.1399999999999997</v>
      </c>
      <c r="E76" s="4">
        <v>63</v>
      </c>
      <c r="F76" s="8">
        <v>4.75</v>
      </c>
      <c r="G76" s="4">
        <v>15</v>
      </c>
      <c r="H76" s="8">
        <v>2.64</v>
      </c>
      <c r="I76" s="4">
        <v>1</v>
      </c>
    </row>
    <row r="77" spans="1:9" x14ac:dyDescent="0.2">
      <c r="A77" s="2">
        <v>9</v>
      </c>
      <c r="B77" s="1" t="s">
        <v>68</v>
      </c>
      <c r="C77" s="4">
        <v>73</v>
      </c>
      <c r="D77" s="8">
        <v>3.83</v>
      </c>
      <c r="E77" s="4">
        <v>54</v>
      </c>
      <c r="F77" s="8">
        <v>4.07</v>
      </c>
      <c r="G77" s="4">
        <v>19</v>
      </c>
      <c r="H77" s="8">
        <v>3.34</v>
      </c>
      <c r="I77" s="4">
        <v>0</v>
      </c>
    </row>
    <row r="78" spans="1:9" x14ac:dyDescent="0.2">
      <c r="A78" s="2">
        <v>10</v>
      </c>
      <c r="B78" s="1" t="s">
        <v>81</v>
      </c>
      <c r="C78" s="4">
        <v>69</v>
      </c>
      <c r="D78" s="8">
        <v>3.62</v>
      </c>
      <c r="E78" s="4">
        <v>59</v>
      </c>
      <c r="F78" s="8">
        <v>4.45</v>
      </c>
      <c r="G78" s="4">
        <v>9</v>
      </c>
      <c r="H78" s="8">
        <v>1.58</v>
      </c>
      <c r="I78" s="4">
        <v>0</v>
      </c>
    </row>
    <row r="79" spans="1:9" x14ac:dyDescent="0.2">
      <c r="A79" s="2">
        <v>11</v>
      </c>
      <c r="B79" s="1" t="s">
        <v>88</v>
      </c>
      <c r="C79" s="4">
        <v>53</v>
      </c>
      <c r="D79" s="8">
        <v>2.78</v>
      </c>
      <c r="E79" s="4">
        <v>32</v>
      </c>
      <c r="F79" s="8">
        <v>2.41</v>
      </c>
      <c r="G79" s="4">
        <v>21</v>
      </c>
      <c r="H79" s="8">
        <v>3.69</v>
      </c>
      <c r="I79" s="4">
        <v>0</v>
      </c>
    </row>
    <row r="80" spans="1:9" x14ac:dyDescent="0.2">
      <c r="A80" s="2">
        <v>12</v>
      </c>
      <c r="B80" s="1" t="s">
        <v>75</v>
      </c>
      <c r="C80" s="4">
        <v>46</v>
      </c>
      <c r="D80" s="8">
        <v>2.41</v>
      </c>
      <c r="E80" s="4">
        <v>27</v>
      </c>
      <c r="F80" s="8">
        <v>2.0299999999999998</v>
      </c>
      <c r="G80" s="4">
        <v>19</v>
      </c>
      <c r="H80" s="8">
        <v>3.34</v>
      </c>
      <c r="I80" s="4">
        <v>0</v>
      </c>
    </row>
    <row r="81" spans="1:9" x14ac:dyDescent="0.2">
      <c r="A81" s="2">
        <v>13</v>
      </c>
      <c r="B81" s="1" t="s">
        <v>70</v>
      </c>
      <c r="C81" s="4">
        <v>43</v>
      </c>
      <c r="D81" s="8">
        <v>2.2599999999999998</v>
      </c>
      <c r="E81" s="4">
        <v>33</v>
      </c>
      <c r="F81" s="8">
        <v>2.4900000000000002</v>
      </c>
      <c r="G81" s="4">
        <v>10</v>
      </c>
      <c r="H81" s="8">
        <v>1.76</v>
      </c>
      <c r="I81" s="4">
        <v>0</v>
      </c>
    </row>
    <row r="82" spans="1:9" x14ac:dyDescent="0.2">
      <c r="A82" s="2">
        <v>14</v>
      </c>
      <c r="B82" s="1" t="s">
        <v>66</v>
      </c>
      <c r="C82" s="4">
        <v>35</v>
      </c>
      <c r="D82" s="8">
        <v>1.84</v>
      </c>
      <c r="E82" s="4">
        <v>24</v>
      </c>
      <c r="F82" s="8">
        <v>1.81</v>
      </c>
      <c r="G82" s="4">
        <v>11</v>
      </c>
      <c r="H82" s="8">
        <v>1.93</v>
      </c>
      <c r="I82" s="4">
        <v>0</v>
      </c>
    </row>
    <row r="83" spans="1:9" x14ac:dyDescent="0.2">
      <c r="A83" s="2">
        <v>14</v>
      </c>
      <c r="B83" s="1" t="s">
        <v>82</v>
      </c>
      <c r="C83" s="4">
        <v>35</v>
      </c>
      <c r="D83" s="8">
        <v>1.84</v>
      </c>
      <c r="E83" s="4">
        <v>27</v>
      </c>
      <c r="F83" s="8">
        <v>2.0299999999999998</v>
      </c>
      <c r="G83" s="4">
        <v>8</v>
      </c>
      <c r="H83" s="8">
        <v>1.41</v>
      </c>
      <c r="I83" s="4">
        <v>0</v>
      </c>
    </row>
    <row r="84" spans="1:9" x14ac:dyDescent="0.2">
      <c r="A84" s="2">
        <v>16</v>
      </c>
      <c r="B84" s="1" t="s">
        <v>67</v>
      </c>
      <c r="C84" s="4">
        <v>32</v>
      </c>
      <c r="D84" s="8">
        <v>1.68</v>
      </c>
      <c r="E84" s="4">
        <v>13</v>
      </c>
      <c r="F84" s="8">
        <v>0.98</v>
      </c>
      <c r="G84" s="4">
        <v>19</v>
      </c>
      <c r="H84" s="8">
        <v>3.34</v>
      </c>
      <c r="I84" s="4">
        <v>0</v>
      </c>
    </row>
    <row r="85" spans="1:9" x14ac:dyDescent="0.2">
      <c r="A85" s="2">
        <v>17</v>
      </c>
      <c r="B85" s="1" t="s">
        <v>84</v>
      </c>
      <c r="C85" s="4">
        <v>31</v>
      </c>
      <c r="D85" s="8">
        <v>1.63</v>
      </c>
      <c r="E85" s="4">
        <v>27</v>
      </c>
      <c r="F85" s="8">
        <v>2.0299999999999998</v>
      </c>
      <c r="G85" s="4">
        <v>3</v>
      </c>
      <c r="H85" s="8">
        <v>0.53</v>
      </c>
      <c r="I85" s="4">
        <v>1</v>
      </c>
    </row>
    <row r="86" spans="1:9" x14ac:dyDescent="0.2">
      <c r="A86" s="2">
        <v>18</v>
      </c>
      <c r="B86" s="1" t="s">
        <v>79</v>
      </c>
      <c r="C86" s="4">
        <v>28</v>
      </c>
      <c r="D86" s="8">
        <v>1.47</v>
      </c>
      <c r="E86" s="4">
        <v>18</v>
      </c>
      <c r="F86" s="8">
        <v>1.36</v>
      </c>
      <c r="G86" s="4">
        <v>10</v>
      </c>
      <c r="H86" s="8">
        <v>1.76</v>
      </c>
      <c r="I86" s="4">
        <v>0</v>
      </c>
    </row>
    <row r="87" spans="1:9" x14ac:dyDescent="0.2">
      <c r="A87" s="2">
        <v>19</v>
      </c>
      <c r="B87" s="1" t="s">
        <v>83</v>
      </c>
      <c r="C87" s="4">
        <v>27</v>
      </c>
      <c r="D87" s="8">
        <v>1.42</v>
      </c>
      <c r="E87" s="4">
        <v>3</v>
      </c>
      <c r="F87" s="8">
        <v>0.23</v>
      </c>
      <c r="G87" s="4">
        <v>22</v>
      </c>
      <c r="H87" s="8">
        <v>3.87</v>
      </c>
      <c r="I87" s="4">
        <v>0</v>
      </c>
    </row>
    <row r="88" spans="1:9" x14ac:dyDescent="0.2">
      <c r="A88" s="2">
        <v>20</v>
      </c>
      <c r="B88" s="1" t="s">
        <v>74</v>
      </c>
      <c r="C88" s="4">
        <v>26</v>
      </c>
      <c r="D88" s="8">
        <v>1.36</v>
      </c>
      <c r="E88" s="4">
        <v>18</v>
      </c>
      <c r="F88" s="8">
        <v>1.36</v>
      </c>
      <c r="G88" s="4">
        <v>8</v>
      </c>
      <c r="H88" s="8">
        <v>1.41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73</v>
      </c>
      <c r="C91" s="4">
        <v>516</v>
      </c>
      <c r="D91" s="8">
        <v>16.89</v>
      </c>
      <c r="E91" s="4">
        <v>373</v>
      </c>
      <c r="F91" s="8">
        <v>20.25</v>
      </c>
      <c r="G91" s="4">
        <v>142</v>
      </c>
      <c r="H91" s="8">
        <v>11.85</v>
      </c>
      <c r="I91" s="4">
        <v>1</v>
      </c>
    </row>
    <row r="92" spans="1:9" x14ac:dyDescent="0.2">
      <c r="A92" s="2">
        <v>2</v>
      </c>
      <c r="B92" s="1" t="s">
        <v>77</v>
      </c>
      <c r="C92" s="4">
        <v>445</v>
      </c>
      <c r="D92" s="8">
        <v>14.57</v>
      </c>
      <c r="E92" s="4">
        <v>412</v>
      </c>
      <c r="F92" s="8">
        <v>22.37</v>
      </c>
      <c r="G92" s="4">
        <v>33</v>
      </c>
      <c r="H92" s="8">
        <v>2.75</v>
      </c>
      <c r="I92" s="4">
        <v>0</v>
      </c>
    </row>
    <row r="93" spans="1:9" x14ac:dyDescent="0.2">
      <c r="A93" s="2">
        <v>3</v>
      </c>
      <c r="B93" s="1" t="s">
        <v>78</v>
      </c>
      <c r="C93" s="4">
        <v>242</v>
      </c>
      <c r="D93" s="8">
        <v>7.92</v>
      </c>
      <c r="E93" s="4">
        <v>207</v>
      </c>
      <c r="F93" s="8">
        <v>11.24</v>
      </c>
      <c r="G93" s="4">
        <v>35</v>
      </c>
      <c r="H93" s="8">
        <v>2.92</v>
      </c>
      <c r="I93" s="4">
        <v>0</v>
      </c>
    </row>
    <row r="94" spans="1:9" x14ac:dyDescent="0.2">
      <c r="A94" s="2">
        <v>4</v>
      </c>
      <c r="B94" s="1" t="s">
        <v>81</v>
      </c>
      <c r="C94" s="4">
        <v>159</v>
      </c>
      <c r="D94" s="8">
        <v>5.2</v>
      </c>
      <c r="E94" s="4">
        <v>129</v>
      </c>
      <c r="F94" s="8">
        <v>7</v>
      </c>
      <c r="G94" s="4">
        <v>23</v>
      </c>
      <c r="H94" s="8">
        <v>1.92</v>
      </c>
      <c r="I94" s="4">
        <v>5</v>
      </c>
    </row>
    <row r="95" spans="1:9" x14ac:dyDescent="0.2">
      <c r="A95" s="2">
        <v>5</v>
      </c>
      <c r="B95" s="1" t="s">
        <v>71</v>
      </c>
      <c r="C95" s="4">
        <v>140</v>
      </c>
      <c r="D95" s="8">
        <v>4.58</v>
      </c>
      <c r="E95" s="4">
        <v>78</v>
      </c>
      <c r="F95" s="8">
        <v>4.2300000000000004</v>
      </c>
      <c r="G95" s="4">
        <v>62</v>
      </c>
      <c r="H95" s="8">
        <v>5.18</v>
      </c>
      <c r="I95" s="4">
        <v>0</v>
      </c>
    </row>
    <row r="96" spans="1:9" x14ac:dyDescent="0.2">
      <c r="A96" s="2">
        <v>6</v>
      </c>
      <c r="B96" s="1" t="s">
        <v>65</v>
      </c>
      <c r="C96" s="4">
        <v>105</v>
      </c>
      <c r="D96" s="8">
        <v>3.44</v>
      </c>
      <c r="E96" s="4">
        <v>20</v>
      </c>
      <c r="F96" s="8">
        <v>1.0900000000000001</v>
      </c>
      <c r="G96" s="4">
        <v>85</v>
      </c>
      <c r="H96" s="8">
        <v>7.1</v>
      </c>
      <c r="I96" s="4">
        <v>0</v>
      </c>
    </row>
    <row r="97" spans="1:9" x14ac:dyDescent="0.2">
      <c r="A97" s="2">
        <v>7</v>
      </c>
      <c r="B97" s="1" t="s">
        <v>69</v>
      </c>
      <c r="C97" s="4">
        <v>102</v>
      </c>
      <c r="D97" s="8">
        <v>3.34</v>
      </c>
      <c r="E97" s="4">
        <v>78</v>
      </c>
      <c r="F97" s="8">
        <v>4.2300000000000004</v>
      </c>
      <c r="G97" s="4">
        <v>24</v>
      </c>
      <c r="H97" s="8">
        <v>2</v>
      </c>
      <c r="I97" s="4">
        <v>0</v>
      </c>
    </row>
    <row r="98" spans="1:9" x14ac:dyDescent="0.2">
      <c r="A98" s="2">
        <v>8</v>
      </c>
      <c r="B98" s="1" t="s">
        <v>66</v>
      </c>
      <c r="C98" s="4">
        <v>101</v>
      </c>
      <c r="D98" s="8">
        <v>3.31</v>
      </c>
      <c r="E98" s="4">
        <v>43</v>
      </c>
      <c r="F98" s="8">
        <v>2.33</v>
      </c>
      <c r="G98" s="4">
        <v>58</v>
      </c>
      <c r="H98" s="8">
        <v>4.84</v>
      </c>
      <c r="I98" s="4">
        <v>0</v>
      </c>
    </row>
    <row r="99" spans="1:9" x14ac:dyDescent="0.2">
      <c r="A99" s="2">
        <v>9</v>
      </c>
      <c r="B99" s="1" t="s">
        <v>67</v>
      </c>
      <c r="C99" s="4">
        <v>95</v>
      </c>
      <c r="D99" s="8">
        <v>3.11</v>
      </c>
      <c r="E99" s="4">
        <v>33</v>
      </c>
      <c r="F99" s="8">
        <v>1.79</v>
      </c>
      <c r="G99" s="4">
        <v>62</v>
      </c>
      <c r="H99" s="8">
        <v>5.18</v>
      </c>
      <c r="I99" s="4">
        <v>0</v>
      </c>
    </row>
    <row r="100" spans="1:9" x14ac:dyDescent="0.2">
      <c r="A100" s="2">
        <v>10</v>
      </c>
      <c r="B100" s="1" t="s">
        <v>74</v>
      </c>
      <c r="C100" s="4">
        <v>93</v>
      </c>
      <c r="D100" s="8">
        <v>3.04</v>
      </c>
      <c r="E100" s="4">
        <v>56</v>
      </c>
      <c r="F100" s="8">
        <v>3.04</v>
      </c>
      <c r="G100" s="4">
        <v>37</v>
      </c>
      <c r="H100" s="8">
        <v>3.09</v>
      </c>
      <c r="I100" s="4">
        <v>0</v>
      </c>
    </row>
    <row r="101" spans="1:9" x14ac:dyDescent="0.2">
      <c r="A101" s="2">
        <v>10</v>
      </c>
      <c r="B101" s="1" t="s">
        <v>75</v>
      </c>
      <c r="C101" s="4">
        <v>93</v>
      </c>
      <c r="D101" s="8">
        <v>3.04</v>
      </c>
      <c r="E101" s="4">
        <v>39</v>
      </c>
      <c r="F101" s="8">
        <v>2.12</v>
      </c>
      <c r="G101" s="4">
        <v>54</v>
      </c>
      <c r="H101" s="8">
        <v>4.51</v>
      </c>
      <c r="I101" s="4">
        <v>0</v>
      </c>
    </row>
    <row r="102" spans="1:9" x14ac:dyDescent="0.2">
      <c r="A102" s="2">
        <v>12</v>
      </c>
      <c r="B102" s="1" t="s">
        <v>68</v>
      </c>
      <c r="C102" s="4">
        <v>87</v>
      </c>
      <c r="D102" s="8">
        <v>2.85</v>
      </c>
      <c r="E102" s="4">
        <v>32</v>
      </c>
      <c r="F102" s="8">
        <v>1.74</v>
      </c>
      <c r="G102" s="4">
        <v>55</v>
      </c>
      <c r="H102" s="8">
        <v>4.59</v>
      </c>
      <c r="I102" s="4">
        <v>0</v>
      </c>
    </row>
    <row r="103" spans="1:9" x14ac:dyDescent="0.2">
      <c r="A103" s="2">
        <v>13</v>
      </c>
      <c r="B103" s="1" t="s">
        <v>82</v>
      </c>
      <c r="C103" s="4">
        <v>77</v>
      </c>
      <c r="D103" s="8">
        <v>2.52</v>
      </c>
      <c r="E103" s="4">
        <v>71</v>
      </c>
      <c r="F103" s="8">
        <v>3.85</v>
      </c>
      <c r="G103" s="4">
        <v>6</v>
      </c>
      <c r="H103" s="8">
        <v>0.5</v>
      </c>
      <c r="I103" s="4">
        <v>0</v>
      </c>
    </row>
    <row r="104" spans="1:9" x14ac:dyDescent="0.2">
      <c r="A104" s="2">
        <v>14</v>
      </c>
      <c r="B104" s="1" t="s">
        <v>83</v>
      </c>
      <c r="C104" s="4">
        <v>73</v>
      </c>
      <c r="D104" s="8">
        <v>2.39</v>
      </c>
      <c r="E104" s="4">
        <v>12</v>
      </c>
      <c r="F104" s="8">
        <v>0.65</v>
      </c>
      <c r="G104" s="4">
        <v>59</v>
      </c>
      <c r="H104" s="8">
        <v>4.92</v>
      </c>
      <c r="I104" s="4">
        <v>2</v>
      </c>
    </row>
    <row r="105" spans="1:9" x14ac:dyDescent="0.2">
      <c r="A105" s="2">
        <v>15</v>
      </c>
      <c r="B105" s="1" t="s">
        <v>70</v>
      </c>
      <c r="C105" s="4">
        <v>66</v>
      </c>
      <c r="D105" s="8">
        <v>2.16</v>
      </c>
      <c r="E105" s="4">
        <v>49</v>
      </c>
      <c r="F105" s="8">
        <v>2.66</v>
      </c>
      <c r="G105" s="4">
        <v>17</v>
      </c>
      <c r="H105" s="8">
        <v>1.42</v>
      </c>
      <c r="I105" s="4">
        <v>0</v>
      </c>
    </row>
    <row r="106" spans="1:9" x14ac:dyDescent="0.2">
      <c r="A106" s="2">
        <v>16</v>
      </c>
      <c r="B106" s="1" t="s">
        <v>72</v>
      </c>
      <c r="C106" s="4">
        <v>65</v>
      </c>
      <c r="D106" s="8">
        <v>2.13</v>
      </c>
      <c r="E106" s="4">
        <v>9</v>
      </c>
      <c r="F106" s="8">
        <v>0.49</v>
      </c>
      <c r="G106" s="4">
        <v>56</v>
      </c>
      <c r="H106" s="8">
        <v>4.67</v>
      </c>
      <c r="I106" s="4">
        <v>0</v>
      </c>
    </row>
    <row r="107" spans="1:9" x14ac:dyDescent="0.2">
      <c r="A107" s="2">
        <v>17</v>
      </c>
      <c r="B107" s="1" t="s">
        <v>85</v>
      </c>
      <c r="C107" s="4">
        <v>62</v>
      </c>
      <c r="D107" s="8">
        <v>2.0299999999999998</v>
      </c>
      <c r="E107" s="4">
        <v>7</v>
      </c>
      <c r="F107" s="8">
        <v>0.38</v>
      </c>
      <c r="G107" s="4">
        <v>55</v>
      </c>
      <c r="H107" s="8">
        <v>4.59</v>
      </c>
      <c r="I107" s="4">
        <v>0</v>
      </c>
    </row>
    <row r="108" spans="1:9" x14ac:dyDescent="0.2">
      <c r="A108" s="2">
        <v>18</v>
      </c>
      <c r="B108" s="1" t="s">
        <v>86</v>
      </c>
      <c r="C108" s="4">
        <v>46</v>
      </c>
      <c r="D108" s="8">
        <v>1.51</v>
      </c>
      <c r="E108" s="4">
        <v>8</v>
      </c>
      <c r="F108" s="8">
        <v>0.43</v>
      </c>
      <c r="G108" s="4">
        <v>38</v>
      </c>
      <c r="H108" s="8">
        <v>3.17</v>
      </c>
      <c r="I108" s="4">
        <v>0</v>
      </c>
    </row>
    <row r="109" spans="1:9" x14ac:dyDescent="0.2">
      <c r="A109" s="2">
        <v>19</v>
      </c>
      <c r="B109" s="1" t="s">
        <v>79</v>
      </c>
      <c r="C109" s="4">
        <v>44</v>
      </c>
      <c r="D109" s="8">
        <v>1.44</v>
      </c>
      <c r="E109" s="4">
        <v>19</v>
      </c>
      <c r="F109" s="8">
        <v>1.03</v>
      </c>
      <c r="G109" s="4">
        <v>24</v>
      </c>
      <c r="H109" s="8">
        <v>2</v>
      </c>
      <c r="I109" s="4">
        <v>1</v>
      </c>
    </row>
    <row r="110" spans="1:9" x14ac:dyDescent="0.2">
      <c r="A110" s="2">
        <v>20</v>
      </c>
      <c r="B110" s="1" t="s">
        <v>89</v>
      </c>
      <c r="C110" s="4">
        <v>43</v>
      </c>
      <c r="D110" s="8">
        <v>1.41</v>
      </c>
      <c r="E110" s="4">
        <v>8</v>
      </c>
      <c r="F110" s="8">
        <v>0.43</v>
      </c>
      <c r="G110" s="4">
        <v>35</v>
      </c>
      <c r="H110" s="8">
        <v>2.92</v>
      </c>
      <c r="I110" s="4">
        <v>0</v>
      </c>
    </row>
    <row r="111" spans="1:9" x14ac:dyDescent="0.2">
      <c r="A111" s="2">
        <v>20</v>
      </c>
      <c r="B111" s="1" t="s">
        <v>84</v>
      </c>
      <c r="C111" s="4">
        <v>43</v>
      </c>
      <c r="D111" s="8">
        <v>1.41</v>
      </c>
      <c r="E111" s="4">
        <v>36</v>
      </c>
      <c r="F111" s="8">
        <v>1.95</v>
      </c>
      <c r="G111" s="4">
        <v>7</v>
      </c>
      <c r="H111" s="8">
        <v>0.57999999999999996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77</v>
      </c>
      <c r="C114" s="4">
        <v>297</v>
      </c>
      <c r="D114" s="8">
        <v>19.96</v>
      </c>
      <c r="E114" s="4">
        <v>279</v>
      </c>
      <c r="F114" s="8">
        <v>26.22</v>
      </c>
      <c r="G114" s="4">
        <v>17</v>
      </c>
      <c r="H114" s="8">
        <v>4.2</v>
      </c>
      <c r="I114" s="4">
        <v>1</v>
      </c>
    </row>
    <row r="115" spans="1:9" x14ac:dyDescent="0.2">
      <c r="A115" s="2">
        <v>2</v>
      </c>
      <c r="B115" s="1" t="s">
        <v>78</v>
      </c>
      <c r="C115" s="4">
        <v>189</v>
      </c>
      <c r="D115" s="8">
        <v>12.7</v>
      </c>
      <c r="E115" s="4">
        <v>174</v>
      </c>
      <c r="F115" s="8">
        <v>16.350000000000001</v>
      </c>
      <c r="G115" s="4">
        <v>15</v>
      </c>
      <c r="H115" s="8">
        <v>3.7</v>
      </c>
      <c r="I115" s="4">
        <v>0</v>
      </c>
    </row>
    <row r="116" spans="1:9" x14ac:dyDescent="0.2">
      <c r="A116" s="2">
        <v>3</v>
      </c>
      <c r="B116" s="1" t="s">
        <v>71</v>
      </c>
      <c r="C116" s="4">
        <v>141</v>
      </c>
      <c r="D116" s="8">
        <v>9.48</v>
      </c>
      <c r="E116" s="4">
        <v>106</v>
      </c>
      <c r="F116" s="8">
        <v>9.9600000000000009</v>
      </c>
      <c r="G116" s="4">
        <v>34</v>
      </c>
      <c r="H116" s="8">
        <v>8.4</v>
      </c>
      <c r="I116" s="4">
        <v>1</v>
      </c>
    </row>
    <row r="117" spans="1:9" x14ac:dyDescent="0.2">
      <c r="A117" s="2">
        <v>4</v>
      </c>
      <c r="B117" s="1" t="s">
        <v>69</v>
      </c>
      <c r="C117" s="4">
        <v>109</v>
      </c>
      <c r="D117" s="8">
        <v>7.33</v>
      </c>
      <c r="E117" s="4">
        <v>98</v>
      </c>
      <c r="F117" s="8">
        <v>9.2100000000000009</v>
      </c>
      <c r="G117" s="4">
        <v>10</v>
      </c>
      <c r="H117" s="8">
        <v>2.4700000000000002</v>
      </c>
      <c r="I117" s="4">
        <v>1</v>
      </c>
    </row>
    <row r="118" spans="1:9" x14ac:dyDescent="0.2">
      <c r="A118" s="2">
        <v>5</v>
      </c>
      <c r="B118" s="1" t="s">
        <v>73</v>
      </c>
      <c r="C118" s="4">
        <v>74</v>
      </c>
      <c r="D118" s="8">
        <v>4.97</v>
      </c>
      <c r="E118" s="4">
        <v>38</v>
      </c>
      <c r="F118" s="8">
        <v>3.57</v>
      </c>
      <c r="G118" s="4">
        <v>36</v>
      </c>
      <c r="H118" s="8">
        <v>8.89</v>
      </c>
      <c r="I118" s="4">
        <v>0</v>
      </c>
    </row>
    <row r="119" spans="1:9" x14ac:dyDescent="0.2">
      <c r="A119" s="2">
        <v>6</v>
      </c>
      <c r="B119" s="1" t="s">
        <v>81</v>
      </c>
      <c r="C119" s="4">
        <v>70</v>
      </c>
      <c r="D119" s="8">
        <v>4.7</v>
      </c>
      <c r="E119" s="4">
        <v>51</v>
      </c>
      <c r="F119" s="8">
        <v>4.79</v>
      </c>
      <c r="G119" s="4">
        <v>10</v>
      </c>
      <c r="H119" s="8">
        <v>2.4700000000000002</v>
      </c>
      <c r="I119" s="4">
        <v>9</v>
      </c>
    </row>
    <row r="120" spans="1:9" x14ac:dyDescent="0.2">
      <c r="A120" s="2">
        <v>7</v>
      </c>
      <c r="B120" s="1" t="s">
        <v>65</v>
      </c>
      <c r="C120" s="4">
        <v>52</v>
      </c>
      <c r="D120" s="8">
        <v>3.49</v>
      </c>
      <c r="E120" s="4">
        <v>12</v>
      </c>
      <c r="F120" s="8">
        <v>1.1299999999999999</v>
      </c>
      <c r="G120" s="4">
        <v>40</v>
      </c>
      <c r="H120" s="8">
        <v>9.8800000000000008</v>
      </c>
      <c r="I120" s="4">
        <v>0</v>
      </c>
    </row>
    <row r="121" spans="1:9" x14ac:dyDescent="0.2">
      <c r="A121" s="2">
        <v>8</v>
      </c>
      <c r="B121" s="1" t="s">
        <v>70</v>
      </c>
      <c r="C121" s="4">
        <v>40</v>
      </c>
      <c r="D121" s="8">
        <v>2.69</v>
      </c>
      <c r="E121" s="4">
        <v>36</v>
      </c>
      <c r="F121" s="8">
        <v>3.38</v>
      </c>
      <c r="G121" s="4">
        <v>4</v>
      </c>
      <c r="H121" s="8">
        <v>0.99</v>
      </c>
      <c r="I121" s="4">
        <v>0</v>
      </c>
    </row>
    <row r="122" spans="1:9" x14ac:dyDescent="0.2">
      <c r="A122" s="2">
        <v>9</v>
      </c>
      <c r="B122" s="1" t="s">
        <v>75</v>
      </c>
      <c r="C122" s="4">
        <v>32</v>
      </c>
      <c r="D122" s="8">
        <v>2.15</v>
      </c>
      <c r="E122" s="4">
        <v>9</v>
      </c>
      <c r="F122" s="8">
        <v>0.85</v>
      </c>
      <c r="G122" s="4">
        <v>21</v>
      </c>
      <c r="H122" s="8">
        <v>5.19</v>
      </c>
      <c r="I122" s="4">
        <v>0</v>
      </c>
    </row>
    <row r="123" spans="1:9" x14ac:dyDescent="0.2">
      <c r="A123" s="2">
        <v>10</v>
      </c>
      <c r="B123" s="1" t="s">
        <v>68</v>
      </c>
      <c r="C123" s="4">
        <v>31</v>
      </c>
      <c r="D123" s="8">
        <v>2.08</v>
      </c>
      <c r="E123" s="4">
        <v>22</v>
      </c>
      <c r="F123" s="8">
        <v>2.0699999999999998</v>
      </c>
      <c r="G123" s="4">
        <v>9</v>
      </c>
      <c r="H123" s="8">
        <v>2.2200000000000002</v>
      </c>
      <c r="I123" s="4">
        <v>0</v>
      </c>
    </row>
    <row r="124" spans="1:9" x14ac:dyDescent="0.2">
      <c r="A124" s="2">
        <v>11</v>
      </c>
      <c r="B124" s="1" t="s">
        <v>82</v>
      </c>
      <c r="C124" s="4">
        <v>29</v>
      </c>
      <c r="D124" s="8">
        <v>1.95</v>
      </c>
      <c r="E124" s="4">
        <v>26</v>
      </c>
      <c r="F124" s="8">
        <v>2.44</v>
      </c>
      <c r="G124" s="4">
        <v>3</v>
      </c>
      <c r="H124" s="8">
        <v>0.74</v>
      </c>
      <c r="I124" s="4">
        <v>0</v>
      </c>
    </row>
    <row r="125" spans="1:9" x14ac:dyDescent="0.2">
      <c r="A125" s="2">
        <v>11</v>
      </c>
      <c r="B125" s="1" t="s">
        <v>83</v>
      </c>
      <c r="C125" s="4">
        <v>29</v>
      </c>
      <c r="D125" s="8">
        <v>1.95</v>
      </c>
      <c r="E125" s="4">
        <v>3</v>
      </c>
      <c r="F125" s="8">
        <v>0.28000000000000003</v>
      </c>
      <c r="G125" s="4">
        <v>25</v>
      </c>
      <c r="H125" s="8">
        <v>6.17</v>
      </c>
      <c r="I125" s="4">
        <v>1</v>
      </c>
    </row>
    <row r="126" spans="1:9" x14ac:dyDescent="0.2">
      <c r="A126" s="2">
        <v>13</v>
      </c>
      <c r="B126" s="1" t="s">
        <v>66</v>
      </c>
      <c r="C126" s="4">
        <v>28</v>
      </c>
      <c r="D126" s="8">
        <v>1.88</v>
      </c>
      <c r="E126" s="4">
        <v>19</v>
      </c>
      <c r="F126" s="8">
        <v>1.79</v>
      </c>
      <c r="G126" s="4">
        <v>9</v>
      </c>
      <c r="H126" s="8">
        <v>2.2200000000000002</v>
      </c>
      <c r="I126" s="4">
        <v>0</v>
      </c>
    </row>
    <row r="127" spans="1:9" x14ac:dyDescent="0.2">
      <c r="A127" s="2">
        <v>14</v>
      </c>
      <c r="B127" s="1" t="s">
        <v>84</v>
      </c>
      <c r="C127" s="4">
        <v>27</v>
      </c>
      <c r="D127" s="8">
        <v>1.81</v>
      </c>
      <c r="E127" s="4">
        <v>26</v>
      </c>
      <c r="F127" s="8">
        <v>2.44</v>
      </c>
      <c r="G127" s="4">
        <v>1</v>
      </c>
      <c r="H127" s="8">
        <v>0.25</v>
      </c>
      <c r="I127" s="4">
        <v>0</v>
      </c>
    </row>
    <row r="128" spans="1:9" x14ac:dyDescent="0.2">
      <c r="A128" s="2">
        <v>15</v>
      </c>
      <c r="B128" s="1" t="s">
        <v>67</v>
      </c>
      <c r="C128" s="4">
        <v>25</v>
      </c>
      <c r="D128" s="8">
        <v>1.68</v>
      </c>
      <c r="E128" s="4">
        <v>10</v>
      </c>
      <c r="F128" s="8">
        <v>0.94</v>
      </c>
      <c r="G128" s="4">
        <v>15</v>
      </c>
      <c r="H128" s="8">
        <v>3.7</v>
      </c>
      <c r="I128" s="4">
        <v>0</v>
      </c>
    </row>
    <row r="129" spans="1:9" x14ac:dyDescent="0.2">
      <c r="A129" s="2">
        <v>15</v>
      </c>
      <c r="B129" s="1" t="s">
        <v>72</v>
      </c>
      <c r="C129" s="4">
        <v>25</v>
      </c>
      <c r="D129" s="8">
        <v>1.68</v>
      </c>
      <c r="E129" s="4">
        <v>6</v>
      </c>
      <c r="F129" s="8">
        <v>0.56000000000000005</v>
      </c>
      <c r="G129" s="4">
        <v>19</v>
      </c>
      <c r="H129" s="8">
        <v>4.6900000000000004</v>
      </c>
      <c r="I129" s="4">
        <v>0</v>
      </c>
    </row>
    <row r="130" spans="1:9" x14ac:dyDescent="0.2">
      <c r="A130" s="2">
        <v>17</v>
      </c>
      <c r="B130" s="1" t="s">
        <v>74</v>
      </c>
      <c r="C130" s="4">
        <v>24</v>
      </c>
      <c r="D130" s="8">
        <v>1.61</v>
      </c>
      <c r="E130" s="4">
        <v>20</v>
      </c>
      <c r="F130" s="8">
        <v>1.88</v>
      </c>
      <c r="G130" s="4">
        <v>4</v>
      </c>
      <c r="H130" s="8">
        <v>0.99</v>
      </c>
      <c r="I130" s="4">
        <v>0</v>
      </c>
    </row>
    <row r="131" spans="1:9" x14ac:dyDescent="0.2">
      <c r="A131" s="2">
        <v>18</v>
      </c>
      <c r="B131" s="1" t="s">
        <v>89</v>
      </c>
      <c r="C131" s="4">
        <v>21</v>
      </c>
      <c r="D131" s="8">
        <v>1.41</v>
      </c>
      <c r="E131" s="4">
        <v>13</v>
      </c>
      <c r="F131" s="8">
        <v>1.22</v>
      </c>
      <c r="G131" s="4">
        <v>8</v>
      </c>
      <c r="H131" s="8">
        <v>1.98</v>
      </c>
      <c r="I131" s="4">
        <v>0</v>
      </c>
    </row>
    <row r="132" spans="1:9" x14ac:dyDescent="0.2">
      <c r="A132" s="2">
        <v>19</v>
      </c>
      <c r="B132" s="1" t="s">
        <v>76</v>
      </c>
      <c r="C132" s="4">
        <v>18</v>
      </c>
      <c r="D132" s="8">
        <v>1.21</v>
      </c>
      <c r="E132" s="4">
        <v>17</v>
      </c>
      <c r="F132" s="8">
        <v>1.6</v>
      </c>
      <c r="G132" s="4">
        <v>1</v>
      </c>
      <c r="H132" s="8">
        <v>0.25</v>
      </c>
      <c r="I132" s="4">
        <v>0</v>
      </c>
    </row>
    <row r="133" spans="1:9" x14ac:dyDescent="0.2">
      <c r="A133" s="2">
        <v>20</v>
      </c>
      <c r="B133" s="1" t="s">
        <v>85</v>
      </c>
      <c r="C133" s="4">
        <v>17</v>
      </c>
      <c r="D133" s="8">
        <v>1.1399999999999999</v>
      </c>
      <c r="E133" s="4">
        <v>5</v>
      </c>
      <c r="F133" s="8">
        <v>0.47</v>
      </c>
      <c r="G133" s="4">
        <v>12</v>
      </c>
      <c r="H133" s="8">
        <v>2.96</v>
      </c>
      <c r="I133" s="4">
        <v>0</v>
      </c>
    </row>
    <row r="134" spans="1:9" x14ac:dyDescent="0.2">
      <c r="A134" s="2">
        <v>20</v>
      </c>
      <c r="B134" s="1" t="s">
        <v>79</v>
      </c>
      <c r="C134" s="4">
        <v>17</v>
      </c>
      <c r="D134" s="8">
        <v>1.1399999999999999</v>
      </c>
      <c r="E134" s="4">
        <v>8</v>
      </c>
      <c r="F134" s="8">
        <v>0.75</v>
      </c>
      <c r="G134" s="4">
        <v>8</v>
      </c>
      <c r="H134" s="8">
        <v>1.98</v>
      </c>
      <c r="I134" s="4">
        <v>0</v>
      </c>
    </row>
    <row r="135" spans="1:9" x14ac:dyDescent="0.2">
      <c r="A135" s="1"/>
      <c r="C135" s="4"/>
      <c r="D135" s="8"/>
      <c r="E135" s="4"/>
      <c r="F135" s="8"/>
      <c r="G135" s="4"/>
      <c r="H135" s="8"/>
      <c r="I135" s="4"/>
    </row>
    <row r="136" spans="1:9" x14ac:dyDescent="0.2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2">
      <c r="A137" s="2">
        <v>1</v>
      </c>
      <c r="B137" s="1" t="s">
        <v>77</v>
      </c>
      <c r="C137" s="4">
        <v>191</v>
      </c>
      <c r="D137" s="8">
        <v>12.97</v>
      </c>
      <c r="E137" s="4">
        <v>179</v>
      </c>
      <c r="F137" s="8">
        <v>18.04</v>
      </c>
      <c r="G137" s="4">
        <v>12</v>
      </c>
      <c r="H137" s="8">
        <v>2.57</v>
      </c>
      <c r="I137" s="4">
        <v>0</v>
      </c>
    </row>
    <row r="138" spans="1:9" x14ac:dyDescent="0.2">
      <c r="A138" s="2">
        <v>2</v>
      </c>
      <c r="B138" s="1" t="s">
        <v>78</v>
      </c>
      <c r="C138" s="4">
        <v>143</v>
      </c>
      <c r="D138" s="8">
        <v>9.7100000000000009</v>
      </c>
      <c r="E138" s="4">
        <v>130</v>
      </c>
      <c r="F138" s="8">
        <v>13.1</v>
      </c>
      <c r="G138" s="4">
        <v>13</v>
      </c>
      <c r="H138" s="8">
        <v>2.78</v>
      </c>
      <c r="I138" s="4">
        <v>0</v>
      </c>
    </row>
    <row r="139" spans="1:9" x14ac:dyDescent="0.2">
      <c r="A139" s="2">
        <v>3</v>
      </c>
      <c r="B139" s="1" t="s">
        <v>73</v>
      </c>
      <c r="C139" s="4">
        <v>120</v>
      </c>
      <c r="D139" s="8">
        <v>8.15</v>
      </c>
      <c r="E139" s="4">
        <v>65</v>
      </c>
      <c r="F139" s="8">
        <v>6.55</v>
      </c>
      <c r="G139" s="4">
        <v>54</v>
      </c>
      <c r="H139" s="8">
        <v>11.56</v>
      </c>
      <c r="I139" s="4">
        <v>0</v>
      </c>
    </row>
    <row r="140" spans="1:9" x14ac:dyDescent="0.2">
      <c r="A140" s="2">
        <v>4</v>
      </c>
      <c r="B140" s="1" t="s">
        <v>69</v>
      </c>
      <c r="C140" s="4">
        <v>106</v>
      </c>
      <c r="D140" s="8">
        <v>7.2</v>
      </c>
      <c r="E140" s="4">
        <v>93</v>
      </c>
      <c r="F140" s="8">
        <v>9.3800000000000008</v>
      </c>
      <c r="G140" s="4">
        <v>13</v>
      </c>
      <c r="H140" s="8">
        <v>2.78</v>
      </c>
      <c r="I140" s="4">
        <v>0</v>
      </c>
    </row>
    <row r="141" spans="1:9" x14ac:dyDescent="0.2">
      <c r="A141" s="2">
        <v>5</v>
      </c>
      <c r="B141" s="1" t="s">
        <v>71</v>
      </c>
      <c r="C141" s="4">
        <v>97</v>
      </c>
      <c r="D141" s="8">
        <v>6.59</v>
      </c>
      <c r="E141" s="4">
        <v>82</v>
      </c>
      <c r="F141" s="8">
        <v>8.27</v>
      </c>
      <c r="G141" s="4">
        <v>15</v>
      </c>
      <c r="H141" s="8">
        <v>3.21</v>
      </c>
      <c r="I141" s="4">
        <v>0</v>
      </c>
    </row>
    <row r="142" spans="1:9" x14ac:dyDescent="0.2">
      <c r="A142" s="2">
        <v>6</v>
      </c>
      <c r="B142" s="1" t="s">
        <v>81</v>
      </c>
      <c r="C142" s="4">
        <v>85</v>
      </c>
      <c r="D142" s="8">
        <v>5.77</v>
      </c>
      <c r="E142" s="4">
        <v>78</v>
      </c>
      <c r="F142" s="8">
        <v>7.86</v>
      </c>
      <c r="G142" s="4">
        <v>4</v>
      </c>
      <c r="H142" s="8">
        <v>0.86</v>
      </c>
      <c r="I142" s="4">
        <v>0</v>
      </c>
    </row>
    <row r="143" spans="1:9" x14ac:dyDescent="0.2">
      <c r="A143" s="2">
        <v>7</v>
      </c>
      <c r="B143" s="1" t="s">
        <v>65</v>
      </c>
      <c r="C143" s="4">
        <v>78</v>
      </c>
      <c r="D143" s="8">
        <v>5.3</v>
      </c>
      <c r="E143" s="4">
        <v>14</v>
      </c>
      <c r="F143" s="8">
        <v>1.41</v>
      </c>
      <c r="G143" s="4">
        <v>64</v>
      </c>
      <c r="H143" s="8">
        <v>13.7</v>
      </c>
      <c r="I143" s="4">
        <v>0</v>
      </c>
    </row>
    <row r="144" spans="1:9" x14ac:dyDescent="0.2">
      <c r="A144" s="2">
        <v>8</v>
      </c>
      <c r="B144" s="1" t="s">
        <v>84</v>
      </c>
      <c r="C144" s="4">
        <v>52</v>
      </c>
      <c r="D144" s="8">
        <v>3.53</v>
      </c>
      <c r="E144" s="4">
        <v>49</v>
      </c>
      <c r="F144" s="8">
        <v>4.9400000000000004</v>
      </c>
      <c r="G144" s="4">
        <v>3</v>
      </c>
      <c r="H144" s="8">
        <v>0.64</v>
      </c>
      <c r="I144" s="4">
        <v>0</v>
      </c>
    </row>
    <row r="145" spans="1:9" x14ac:dyDescent="0.2">
      <c r="A145" s="2">
        <v>9</v>
      </c>
      <c r="B145" s="1" t="s">
        <v>66</v>
      </c>
      <c r="C145" s="4">
        <v>44</v>
      </c>
      <c r="D145" s="8">
        <v>2.99</v>
      </c>
      <c r="E145" s="4">
        <v>22</v>
      </c>
      <c r="F145" s="8">
        <v>2.2200000000000002</v>
      </c>
      <c r="G145" s="4">
        <v>22</v>
      </c>
      <c r="H145" s="8">
        <v>4.71</v>
      </c>
      <c r="I145" s="4">
        <v>0</v>
      </c>
    </row>
    <row r="146" spans="1:9" x14ac:dyDescent="0.2">
      <c r="A146" s="2">
        <v>10</v>
      </c>
      <c r="B146" s="1" t="s">
        <v>67</v>
      </c>
      <c r="C146" s="4">
        <v>34</v>
      </c>
      <c r="D146" s="8">
        <v>2.31</v>
      </c>
      <c r="E146" s="4">
        <v>16</v>
      </c>
      <c r="F146" s="8">
        <v>1.61</v>
      </c>
      <c r="G146" s="4">
        <v>18</v>
      </c>
      <c r="H146" s="8">
        <v>3.85</v>
      </c>
      <c r="I146" s="4">
        <v>0</v>
      </c>
    </row>
    <row r="147" spans="1:9" x14ac:dyDescent="0.2">
      <c r="A147" s="2">
        <v>11</v>
      </c>
      <c r="B147" s="1" t="s">
        <v>83</v>
      </c>
      <c r="C147" s="4">
        <v>32</v>
      </c>
      <c r="D147" s="8">
        <v>2.17</v>
      </c>
      <c r="E147" s="4">
        <v>1</v>
      </c>
      <c r="F147" s="8">
        <v>0.1</v>
      </c>
      <c r="G147" s="4">
        <v>26</v>
      </c>
      <c r="H147" s="8">
        <v>5.57</v>
      </c>
      <c r="I147" s="4">
        <v>0</v>
      </c>
    </row>
    <row r="148" spans="1:9" x14ac:dyDescent="0.2">
      <c r="A148" s="2">
        <v>12</v>
      </c>
      <c r="B148" s="1" t="s">
        <v>75</v>
      </c>
      <c r="C148" s="4">
        <v>31</v>
      </c>
      <c r="D148" s="8">
        <v>2.1</v>
      </c>
      <c r="E148" s="4">
        <v>15</v>
      </c>
      <c r="F148" s="8">
        <v>1.51</v>
      </c>
      <c r="G148" s="4">
        <v>15</v>
      </c>
      <c r="H148" s="8">
        <v>3.21</v>
      </c>
      <c r="I148" s="4">
        <v>1</v>
      </c>
    </row>
    <row r="149" spans="1:9" x14ac:dyDescent="0.2">
      <c r="A149" s="2">
        <v>13</v>
      </c>
      <c r="B149" s="1" t="s">
        <v>70</v>
      </c>
      <c r="C149" s="4">
        <v>30</v>
      </c>
      <c r="D149" s="8">
        <v>2.04</v>
      </c>
      <c r="E149" s="4">
        <v>26</v>
      </c>
      <c r="F149" s="8">
        <v>2.62</v>
      </c>
      <c r="G149" s="4">
        <v>4</v>
      </c>
      <c r="H149" s="8">
        <v>0.86</v>
      </c>
      <c r="I149" s="4">
        <v>0</v>
      </c>
    </row>
    <row r="150" spans="1:9" x14ac:dyDescent="0.2">
      <c r="A150" s="2">
        <v>14</v>
      </c>
      <c r="B150" s="1" t="s">
        <v>68</v>
      </c>
      <c r="C150" s="4">
        <v>27</v>
      </c>
      <c r="D150" s="8">
        <v>1.83</v>
      </c>
      <c r="E150" s="4">
        <v>23</v>
      </c>
      <c r="F150" s="8">
        <v>2.3199999999999998</v>
      </c>
      <c r="G150" s="4">
        <v>4</v>
      </c>
      <c r="H150" s="8">
        <v>0.86</v>
      </c>
      <c r="I150" s="4">
        <v>0</v>
      </c>
    </row>
    <row r="151" spans="1:9" x14ac:dyDescent="0.2">
      <c r="A151" s="2">
        <v>15</v>
      </c>
      <c r="B151" s="1" t="s">
        <v>74</v>
      </c>
      <c r="C151" s="4">
        <v>26</v>
      </c>
      <c r="D151" s="8">
        <v>1.77</v>
      </c>
      <c r="E151" s="4">
        <v>22</v>
      </c>
      <c r="F151" s="8">
        <v>2.2200000000000002</v>
      </c>
      <c r="G151" s="4">
        <v>4</v>
      </c>
      <c r="H151" s="8">
        <v>0.86</v>
      </c>
      <c r="I151" s="4">
        <v>0</v>
      </c>
    </row>
    <row r="152" spans="1:9" x14ac:dyDescent="0.2">
      <c r="A152" s="2">
        <v>15</v>
      </c>
      <c r="B152" s="1" t="s">
        <v>82</v>
      </c>
      <c r="C152" s="4">
        <v>26</v>
      </c>
      <c r="D152" s="8">
        <v>1.77</v>
      </c>
      <c r="E152" s="4">
        <v>24</v>
      </c>
      <c r="F152" s="8">
        <v>2.42</v>
      </c>
      <c r="G152" s="4">
        <v>2</v>
      </c>
      <c r="H152" s="8">
        <v>0.43</v>
      </c>
      <c r="I152" s="4">
        <v>0</v>
      </c>
    </row>
    <row r="153" spans="1:9" x14ac:dyDescent="0.2">
      <c r="A153" s="2">
        <v>17</v>
      </c>
      <c r="B153" s="1" t="s">
        <v>88</v>
      </c>
      <c r="C153" s="4">
        <v>24</v>
      </c>
      <c r="D153" s="8">
        <v>1.63</v>
      </c>
      <c r="E153" s="4">
        <v>11</v>
      </c>
      <c r="F153" s="8">
        <v>1.1100000000000001</v>
      </c>
      <c r="G153" s="4">
        <v>13</v>
      </c>
      <c r="H153" s="8">
        <v>2.78</v>
      </c>
      <c r="I153" s="4">
        <v>0</v>
      </c>
    </row>
    <row r="154" spans="1:9" x14ac:dyDescent="0.2">
      <c r="A154" s="2">
        <v>17</v>
      </c>
      <c r="B154" s="1" t="s">
        <v>90</v>
      </c>
      <c r="C154" s="4">
        <v>24</v>
      </c>
      <c r="D154" s="8">
        <v>1.63</v>
      </c>
      <c r="E154" s="4">
        <v>3</v>
      </c>
      <c r="F154" s="8">
        <v>0.3</v>
      </c>
      <c r="G154" s="4">
        <v>21</v>
      </c>
      <c r="H154" s="8">
        <v>4.5</v>
      </c>
      <c r="I154" s="4">
        <v>0</v>
      </c>
    </row>
    <row r="155" spans="1:9" x14ac:dyDescent="0.2">
      <c r="A155" s="2">
        <v>17</v>
      </c>
      <c r="B155" s="1" t="s">
        <v>79</v>
      </c>
      <c r="C155" s="4">
        <v>24</v>
      </c>
      <c r="D155" s="8">
        <v>1.63</v>
      </c>
      <c r="E155" s="4">
        <v>13</v>
      </c>
      <c r="F155" s="8">
        <v>1.31</v>
      </c>
      <c r="G155" s="4">
        <v>11</v>
      </c>
      <c r="H155" s="8">
        <v>2.36</v>
      </c>
      <c r="I155" s="4">
        <v>0</v>
      </c>
    </row>
    <row r="156" spans="1:9" x14ac:dyDescent="0.2">
      <c r="A156" s="2">
        <v>20</v>
      </c>
      <c r="B156" s="1" t="s">
        <v>72</v>
      </c>
      <c r="C156" s="4">
        <v>19</v>
      </c>
      <c r="D156" s="8">
        <v>1.29</v>
      </c>
      <c r="E156" s="4">
        <v>3</v>
      </c>
      <c r="F156" s="8">
        <v>0.3</v>
      </c>
      <c r="G156" s="4">
        <v>16</v>
      </c>
      <c r="H156" s="8">
        <v>3.43</v>
      </c>
      <c r="I156" s="4">
        <v>0</v>
      </c>
    </row>
    <row r="157" spans="1:9" x14ac:dyDescent="0.2">
      <c r="A157" s="2">
        <v>20</v>
      </c>
      <c r="B157" s="1" t="s">
        <v>91</v>
      </c>
      <c r="C157" s="4">
        <v>19</v>
      </c>
      <c r="D157" s="8">
        <v>1.29</v>
      </c>
      <c r="E157" s="4">
        <v>13</v>
      </c>
      <c r="F157" s="8">
        <v>1.31</v>
      </c>
      <c r="G157" s="4">
        <v>6</v>
      </c>
      <c r="H157" s="8">
        <v>1.28</v>
      </c>
      <c r="I157" s="4">
        <v>0</v>
      </c>
    </row>
    <row r="158" spans="1:9" x14ac:dyDescent="0.2">
      <c r="A158" s="1"/>
      <c r="C158" s="4"/>
      <c r="D158" s="8"/>
      <c r="E158" s="4"/>
      <c r="F158" s="8"/>
      <c r="G158" s="4"/>
      <c r="H158" s="8"/>
      <c r="I158" s="4"/>
    </row>
    <row r="159" spans="1:9" x14ac:dyDescent="0.2">
      <c r="A159" s="1" t="s">
        <v>7</v>
      </c>
      <c r="C159" s="4"/>
      <c r="D159" s="8"/>
      <c r="E159" s="4"/>
      <c r="F159" s="8"/>
      <c r="G159" s="4"/>
      <c r="H159" s="8"/>
      <c r="I159" s="4"/>
    </row>
    <row r="160" spans="1:9" x14ac:dyDescent="0.2">
      <c r="A160" s="2">
        <v>1</v>
      </c>
      <c r="B160" s="1" t="s">
        <v>77</v>
      </c>
      <c r="C160" s="4">
        <v>517</v>
      </c>
      <c r="D160" s="8">
        <v>17.100000000000001</v>
      </c>
      <c r="E160" s="4">
        <v>498</v>
      </c>
      <c r="F160" s="8">
        <v>24.57</v>
      </c>
      <c r="G160" s="4">
        <v>19</v>
      </c>
      <c r="H160" s="8">
        <v>1.93</v>
      </c>
      <c r="I160" s="4">
        <v>0</v>
      </c>
    </row>
    <row r="161" spans="1:9" x14ac:dyDescent="0.2">
      <c r="A161" s="2">
        <v>2</v>
      </c>
      <c r="B161" s="1" t="s">
        <v>78</v>
      </c>
      <c r="C161" s="4">
        <v>329</v>
      </c>
      <c r="D161" s="8">
        <v>10.88</v>
      </c>
      <c r="E161" s="4">
        <v>303</v>
      </c>
      <c r="F161" s="8">
        <v>14.95</v>
      </c>
      <c r="G161" s="4">
        <v>26</v>
      </c>
      <c r="H161" s="8">
        <v>2.64</v>
      </c>
      <c r="I161" s="4">
        <v>0</v>
      </c>
    </row>
    <row r="162" spans="1:9" x14ac:dyDescent="0.2">
      <c r="A162" s="2">
        <v>3</v>
      </c>
      <c r="B162" s="1" t="s">
        <v>73</v>
      </c>
      <c r="C162" s="4">
        <v>260</v>
      </c>
      <c r="D162" s="8">
        <v>8.6</v>
      </c>
      <c r="E162" s="4">
        <v>118</v>
      </c>
      <c r="F162" s="8">
        <v>5.82</v>
      </c>
      <c r="G162" s="4">
        <v>141</v>
      </c>
      <c r="H162" s="8">
        <v>14.31</v>
      </c>
      <c r="I162" s="4">
        <v>0</v>
      </c>
    </row>
    <row r="163" spans="1:9" x14ac:dyDescent="0.2">
      <c r="A163" s="2">
        <v>4</v>
      </c>
      <c r="B163" s="1" t="s">
        <v>71</v>
      </c>
      <c r="C163" s="4">
        <v>208</v>
      </c>
      <c r="D163" s="8">
        <v>6.88</v>
      </c>
      <c r="E163" s="4">
        <v>139</v>
      </c>
      <c r="F163" s="8">
        <v>6.86</v>
      </c>
      <c r="G163" s="4">
        <v>69</v>
      </c>
      <c r="H163" s="8">
        <v>7.01</v>
      </c>
      <c r="I163" s="4">
        <v>0</v>
      </c>
    </row>
    <row r="164" spans="1:9" x14ac:dyDescent="0.2">
      <c r="A164" s="2">
        <v>5</v>
      </c>
      <c r="B164" s="1" t="s">
        <v>81</v>
      </c>
      <c r="C164" s="4">
        <v>191</v>
      </c>
      <c r="D164" s="8">
        <v>6.32</v>
      </c>
      <c r="E164" s="4">
        <v>158</v>
      </c>
      <c r="F164" s="8">
        <v>7.79</v>
      </c>
      <c r="G164" s="4">
        <v>31</v>
      </c>
      <c r="H164" s="8">
        <v>3.15</v>
      </c>
      <c r="I164" s="4">
        <v>0</v>
      </c>
    </row>
    <row r="165" spans="1:9" x14ac:dyDescent="0.2">
      <c r="A165" s="2">
        <v>6</v>
      </c>
      <c r="B165" s="1" t="s">
        <v>69</v>
      </c>
      <c r="C165" s="4">
        <v>143</v>
      </c>
      <c r="D165" s="8">
        <v>4.7300000000000004</v>
      </c>
      <c r="E165" s="4">
        <v>116</v>
      </c>
      <c r="F165" s="8">
        <v>5.72</v>
      </c>
      <c r="G165" s="4">
        <v>27</v>
      </c>
      <c r="H165" s="8">
        <v>2.74</v>
      </c>
      <c r="I165" s="4">
        <v>0</v>
      </c>
    </row>
    <row r="166" spans="1:9" x14ac:dyDescent="0.2">
      <c r="A166" s="2">
        <v>7</v>
      </c>
      <c r="B166" s="1" t="s">
        <v>70</v>
      </c>
      <c r="C166" s="4">
        <v>132</v>
      </c>
      <c r="D166" s="8">
        <v>4.37</v>
      </c>
      <c r="E166" s="4">
        <v>98</v>
      </c>
      <c r="F166" s="8">
        <v>4.83</v>
      </c>
      <c r="G166" s="4">
        <v>34</v>
      </c>
      <c r="H166" s="8">
        <v>3.45</v>
      </c>
      <c r="I166" s="4">
        <v>0</v>
      </c>
    </row>
    <row r="167" spans="1:9" x14ac:dyDescent="0.2">
      <c r="A167" s="2">
        <v>8</v>
      </c>
      <c r="B167" s="1" t="s">
        <v>68</v>
      </c>
      <c r="C167" s="4">
        <v>90</v>
      </c>
      <c r="D167" s="8">
        <v>2.98</v>
      </c>
      <c r="E167" s="4">
        <v>79</v>
      </c>
      <c r="F167" s="8">
        <v>3.9</v>
      </c>
      <c r="G167" s="4">
        <v>11</v>
      </c>
      <c r="H167" s="8">
        <v>1.1200000000000001</v>
      </c>
      <c r="I167" s="4">
        <v>0</v>
      </c>
    </row>
    <row r="168" spans="1:9" x14ac:dyDescent="0.2">
      <c r="A168" s="2">
        <v>9</v>
      </c>
      <c r="B168" s="1" t="s">
        <v>65</v>
      </c>
      <c r="C168" s="4">
        <v>87</v>
      </c>
      <c r="D168" s="8">
        <v>2.88</v>
      </c>
      <c r="E168" s="4">
        <v>10</v>
      </c>
      <c r="F168" s="8">
        <v>0.49</v>
      </c>
      <c r="G168" s="4">
        <v>77</v>
      </c>
      <c r="H168" s="8">
        <v>7.82</v>
      </c>
      <c r="I168" s="4">
        <v>0</v>
      </c>
    </row>
    <row r="169" spans="1:9" x14ac:dyDescent="0.2">
      <c r="A169" s="2">
        <v>10</v>
      </c>
      <c r="B169" s="1" t="s">
        <v>72</v>
      </c>
      <c r="C169" s="4">
        <v>81</v>
      </c>
      <c r="D169" s="8">
        <v>2.68</v>
      </c>
      <c r="E169" s="4">
        <v>5</v>
      </c>
      <c r="F169" s="8">
        <v>0.25</v>
      </c>
      <c r="G169" s="4">
        <v>76</v>
      </c>
      <c r="H169" s="8">
        <v>7.72</v>
      </c>
      <c r="I169" s="4">
        <v>0</v>
      </c>
    </row>
    <row r="170" spans="1:9" x14ac:dyDescent="0.2">
      <c r="A170" s="2">
        <v>10</v>
      </c>
      <c r="B170" s="1" t="s">
        <v>84</v>
      </c>
      <c r="C170" s="4">
        <v>81</v>
      </c>
      <c r="D170" s="8">
        <v>2.68</v>
      </c>
      <c r="E170" s="4">
        <v>71</v>
      </c>
      <c r="F170" s="8">
        <v>3.5</v>
      </c>
      <c r="G170" s="4">
        <v>10</v>
      </c>
      <c r="H170" s="8">
        <v>1.02</v>
      </c>
      <c r="I170" s="4">
        <v>0</v>
      </c>
    </row>
    <row r="171" spans="1:9" x14ac:dyDescent="0.2">
      <c r="A171" s="2">
        <v>12</v>
      </c>
      <c r="B171" s="1" t="s">
        <v>82</v>
      </c>
      <c r="C171" s="4">
        <v>78</v>
      </c>
      <c r="D171" s="8">
        <v>2.58</v>
      </c>
      <c r="E171" s="4">
        <v>64</v>
      </c>
      <c r="F171" s="8">
        <v>3.16</v>
      </c>
      <c r="G171" s="4">
        <v>14</v>
      </c>
      <c r="H171" s="8">
        <v>1.42</v>
      </c>
      <c r="I171" s="4">
        <v>0</v>
      </c>
    </row>
    <row r="172" spans="1:9" x14ac:dyDescent="0.2">
      <c r="A172" s="2">
        <v>13</v>
      </c>
      <c r="B172" s="1" t="s">
        <v>67</v>
      </c>
      <c r="C172" s="4">
        <v>76</v>
      </c>
      <c r="D172" s="8">
        <v>2.5099999999999998</v>
      </c>
      <c r="E172" s="4">
        <v>19</v>
      </c>
      <c r="F172" s="8">
        <v>0.94</v>
      </c>
      <c r="G172" s="4">
        <v>57</v>
      </c>
      <c r="H172" s="8">
        <v>5.79</v>
      </c>
      <c r="I172" s="4">
        <v>0</v>
      </c>
    </row>
    <row r="173" spans="1:9" x14ac:dyDescent="0.2">
      <c r="A173" s="2">
        <v>14</v>
      </c>
      <c r="B173" s="1" t="s">
        <v>66</v>
      </c>
      <c r="C173" s="4">
        <v>75</v>
      </c>
      <c r="D173" s="8">
        <v>2.48</v>
      </c>
      <c r="E173" s="4">
        <v>32</v>
      </c>
      <c r="F173" s="8">
        <v>1.58</v>
      </c>
      <c r="G173" s="4">
        <v>43</v>
      </c>
      <c r="H173" s="8">
        <v>4.37</v>
      </c>
      <c r="I173" s="4">
        <v>0</v>
      </c>
    </row>
    <row r="174" spans="1:9" x14ac:dyDescent="0.2">
      <c r="A174" s="2">
        <v>15</v>
      </c>
      <c r="B174" s="1" t="s">
        <v>74</v>
      </c>
      <c r="C174" s="4">
        <v>66</v>
      </c>
      <c r="D174" s="8">
        <v>2.1800000000000002</v>
      </c>
      <c r="E174" s="4">
        <v>48</v>
      </c>
      <c r="F174" s="8">
        <v>2.37</v>
      </c>
      <c r="G174" s="4">
        <v>17</v>
      </c>
      <c r="H174" s="8">
        <v>1.73</v>
      </c>
      <c r="I174" s="4">
        <v>1</v>
      </c>
    </row>
    <row r="175" spans="1:9" x14ac:dyDescent="0.2">
      <c r="A175" s="2">
        <v>16</v>
      </c>
      <c r="B175" s="1" t="s">
        <v>83</v>
      </c>
      <c r="C175" s="4">
        <v>57</v>
      </c>
      <c r="D175" s="8">
        <v>1.89</v>
      </c>
      <c r="E175" s="4">
        <v>14</v>
      </c>
      <c r="F175" s="8">
        <v>0.69</v>
      </c>
      <c r="G175" s="4">
        <v>39</v>
      </c>
      <c r="H175" s="8">
        <v>3.96</v>
      </c>
      <c r="I175" s="4">
        <v>1</v>
      </c>
    </row>
    <row r="176" spans="1:9" x14ac:dyDescent="0.2">
      <c r="A176" s="2">
        <v>17</v>
      </c>
      <c r="B176" s="1" t="s">
        <v>75</v>
      </c>
      <c r="C176" s="4">
        <v>56</v>
      </c>
      <c r="D176" s="8">
        <v>1.85</v>
      </c>
      <c r="E176" s="4">
        <v>26</v>
      </c>
      <c r="F176" s="8">
        <v>1.28</v>
      </c>
      <c r="G176" s="4">
        <v>30</v>
      </c>
      <c r="H176" s="8">
        <v>3.05</v>
      </c>
      <c r="I176" s="4">
        <v>0</v>
      </c>
    </row>
    <row r="177" spans="1:9" x14ac:dyDescent="0.2">
      <c r="A177" s="2">
        <v>18</v>
      </c>
      <c r="B177" s="1" t="s">
        <v>79</v>
      </c>
      <c r="C177" s="4">
        <v>38</v>
      </c>
      <c r="D177" s="8">
        <v>1.26</v>
      </c>
      <c r="E177" s="4">
        <v>26</v>
      </c>
      <c r="F177" s="8">
        <v>1.28</v>
      </c>
      <c r="G177" s="4">
        <v>12</v>
      </c>
      <c r="H177" s="8">
        <v>1.22</v>
      </c>
      <c r="I177" s="4">
        <v>0</v>
      </c>
    </row>
    <row r="178" spans="1:9" x14ac:dyDescent="0.2">
      <c r="A178" s="2">
        <v>19</v>
      </c>
      <c r="B178" s="1" t="s">
        <v>87</v>
      </c>
      <c r="C178" s="4">
        <v>32</v>
      </c>
      <c r="D178" s="8">
        <v>1.06</v>
      </c>
      <c r="E178" s="4">
        <v>9</v>
      </c>
      <c r="F178" s="8">
        <v>0.44</v>
      </c>
      <c r="G178" s="4">
        <v>23</v>
      </c>
      <c r="H178" s="8">
        <v>2.34</v>
      </c>
      <c r="I178" s="4">
        <v>0</v>
      </c>
    </row>
    <row r="179" spans="1:9" x14ac:dyDescent="0.2">
      <c r="A179" s="2">
        <v>20</v>
      </c>
      <c r="B179" s="1" t="s">
        <v>76</v>
      </c>
      <c r="C179" s="4">
        <v>28</v>
      </c>
      <c r="D179" s="8">
        <v>0.93</v>
      </c>
      <c r="E179" s="4">
        <v>14</v>
      </c>
      <c r="F179" s="8">
        <v>0.69</v>
      </c>
      <c r="G179" s="4">
        <v>14</v>
      </c>
      <c r="H179" s="8">
        <v>1.42</v>
      </c>
      <c r="I179" s="4">
        <v>0</v>
      </c>
    </row>
    <row r="180" spans="1:9" x14ac:dyDescent="0.2">
      <c r="A180" s="1"/>
      <c r="C180" s="4"/>
      <c r="D180" s="8"/>
      <c r="E180" s="4"/>
      <c r="F180" s="8"/>
      <c r="G180" s="4"/>
      <c r="H180" s="8"/>
      <c r="I180" s="4"/>
    </row>
    <row r="181" spans="1:9" x14ac:dyDescent="0.2">
      <c r="A181" s="1" t="s">
        <v>8</v>
      </c>
      <c r="C181" s="4"/>
      <c r="D181" s="8"/>
      <c r="E181" s="4"/>
      <c r="F181" s="8"/>
      <c r="G181" s="4"/>
      <c r="H181" s="8"/>
      <c r="I181" s="4"/>
    </row>
    <row r="182" spans="1:9" x14ac:dyDescent="0.2">
      <c r="A182" s="2">
        <v>1</v>
      </c>
      <c r="B182" s="1" t="s">
        <v>78</v>
      </c>
      <c r="C182" s="4">
        <v>137</v>
      </c>
      <c r="D182" s="8">
        <v>11.17</v>
      </c>
      <c r="E182" s="4">
        <v>119</v>
      </c>
      <c r="F182" s="8">
        <v>19.16</v>
      </c>
      <c r="G182" s="4">
        <v>18</v>
      </c>
      <c r="H182" s="8">
        <v>3</v>
      </c>
      <c r="I182" s="4">
        <v>0</v>
      </c>
    </row>
    <row r="183" spans="1:9" x14ac:dyDescent="0.2">
      <c r="A183" s="2">
        <v>2</v>
      </c>
      <c r="B183" s="1" t="s">
        <v>73</v>
      </c>
      <c r="C183" s="4">
        <v>105</v>
      </c>
      <c r="D183" s="8">
        <v>8.56</v>
      </c>
      <c r="E183" s="4">
        <v>20</v>
      </c>
      <c r="F183" s="8">
        <v>3.22</v>
      </c>
      <c r="G183" s="4">
        <v>85</v>
      </c>
      <c r="H183" s="8">
        <v>14.14</v>
      </c>
      <c r="I183" s="4">
        <v>0</v>
      </c>
    </row>
    <row r="184" spans="1:9" x14ac:dyDescent="0.2">
      <c r="A184" s="2">
        <v>3</v>
      </c>
      <c r="B184" s="1" t="s">
        <v>71</v>
      </c>
      <c r="C184" s="4">
        <v>92</v>
      </c>
      <c r="D184" s="8">
        <v>7.5</v>
      </c>
      <c r="E184" s="4">
        <v>39</v>
      </c>
      <c r="F184" s="8">
        <v>6.28</v>
      </c>
      <c r="G184" s="4">
        <v>53</v>
      </c>
      <c r="H184" s="8">
        <v>8.82</v>
      </c>
      <c r="I184" s="4">
        <v>0</v>
      </c>
    </row>
    <row r="185" spans="1:9" x14ac:dyDescent="0.2">
      <c r="A185" s="2">
        <v>3</v>
      </c>
      <c r="B185" s="1" t="s">
        <v>81</v>
      </c>
      <c r="C185" s="4">
        <v>92</v>
      </c>
      <c r="D185" s="8">
        <v>7.5</v>
      </c>
      <c r="E185" s="4">
        <v>82</v>
      </c>
      <c r="F185" s="8">
        <v>13.2</v>
      </c>
      <c r="G185" s="4">
        <v>10</v>
      </c>
      <c r="H185" s="8">
        <v>1.66</v>
      </c>
      <c r="I185" s="4">
        <v>0</v>
      </c>
    </row>
    <row r="186" spans="1:9" x14ac:dyDescent="0.2">
      <c r="A186" s="2">
        <v>5</v>
      </c>
      <c r="B186" s="1" t="s">
        <v>65</v>
      </c>
      <c r="C186" s="4">
        <v>62</v>
      </c>
      <c r="D186" s="8">
        <v>5.05</v>
      </c>
      <c r="E186" s="4">
        <v>5</v>
      </c>
      <c r="F186" s="8">
        <v>0.81</v>
      </c>
      <c r="G186" s="4">
        <v>57</v>
      </c>
      <c r="H186" s="8">
        <v>9.48</v>
      </c>
      <c r="I186" s="4">
        <v>0</v>
      </c>
    </row>
    <row r="187" spans="1:9" x14ac:dyDescent="0.2">
      <c r="A187" s="2">
        <v>5</v>
      </c>
      <c r="B187" s="1" t="s">
        <v>77</v>
      </c>
      <c r="C187" s="4">
        <v>62</v>
      </c>
      <c r="D187" s="8">
        <v>5.05</v>
      </c>
      <c r="E187" s="4">
        <v>42</v>
      </c>
      <c r="F187" s="8">
        <v>6.76</v>
      </c>
      <c r="G187" s="4">
        <v>20</v>
      </c>
      <c r="H187" s="8">
        <v>3.33</v>
      </c>
      <c r="I187" s="4">
        <v>0</v>
      </c>
    </row>
    <row r="188" spans="1:9" x14ac:dyDescent="0.2">
      <c r="A188" s="2">
        <v>7</v>
      </c>
      <c r="B188" s="1" t="s">
        <v>66</v>
      </c>
      <c r="C188" s="4">
        <v>54</v>
      </c>
      <c r="D188" s="8">
        <v>4.4000000000000004</v>
      </c>
      <c r="E188" s="4">
        <v>27</v>
      </c>
      <c r="F188" s="8">
        <v>4.3499999999999996</v>
      </c>
      <c r="G188" s="4">
        <v>27</v>
      </c>
      <c r="H188" s="8">
        <v>4.49</v>
      </c>
      <c r="I188" s="4">
        <v>0</v>
      </c>
    </row>
    <row r="189" spans="1:9" x14ac:dyDescent="0.2">
      <c r="A189" s="2">
        <v>8</v>
      </c>
      <c r="B189" s="1" t="s">
        <v>69</v>
      </c>
      <c r="C189" s="4">
        <v>44</v>
      </c>
      <c r="D189" s="8">
        <v>3.59</v>
      </c>
      <c r="E189" s="4">
        <v>31</v>
      </c>
      <c r="F189" s="8">
        <v>4.99</v>
      </c>
      <c r="G189" s="4">
        <v>13</v>
      </c>
      <c r="H189" s="8">
        <v>2.16</v>
      </c>
      <c r="I189" s="4">
        <v>0</v>
      </c>
    </row>
    <row r="190" spans="1:9" x14ac:dyDescent="0.2">
      <c r="A190" s="2">
        <v>9</v>
      </c>
      <c r="B190" s="1" t="s">
        <v>70</v>
      </c>
      <c r="C190" s="4">
        <v>43</v>
      </c>
      <c r="D190" s="8">
        <v>3.5</v>
      </c>
      <c r="E190" s="4">
        <v>28</v>
      </c>
      <c r="F190" s="8">
        <v>4.51</v>
      </c>
      <c r="G190" s="4">
        <v>15</v>
      </c>
      <c r="H190" s="8">
        <v>2.5</v>
      </c>
      <c r="I190" s="4">
        <v>0</v>
      </c>
    </row>
    <row r="191" spans="1:9" x14ac:dyDescent="0.2">
      <c r="A191" s="2">
        <v>10</v>
      </c>
      <c r="B191" s="1" t="s">
        <v>74</v>
      </c>
      <c r="C191" s="4">
        <v>42</v>
      </c>
      <c r="D191" s="8">
        <v>3.42</v>
      </c>
      <c r="E191" s="4">
        <v>27</v>
      </c>
      <c r="F191" s="8">
        <v>4.3499999999999996</v>
      </c>
      <c r="G191" s="4">
        <v>15</v>
      </c>
      <c r="H191" s="8">
        <v>2.5</v>
      </c>
      <c r="I191" s="4">
        <v>0</v>
      </c>
    </row>
    <row r="192" spans="1:9" x14ac:dyDescent="0.2">
      <c r="A192" s="2">
        <v>11</v>
      </c>
      <c r="B192" s="1" t="s">
        <v>67</v>
      </c>
      <c r="C192" s="4">
        <v>39</v>
      </c>
      <c r="D192" s="8">
        <v>3.18</v>
      </c>
      <c r="E192" s="4">
        <v>11</v>
      </c>
      <c r="F192" s="8">
        <v>1.77</v>
      </c>
      <c r="G192" s="4">
        <v>28</v>
      </c>
      <c r="H192" s="8">
        <v>4.66</v>
      </c>
      <c r="I192" s="4">
        <v>0</v>
      </c>
    </row>
    <row r="193" spans="1:9" x14ac:dyDescent="0.2">
      <c r="A193" s="2">
        <v>12</v>
      </c>
      <c r="B193" s="1" t="s">
        <v>68</v>
      </c>
      <c r="C193" s="4">
        <v>38</v>
      </c>
      <c r="D193" s="8">
        <v>3.1</v>
      </c>
      <c r="E193" s="4">
        <v>9</v>
      </c>
      <c r="F193" s="8">
        <v>1.45</v>
      </c>
      <c r="G193" s="4">
        <v>29</v>
      </c>
      <c r="H193" s="8">
        <v>4.83</v>
      </c>
      <c r="I193" s="4">
        <v>0</v>
      </c>
    </row>
    <row r="194" spans="1:9" x14ac:dyDescent="0.2">
      <c r="A194" s="2">
        <v>13</v>
      </c>
      <c r="B194" s="1" t="s">
        <v>84</v>
      </c>
      <c r="C194" s="4">
        <v>37</v>
      </c>
      <c r="D194" s="8">
        <v>3.02</v>
      </c>
      <c r="E194" s="4">
        <v>33</v>
      </c>
      <c r="F194" s="8">
        <v>5.31</v>
      </c>
      <c r="G194" s="4">
        <v>4</v>
      </c>
      <c r="H194" s="8">
        <v>0.67</v>
      </c>
      <c r="I194" s="4">
        <v>0</v>
      </c>
    </row>
    <row r="195" spans="1:9" x14ac:dyDescent="0.2">
      <c r="A195" s="2">
        <v>14</v>
      </c>
      <c r="B195" s="1" t="s">
        <v>83</v>
      </c>
      <c r="C195" s="4">
        <v>34</v>
      </c>
      <c r="D195" s="8">
        <v>2.77</v>
      </c>
      <c r="E195" s="4">
        <v>8</v>
      </c>
      <c r="F195" s="8">
        <v>1.29</v>
      </c>
      <c r="G195" s="4">
        <v>23</v>
      </c>
      <c r="H195" s="8">
        <v>3.83</v>
      </c>
      <c r="I195" s="4">
        <v>2</v>
      </c>
    </row>
    <row r="196" spans="1:9" x14ac:dyDescent="0.2">
      <c r="A196" s="2">
        <v>15</v>
      </c>
      <c r="B196" s="1" t="s">
        <v>82</v>
      </c>
      <c r="C196" s="4">
        <v>31</v>
      </c>
      <c r="D196" s="8">
        <v>2.5299999999999998</v>
      </c>
      <c r="E196" s="4">
        <v>29</v>
      </c>
      <c r="F196" s="8">
        <v>4.67</v>
      </c>
      <c r="G196" s="4">
        <v>2</v>
      </c>
      <c r="H196" s="8">
        <v>0.33</v>
      </c>
      <c r="I196" s="4">
        <v>0</v>
      </c>
    </row>
    <row r="197" spans="1:9" x14ac:dyDescent="0.2">
      <c r="A197" s="2">
        <v>16</v>
      </c>
      <c r="B197" s="1" t="s">
        <v>72</v>
      </c>
      <c r="C197" s="4">
        <v>28</v>
      </c>
      <c r="D197" s="8">
        <v>2.2799999999999998</v>
      </c>
      <c r="E197" s="4">
        <v>4</v>
      </c>
      <c r="F197" s="8">
        <v>0.64</v>
      </c>
      <c r="G197" s="4">
        <v>24</v>
      </c>
      <c r="H197" s="8">
        <v>3.99</v>
      </c>
      <c r="I197" s="4">
        <v>0</v>
      </c>
    </row>
    <row r="198" spans="1:9" x14ac:dyDescent="0.2">
      <c r="A198" s="2">
        <v>17</v>
      </c>
      <c r="B198" s="1" t="s">
        <v>75</v>
      </c>
      <c r="C198" s="4">
        <v>20</v>
      </c>
      <c r="D198" s="8">
        <v>1.63</v>
      </c>
      <c r="E198" s="4">
        <v>10</v>
      </c>
      <c r="F198" s="8">
        <v>1.61</v>
      </c>
      <c r="G198" s="4">
        <v>10</v>
      </c>
      <c r="H198" s="8">
        <v>1.66</v>
      </c>
      <c r="I198" s="4">
        <v>0</v>
      </c>
    </row>
    <row r="199" spans="1:9" x14ac:dyDescent="0.2">
      <c r="A199" s="2">
        <v>18</v>
      </c>
      <c r="B199" s="1" t="s">
        <v>85</v>
      </c>
      <c r="C199" s="4">
        <v>18</v>
      </c>
      <c r="D199" s="8">
        <v>1.47</v>
      </c>
      <c r="E199" s="4">
        <v>5</v>
      </c>
      <c r="F199" s="8">
        <v>0.81</v>
      </c>
      <c r="G199" s="4">
        <v>13</v>
      </c>
      <c r="H199" s="8">
        <v>2.16</v>
      </c>
      <c r="I199" s="4">
        <v>0</v>
      </c>
    </row>
    <row r="200" spans="1:9" x14ac:dyDescent="0.2">
      <c r="A200" s="2">
        <v>19</v>
      </c>
      <c r="B200" s="1" t="s">
        <v>90</v>
      </c>
      <c r="C200" s="4">
        <v>17</v>
      </c>
      <c r="D200" s="8">
        <v>1.39</v>
      </c>
      <c r="E200" s="4">
        <v>3</v>
      </c>
      <c r="F200" s="8">
        <v>0.48</v>
      </c>
      <c r="G200" s="4">
        <v>14</v>
      </c>
      <c r="H200" s="8">
        <v>2.33</v>
      </c>
      <c r="I200" s="4">
        <v>0</v>
      </c>
    </row>
    <row r="201" spans="1:9" x14ac:dyDescent="0.2">
      <c r="A201" s="2">
        <v>20</v>
      </c>
      <c r="B201" s="1" t="s">
        <v>79</v>
      </c>
      <c r="C201" s="4">
        <v>16</v>
      </c>
      <c r="D201" s="8">
        <v>1.3</v>
      </c>
      <c r="E201" s="4">
        <v>5</v>
      </c>
      <c r="F201" s="8">
        <v>0.81</v>
      </c>
      <c r="G201" s="4">
        <v>11</v>
      </c>
      <c r="H201" s="8">
        <v>1.83</v>
      </c>
      <c r="I201" s="4">
        <v>0</v>
      </c>
    </row>
    <row r="202" spans="1:9" x14ac:dyDescent="0.2">
      <c r="A202" s="1"/>
      <c r="C202" s="4"/>
      <c r="D202" s="8"/>
      <c r="E202" s="4"/>
      <c r="F202" s="8"/>
      <c r="G202" s="4"/>
      <c r="H202" s="8"/>
      <c r="I202" s="4"/>
    </row>
    <row r="203" spans="1:9" x14ac:dyDescent="0.2">
      <c r="A203" s="1" t="s">
        <v>9</v>
      </c>
      <c r="C203" s="4"/>
      <c r="D203" s="8"/>
      <c r="E203" s="4"/>
      <c r="F203" s="8"/>
      <c r="G203" s="4"/>
      <c r="H203" s="8"/>
      <c r="I203" s="4"/>
    </row>
    <row r="204" spans="1:9" x14ac:dyDescent="0.2">
      <c r="A204" s="2">
        <v>1</v>
      </c>
      <c r="B204" s="1" t="s">
        <v>77</v>
      </c>
      <c r="C204" s="4">
        <v>382</v>
      </c>
      <c r="D204" s="8">
        <v>14.81</v>
      </c>
      <c r="E204" s="4">
        <v>375</v>
      </c>
      <c r="F204" s="8">
        <v>19.3</v>
      </c>
      <c r="G204" s="4">
        <v>7</v>
      </c>
      <c r="H204" s="8">
        <v>1.1399999999999999</v>
      </c>
      <c r="I204" s="4">
        <v>0</v>
      </c>
    </row>
    <row r="205" spans="1:9" x14ac:dyDescent="0.2">
      <c r="A205" s="2">
        <v>2</v>
      </c>
      <c r="B205" s="1" t="s">
        <v>73</v>
      </c>
      <c r="C205" s="4">
        <v>362</v>
      </c>
      <c r="D205" s="8">
        <v>14.03</v>
      </c>
      <c r="E205" s="4">
        <v>322</v>
      </c>
      <c r="F205" s="8">
        <v>16.57</v>
      </c>
      <c r="G205" s="4">
        <v>40</v>
      </c>
      <c r="H205" s="8">
        <v>6.54</v>
      </c>
      <c r="I205" s="4">
        <v>0</v>
      </c>
    </row>
    <row r="206" spans="1:9" x14ac:dyDescent="0.2">
      <c r="A206" s="2">
        <v>3</v>
      </c>
      <c r="B206" s="1" t="s">
        <v>78</v>
      </c>
      <c r="C206" s="4">
        <v>286</v>
      </c>
      <c r="D206" s="8">
        <v>11.09</v>
      </c>
      <c r="E206" s="4">
        <v>261</v>
      </c>
      <c r="F206" s="8">
        <v>13.43</v>
      </c>
      <c r="G206" s="4">
        <v>25</v>
      </c>
      <c r="H206" s="8">
        <v>4.08</v>
      </c>
      <c r="I206" s="4">
        <v>0</v>
      </c>
    </row>
    <row r="207" spans="1:9" x14ac:dyDescent="0.2">
      <c r="A207" s="2">
        <v>4</v>
      </c>
      <c r="B207" s="1" t="s">
        <v>71</v>
      </c>
      <c r="C207" s="4">
        <v>172</v>
      </c>
      <c r="D207" s="8">
        <v>6.67</v>
      </c>
      <c r="E207" s="4">
        <v>143</v>
      </c>
      <c r="F207" s="8">
        <v>7.36</v>
      </c>
      <c r="G207" s="4">
        <v>29</v>
      </c>
      <c r="H207" s="8">
        <v>4.74</v>
      </c>
      <c r="I207" s="4">
        <v>0</v>
      </c>
    </row>
    <row r="208" spans="1:9" x14ac:dyDescent="0.2">
      <c r="A208" s="2">
        <v>5</v>
      </c>
      <c r="B208" s="1" t="s">
        <v>69</v>
      </c>
      <c r="C208" s="4">
        <v>143</v>
      </c>
      <c r="D208" s="8">
        <v>5.54</v>
      </c>
      <c r="E208" s="4">
        <v>122</v>
      </c>
      <c r="F208" s="8">
        <v>6.28</v>
      </c>
      <c r="G208" s="4">
        <v>20</v>
      </c>
      <c r="H208" s="8">
        <v>3.27</v>
      </c>
      <c r="I208" s="4">
        <v>1</v>
      </c>
    </row>
    <row r="209" spans="1:9" x14ac:dyDescent="0.2">
      <c r="A209" s="2">
        <v>6</v>
      </c>
      <c r="B209" s="1" t="s">
        <v>81</v>
      </c>
      <c r="C209" s="4">
        <v>120</v>
      </c>
      <c r="D209" s="8">
        <v>4.6500000000000004</v>
      </c>
      <c r="E209" s="4">
        <v>103</v>
      </c>
      <c r="F209" s="8">
        <v>5.3</v>
      </c>
      <c r="G209" s="4">
        <v>11</v>
      </c>
      <c r="H209" s="8">
        <v>1.8</v>
      </c>
      <c r="I209" s="4">
        <v>2</v>
      </c>
    </row>
    <row r="210" spans="1:9" x14ac:dyDescent="0.2">
      <c r="A210" s="2">
        <v>7</v>
      </c>
      <c r="B210" s="1" t="s">
        <v>66</v>
      </c>
      <c r="C210" s="4">
        <v>98</v>
      </c>
      <c r="D210" s="8">
        <v>3.8</v>
      </c>
      <c r="E210" s="4">
        <v>62</v>
      </c>
      <c r="F210" s="8">
        <v>3.19</v>
      </c>
      <c r="G210" s="4">
        <v>36</v>
      </c>
      <c r="H210" s="8">
        <v>5.88</v>
      </c>
      <c r="I210" s="4">
        <v>0</v>
      </c>
    </row>
    <row r="211" spans="1:9" x14ac:dyDescent="0.2">
      <c r="A211" s="2">
        <v>8</v>
      </c>
      <c r="B211" s="1" t="s">
        <v>70</v>
      </c>
      <c r="C211" s="4">
        <v>87</v>
      </c>
      <c r="D211" s="8">
        <v>3.37</v>
      </c>
      <c r="E211" s="4">
        <v>72</v>
      </c>
      <c r="F211" s="8">
        <v>3.71</v>
      </c>
      <c r="G211" s="4">
        <v>15</v>
      </c>
      <c r="H211" s="8">
        <v>2.4500000000000002</v>
      </c>
      <c r="I211" s="4">
        <v>0</v>
      </c>
    </row>
    <row r="212" spans="1:9" x14ac:dyDescent="0.2">
      <c r="A212" s="2">
        <v>9</v>
      </c>
      <c r="B212" s="1" t="s">
        <v>84</v>
      </c>
      <c r="C212" s="4">
        <v>80</v>
      </c>
      <c r="D212" s="8">
        <v>3.1</v>
      </c>
      <c r="E212" s="4">
        <v>75</v>
      </c>
      <c r="F212" s="8">
        <v>3.86</v>
      </c>
      <c r="G212" s="4">
        <v>5</v>
      </c>
      <c r="H212" s="8">
        <v>0.82</v>
      </c>
      <c r="I212" s="4">
        <v>0</v>
      </c>
    </row>
    <row r="213" spans="1:9" x14ac:dyDescent="0.2">
      <c r="A213" s="2">
        <v>10</v>
      </c>
      <c r="B213" s="1" t="s">
        <v>65</v>
      </c>
      <c r="C213" s="4">
        <v>76</v>
      </c>
      <c r="D213" s="8">
        <v>2.95</v>
      </c>
      <c r="E213" s="4">
        <v>24</v>
      </c>
      <c r="F213" s="8">
        <v>1.24</v>
      </c>
      <c r="G213" s="4">
        <v>52</v>
      </c>
      <c r="H213" s="8">
        <v>8.5</v>
      </c>
      <c r="I213" s="4">
        <v>0</v>
      </c>
    </row>
    <row r="214" spans="1:9" x14ac:dyDescent="0.2">
      <c r="A214" s="2">
        <v>11</v>
      </c>
      <c r="B214" s="1" t="s">
        <v>67</v>
      </c>
      <c r="C214" s="4">
        <v>73</v>
      </c>
      <c r="D214" s="8">
        <v>2.83</v>
      </c>
      <c r="E214" s="4">
        <v>26</v>
      </c>
      <c r="F214" s="8">
        <v>1.34</v>
      </c>
      <c r="G214" s="4">
        <v>46</v>
      </c>
      <c r="H214" s="8">
        <v>7.52</v>
      </c>
      <c r="I214" s="4">
        <v>1</v>
      </c>
    </row>
    <row r="215" spans="1:9" x14ac:dyDescent="0.2">
      <c r="A215" s="2">
        <v>12</v>
      </c>
      <c r="B215" s="1" t="s">
        <v>68</v>
      </c>
      <c r="C215" s="4">
        <v>57</v>
      </c>
      <c r="D215" s="8">
        <v>2.21</v>
      </c>
      <c r="E215" s="4">
        <v>35</v>
      </c>
      <c r="F215" s="8">
        <v>1.8</v>
      </c>
      <c r="G215" s="4">
        <v>22</v>
      </c>
      <c r="H215" s="8">
        <v>3.59</v>
      </c>
      <c r="I215" s="4">
        <v>0</v>
      </c>
    </row>
    <row r="216" spans="1:9" x14ac:dyDescent="0.2">
      <c r="A216" s="2">
        <v>13</v>
      </c>
      <c r="B216" s="1" t="s">
        <v>75</v>
      </c>
      <c r="C216" s="4">
        <v>50</v>
      </c>
      <c r="D216" s="8">
        <v>1.94</v>
      </c>
      <c r="E216" s="4">
        <v>32</v>
      </c>
      <c r="F216" s="8">
        <v>1.65</v>
      </c>
      <c r="G216" s="4">
        <v>17</v>
      </c>
      <c r="H216" s="8">
        <v>2.78</v>
      </c>
      <c r="I216" s="4">
        <v>0</v>
      </c>
    </row>
    <row r="217" spans="1:9" x14ac:dyDescent="0.2">
      <c r="A217" s="2">
        <v>14</v>
      </c>
      <c r="B217" s="1" t="s">
        <v>82</v>
      </c>
      <c r="C217" s="4">
        <v>43</v>
      </c>
      <c r="D217" s="8">
        <v>1.67</v>
      </c>
      <c r="E217" s="4">
        <v>39</v>
      </c>
      <c r="F217" s="8">
        <v>2.0099999999999998</v>
      </c>
      <c r="G217" s="4">
        <v>4</v>
      </c>
      <c r="H217" s="8">
        <v>0.65</v>
      </c>
      <c r="I217" s="4">
        <v>0</v>
      </c>
    </row>
    <row r="218" spans="1:9" x14ac:dyDescent="0.2">
      <c r="A218" s="2">
        <v>15</v>
      </c>
      <c r="B218" s="1" t="s">
        <v>83</v>
      </c>
      <c r="C218" s="4">
        <v>42</v>
      </c>
      <c r="D218" s="8">
        <v>1.63</v>
      </c>
      <c r="E218" s="4">
        <v>2</v>
      </c>
      <c r="F218" s="8">
        <v>0.1</v>
      </c>
      <c r="G218" s="4">
        <v>36</v>
      </c>
      <c r="H218" s="8">
        <v>5.88</v>
      </c>
      <c r="I218" s="4">
        <v>4</v>
      </c>
    </row>
    <row r="219" spans="1:9" x14ac:dyDescent="0.2">
      <c r="A219" s="2">
        <v>16</v>
      </c>
      <c r="B219" s="1" t="s">
        <v>74</v>
      </c>
      <c r="C219" s="4">
        <v>37</v>
      </c>
      <c r="D219" s="8">
        <v>1.43</v>
      </c>
      <c r="E219" s="4">
        <v>31</v>
      </c>
      <c r="F219" s="8">
        <v>1.6</v>
      </c>
      <c r="G219" s="4">
        <v>6</v>
      </c>
      <c r="H219" s="8">
        <v>0.98</v>
      </c>
      <c r="I219" s="4">
        <v>0</v>
      </c>
    </row>
    <row r="220" spans="1:9" x14ac:dyDescent="0.2">
      <c r="A220" s="2">
        <v>17</v>
      </c>
      <c r="B220" s="1" t="s">
        <v>88</v>
      </c>
      <c r="C220" s="4">
        <v>32</v>
      </c>
      <c r="D220" s="8">
        <v>1.24</v>
      </c>
      <c r="E220" s="4">
        <v>17</v>
      </c>
      <c r="F220" s="8">
        <v>0.87</v>
      </c>
      <c r="G220" s="4">
        <v>15</v>
      </c>
      <c r="H220" s="8">
        <v>2.4500000000000002</v>
      </c>
      <c r="I220" s="4">
        <v>0</v>
      </c>
    </row>
    <row r="221" spans="1:9" x14ac:dyDescent="0.2">
      <c r="A221" s="2">
        <v>17</v>
      </c>
      <c r="B221" s="1" t="s">
        <v>72</v>
      </c>
      <c r="C221" s="4">
        <v>32</v>
      </c>
      <c r="D221" s="8">
        <v>1.24</v>
      </c>
      <c r="E221" s="4">
        <v>10</v>
      </c>
      <c r="F221" s="8">
        <v>0.51</v>
      </c>
      <c r="G221" s="4">
        <v>22</v>
      </c>
      <c r="H221" s="8">
        <v>3.59</v>
      </c>
      <c r="I221" s="4">
        <v>0</v>
      </c>
    </row>
    <row r="222" spans="1:9" x14ac:dyDescent="0.2">
      <c r="A222" s="2">
        <v>19</v>
      </c>
      <c r="B222" s="1" t="s">
        <v>79</v>
      </c>
      <c r="C222" s="4">
        <v>30</v>
      </c>
      <c r="D222" s="8">
        <v>1.1599999999999999</v>
      </c>
      <c r="E222" s="4">
        <v>17</v>
      </c>
      <c r="F222" s="8">
        <v>0.87</v>
      </c>
      <c r="G222" s="4">
        <v>13</v>
      </c>
      <c r="H222" s="8">
        <v>2.12</v>
      </c>
      <c r="I222" s="4">
        <v>0</v>
      </c>
    </row>
    <row r="223" spans="1:9" x14ac:dyDescent="0.2">
      <c r="A223" s="2">
        <v>20</v>
      </c>
      <c r="B223" s="1" t="s">
        <v>92</v>
      </c>
      <c r="C223" s="4">
        <v>28</v>
      </c>
      <c r="D223" s="8">
        <v>1.0900000000000001</v>
      </c>
      <c r="E223" s="4">
        <v>22</v>
      </c>
      <c r="F223" s="8">
        <v>1.1299999999999999</v>
      </c>
      <c r="G223" s="4">
        <v>6</v>
      </c>
      <c r="H223" s="8">
        <v>0.98</v>
      </c>
      <c r="I223" s="4">
        <v>0</v>
      </c>
    </row>
    <row r="224" spans="1:9" x14ac:dyDescent="0.2">
      <c r="A224" s="1"/>
      <c r="C224" s="4"/>
      <c r="D224" s="8"/>
      <c r="E224" s="4"/>
      <c r="F224" s="8"/>
      <c r="G224" s="4"/>
      <c r="H224" s="8"/>
      <c r="I224" s="4"/>
    </row>
    <row r="225" spans="1:9" x14ac:dyDescent="0.2">
      <c r="A225" s="1" t="s">
        <v>10</v>
      </c>
      <c r="C225" s="4"/>
      <c r="D225" s="8"/>
      <c r="E225" s="4"/>
      <c r="F225" s="8"/>
      <c r="G225" s="4"/>
      <c r="H225" s="8"/>
      <c r="I225" s="4"/>
    </row>
    <row r="226" spans="1:9" x14ac:dyDescent="0.2">
      <c r="A226" s="2">
        <v>1</v>
      </c>
      <c r="B226" s="1" t="s">
        <v>77</v>
      </c>
      <c r="C226" s="4">
        <v>292</v>
      </c>
      <c r="D226" s="8">
        <v>15.26</v>
      </c>
      <c r="E226" s="4">
        <v>275</v>
      </c>
      <c r="F226" s="8">
        <v>19.829999999999998</v>
      </c>
      <c r="G226" s="4">
        <v>17</v>
      </c>
      <c r="H226" s="8">
        <v>3.35</v>
      </c>
      <c r="I226" s="4">
        <v>0</v>
      </c>
    </row>
    <row r="227" spans="1:9" x14ac:dyDescent="0.2">
      <c r="A227" s="2">
        <v>2</v>
      </c>
      <c r="B227" s="1" t="s">
        <v>78</v>
      </c>
      <c r="C227" s="4">
        <v>182</v>
      </c>
      <c r="D227" s="8">
        <v>9.51</v>
      </c>
      <c r="E227" s="4">
        <v>176</v>
      </c>
      <c r="F227" s="8">
        <v>12.69</v>
      </c>
      <c r="G227" s="4">
        <v>6</v>
      </c>
      <c r="H227" s="8">
        <v>1.18</v>
      </c>
      <c r="I227" s="4">
        <v>0</v>
      </c>
    </row>
    <row r="228" spans="1:9" x14ac:dyDescent="0.2">
      <c r="A228" s="2">
        <v>3</v>
      </c>
      <c r="B228" s="1" t="s">
        <v>69</v>
      </c>
      <c r="C228" s="4">
        <v>146</v>
      </c>
      <c r="D228" s="8">
        <v>7.63</v>
      </c>
      <c r="E228" s="4">
        <v>132</v>
      </c>
      <c r="F228" s="8">
        <v>9.52</v>
      </c>
      <c r="G228" s="4">
        <v>14</v>
      </c>
      <c r="H228" s="8">
        <v>2.76</v>
      </c>
      <c r="I228" s="4">
        <v>0</v>
      </c>
    </row>
    <row r="229" spans="1:9" x14ac:dyDescent="0.2">
      <c r="A229" s="2">
        <v>4</v>
      </c>
      <c r="B229" s="1" t="s">
        <v>65</v>
      </c>
      <c r="C229" s="4">
        <v>106</v>
      </c>
      <c r="D229" s="8">
        <v>5.54</v>
      </c>
      <c r="E229" s="4">
        <v>14</v>
      </c>
      <c r="F229" s="8">
        <v>1.01</v>
      </c>
      <c r="G229" s="4">
        <v>92</v>
      </c>
      <c r="H229" s="8">
        <v>18.11</v>
      </c>
      <c r="I229" s="4">
        <v>0</v>
      </c>
    </row>
    <row r="230" spans="1:9" x14ac:dyDescent="0.2">
      <c r="A230" s="2">
        <v>5</v>
      </c>
      <c r="B230" s="1" t="s">
        <v>71</v>
      </c>
      <c r="C230" s="4">
        <v>100</v>
      </c>
      <c r="D230" s="8">
        <v>5.23</v>
      </c>
      <c r="E230" s="4">
        <v>73</v>
      </c>
      <c r="F230" s="8">
        <v>5.26</v>
      </c>
      <c r="G230" s="4">
        <v>27</v>
      </c>
      <c r="H230" s="8">
        <v>5.31</v>
      </c>
      <c r="I230" s="4">
        <v>0</v>
      </c>
    </row>
    <row r="231" spans="1:9" x14ac:dyDescent="0.2">
      <c r="A231" s="2">
        <v>6</v>
      </c>
      <c r="B231" s="1" t="s">
        <v>81</v>
      </c>
      <c r="C231" s="4">
        <v>95</v>
      </c>
      <c r="D231" s="8">
        <v>4.97</v>
      </c>
      <c r="E231" s="4">
        <v>76</v>
      </c>
      <c r="F231" s="8">
        <v>5.48</v>
      </c>
      <c r="G231" s="4">
        <v>9</v>
      </c>
      <c r="H231" s="8">
        <v>1.77</v>
      </c>
      <c r="I231" s="4">
        <v>1</v>
      </c>
    </row>
    <row r="232" spans="1:9" x14ac:dyDescent="0.2">
      <c r="A232" s="2">
        <v>7</v>
      </c>
      <c r="B232" s="1" t="s">
        <v>73</v>
      </c>
      <c r="C232" s="4">
        <v>93</v>
      </c>
      <c r="D232" s="8">
        <v>4.8600000000000003</v>
      </c>
      <c r="E232" s="4">
        <v>60</v>
      </c>
      <c r="F232" s="8">
        <v>4.33</v>
      </c>
      <c r="G232" s="4">
        <v>32</v>
      </c>
      <c r="H232" s="8">
        <v>6.3</v>
      </c>
      <c r="I232" s="4">
        <v>0</v>
      </c>
    </row>
    <row r="233" spans="1:9" x14ac:dyDescent="0.2">
      <c r="A233" s="2">
        <v>8</v>
      </c>
      <c r="B233" s="1" t="s">
        <v>76</v>
      </c>
      <c r="C233" s="4">
        <v>84</v>
      </c>
      <c r="D233" s="8">
        <v>4.3899999999999997</v>
      </c>
      <c r="E233" s="4">
        <v>70</v>
      </c>
      <c r="F233" s="8">
        <v>5.05</v>
      </c>
      <c r="G233" s="4">
        <v>14</v>
      </c>
      <c r="H233" s="8">
        <v>2.76</v>
      </c>
      <c r="I233" s="4">
        <v>0</v>
      </c>
    </row>
    <row r="234" spans="1:9" x14ac:dyDescent="0.2">
      <c r="A234" s="2">
        <v>9</v>
      </c>
      <c r="B234" s="1" t="s">
        <v>80</v>
      </c>
      <c r="C234" s="4">
        <v>65</v>
      </c>
      <c r="D234" s="8">
        <v>3.4</v>
      </c>
      <c r="E234" s="4">
        <v>43</v>
      </c>
      <c r="F234" s="8">
        <v>3.1</v>
      </c>
      <c r="G234" s="4">
        <v>19</v>
      </c>
      <c r="H234" s="8">
        <v>3.74</v>
      </c>
      <c r="I234" s="4">
        <v>0</v>
      </c>
    </row>
    <row r="235" spans="1:9" x14ac:dyDescent="0.2">
      <c r="A235" s="2">
        <v>10</v>
      </c>
      <c r="B235" s="1" t="s">
        <v>68</v>
      </c>
      <c r="C235" s="4">
        <v>57</v>
      </c>
      <c r="D235" s="8">
        <v>2.98</v>
      </c>
      <c r="E235" s="4">
        <v>52</v>
      </c>
      <c r="F235" s="8">
        <v>3.75</v>
      </c>
      <c r="G235" s="4">
        <v>5</v>
      </c>
      <c r="H235" s="8">
        <v>0.98</v>
      </c>
      <c r="I235" s="4">
        <v>0</v>
      </c>
    </row>
    <row r="236" spans="1:9" x14ac:dyDescent="0.2">
      <c r="A236" s="2">
        <v>11</v>
      </c>
      <c r="B236" s="1" t="s">
        <v>88</v>
      </c>
      <c r="C236" s="4">
        <v>56</v>
      </c>
      <c r="D236" s="8">
        <v>2.93</v>
      </c>
      <c r="E236" s="4">
        <v>43</v>
      </c>
      <c r="F236" s="8">
        <v>3.1</v>
      </c>
      <c r="G236" s="4">
        <v>13</v>
      </c>
      <c r="H236" s="8">
        <v>2.56</v>
      </c>
      <c r="I236" s="4">
        <v>0</v>
      </c>
    </row>
    <row r="237" spans="1:9" x14ac:dyDescent="0.2">
      <c r="A237" s="2">
        <v>12</v>
      </c>
      <c r="B237" s="1" t="s">
        <v>84</v>
      </c>
      <c r="C237" s="4">
        <v>48</v>
      </c>
      <c r="D237" s="8">
        <v>2.5099999999999998</v>
      </c>
      <c r="E237" s="4">
        <v>45</v>
      </c>
      <c r="F237" s="8">
        <v>3.24</v>
      </c>
      <c r="G237" s="4">
        <v>3</v>
      </c>
      <c r="H237" s="8">
        <v>0.59</v>
      </c>
      <c r="I237" s="4">
        <v>0</v>
      </c>
    </row>
    <row r="238" spans="1:9" x14ac:dyDescent="0.2">
      <c r="A238" s="2">
        <v>13</v>
      </c>
      <c r="B238" s="1" t="s">
        <v>70</v>
      </c>
      <c r="C238" s="4">
        <v>47</v>
      </c>
      <c r="D238" s="8">
        <v>2.46</v>
      </c>
      <c r="E238" s="4">
        <v>34</v>
      </c>
      <c r="F238" s="8">
        <v>2.4500000000000002</v>
      </c>
      <c r="G238" s="4">
        <v>13</v>
      </c>
      <c r="H238" s="8">
        <v>2.56</v>
      </c>
      <c r="I238" s="4">
        <v>0</v>
      </c>
    </row>
    <row r="239" spans="1:9" x14ac:dyDescent="0.2">
      <c r="A239" s="2">
        <v>13</v>
      </c>
      <c r="B239" s="1" t="s">
        <v>75</v>
      </c>
      <c r="C239" s="4">
        <v>47</v>
      </c>
      <c r="D239" s="8">
        <v>2.46</v>
      </c>
      <c r="E239" s="4">
        <v>30</v>
      </c>
      <c r="F239" s="8">
        <v>2.16</v>
      </c>
      <c r="G239" s="4">
        <v>17</v>
      </c>
      <c r="H239" s="8">
        <v>3.35</v>
      </c>
      <c r="I239" s="4">
        <v>0</v>
      </c>
    </row>
    <row r="240" spans="1:9" x14ac:dyDescent="0.2">
      <c r="A240" s="2">
        <v>15</v>
      </c>
      <c r="B240" s="1" t="s">
        <v>67</v>
      </c>
      <c r="C240" s="4">
        <v>40</v>
      </c>
      <c r="D240" s="8">
        <v>2.09</v>
      </c>
      <c r="E240" s="4">
        <v>20</v>
      </c>
      <c r="F240" s="8">
        <v>1.44</v>
      </c>
      <c r="G240" s="4">
        <v>20</v>
      </c>
      <c r="H240" s="8">
        <v>3.94</v>
      </c>
      <c r="I240" s="4">
        <v>0</v>
      </c>
    </row>
    <row r="241" spans="1:9" x14ac:dyDescent="0.2">
      <c r="A241" s="2">
        <v>16</v>
      </c>
      <c r="B241" s="1" t="s">
        <v>66</v>
      </c>
      <c r="C241" s="4">
        <v>38</v>
      </c>
      <c r="D241" s="8">
        <v>1.99</v>
      </c>
      <c r="E241" s="4">
        <v>25</v>
      </c>
      <c r="F241" s="8">
        <v>1.8</v>
      </c>
      <c r="G241" s="4">
        <v>13</v>
      </c>
      <c r="H241" s="8">
        <v>2.56</v>
      </c>
      <c r="I241" s="4">
        <v>0</v>
      </c>
    </row>
    <row r="242" spans="1:9" x14ac:dyDescent="0.2">
      <c r="A242" s="2">
        <v>17</v>
      </c>
      <c r="B242" s="1" t="s">
        <v>93</v>
      </c>
      <c r="C242" s="4">
        <v>37</v>
      </c>
      <c r="D242" s="8">
        <v>1.93</v>
      </c>
      <c r="E242" s="4">
        <v>34</v>
      </c>
      <c r="F242" s="8">
        <v>2.4500000000000002</v>
      </c>
      <c r="G242" s="4">
        <v>3</v>
      </c>
      <c r="H242" s="8">
        <v>0.59</v>
      </c>
      <c r="I242" s="4">
        <v>0</v>
      </c>
    </row>
    <row r="243" spans="1:9" x14ac:dyDescent="0.2">
      <c r="A243" s="2">
        <v>18</v>
      </c>
      <c r="B243" s="1" t="s">
        <v>82</v>
      </c>
      <c r="C243" s="4">
        <v>36</v>
      </c>
      <c r="D243" s="8">
        <v>1.88</v>
      </c>
      <c r="E243" s="4">
        <v>34</v>
      </c>
      <c r="F243" s="8">
        <v>2.4500000000000002</v>
      </c>
      <c r="G243" s="4">
        <v>2</v>
      </c>
      <c r="H243" s="8">
        <v>0.39</v>
      </c>
      <c r="I243" s="4">
        <v>0</v>
      </c>
    </row>
    <row r="244" spans="1:9" x14ac:dyDescent="0.2">
      <c r="A244" s="2">
        <v>19</v>
      </c>
      <c r="B244" s="1" t="s">
        <v>74</v>
      </c>
      <c r="C244" s="4">
        <v>35</v>
      </c>
      <c r="D244" s="8">
        <v>1.83</v>
      </c>
      <c r="E244" s="4">
        <v>24</v>
      </c>
      <c r="F244" s="8">
        <v>1.73</v>
      </c>
      <c r="G244" s="4">
        <v>11</v>
      </c>
      <c r="H244" s="8">
        <v>2.17</v>
      </c>
      <c r="I244" s="4">
        <v>0</v>
      </c>
    </row>
    <row r="245" spans="1:9" x14ac:dyDescent="0.2">
      <c r="A245" s="2">
        <v>20</v>
      </c>
      <c r="B245" s="1" t="s">
        <v>94</v>
      </c>
      <c r="C245" s="4">
        <v>26</v>
      </c>
      <c r="D245" s="8">
        <v>1.36</v>
      </c>
      <c r="E245" s="4">
        <v>10</v>
      </c>
      <c r="F245" s="8">
        <v>0.72</v>
      </c>
      <c r="G245" s="4">
        <v>16</v>
      </c>
      <c r="H245" s="8">
        <v>3.15</v>
      </c>
      <c r="I245" s="4">
        <v>0</v>
      </c>
    </row>
    <row r="246" spans="1:9" x14ac:dyDescent="0.2">
      <c r="A246" s="2">
        <v>20</v>
      </c>
      <c r="B246" s="1" t="s">
        <v>83</v>
      </c>
      <c r="C246" s="4">
        <v>26</v>
      </c>
      <c r="D246" s="8">
        <v>1.36</v>
      </c>
      <c r="E246" s="4">
        <v>2</v>
      </c>
      <c r="F246" s="8">
        <v>0.14000000000000001</v>
      </c>
      <c r="G246" s="4">
        <v>23</v>
      </c>
      <c r="H246" s="8">
        <v>4.53</v>
      </c>
      <c r="I246" s="4">
        <v>0</v>
      </c>
    </row>
    <row r="247" spans="1:9" x14ac:dyDescent="0.2">
      <c r="A247" s="1"/>
      <c r="C247" s="4"/>
      <c r="D247" s="8"/>
      <c r="E247" s="4"/>
      <c r="F247" s="8"/>
      <c r="G247" s="4"/>
      <c r="H247" s="8"/>
      <c r="I247" s="4"/>
    </row>
    <row r="248" spans="1:9" x14ac:dyDescent="0.2">
      <c r="A248" s="1" t="s">
        <v>11</v>
      </c>
      <c r="C248" s="4"/>
      <c r="D248" s="8"/>
      <c r="E248" s="4"/>
      <c r="F248" s="8"/>
      <c r="G248" s="4"/>
      <c r="H248" s="8"/>
      <c r="I248" s="4"/>
    </row>
    <row r="249" spans="1:9" x14ac:dyDescent="0.2">
      <c r="A249" s="2">
        <v>1</v>
      </c>
      <c r="B249" s="1" t="s">
        <v>77</v>
      </c>
      <c r="C249" s="4">
        <v>109</v>
      </c>
      <c r="D249" s="8">
        <v>11.41</v>
      </c>
      <c r="E249" s="4">
        <v>105</v>
      </c>
      <c r="F249" s="8">
        <v>15.67</v>
      </c>
      <c r="G249" s="4">
        <v>4</v>
      </c>
      <c r="H249" s="8">
        <v>1.42</v>
      </c>
      <c r="I249" s="4">
        <v>0</v>
      </c>
    </row>
    <row r="250" spans="1:9" x14ac:dyDescent="0.2">
      <c r="A250" s="2">
        <v>2</v>
      </c>
      <c r="B250" s="1" t="s">
        <v>71</v>
      </c>
      <c r="C250" s="4">
        <v>98</v>
      </c>
      <c r="D250" s="8">
        <v>10.26</v>
      </c>
      <c r="E250" s="4">
        <v>89</v>
      </c>
      <c r="F250" s="8">
        <v>13.28</v>
      </c>
      <c r="G250" s="4">
        <v>9</v>
      </c>
      <c r="H250" s="8">
        <v>3.2</v>
      </c>
      <c r="I250" s="4">
        <v>0</v>
      </c>
    </row>
    <row r="251" spans="1:9" x14ac:dyDescent="0.2">
      <c r="A251" s="2">
        <v>3</v>
      </c>
      <c r="B251" s="1" t="s">
        <v>78</v>
      </c>
      <c r="C251" s="4">
        <v>87</v>
      </c>
      <c r="D251" s="8">
        <v>9.11</v>
      </c>
      <c r="E251" s="4">
        <v>77</v>
      </c>
      <c r="F251" s="8">
        <v>11.49</v>
      </c>
      <c r="G251" s="4">
        <v>10</v>
      </c>
      <c r="H251" s="8">
        <v>3.56</v>
      </c>
      <c r="I251" s="4">
        <v>0</v>
      </c>
    </row>
    <row r="252" spans="1:9" x14ac:dyDescent="0.2">
      <c r="A252" s="2">
        <v>4</v>
      </c>
      <c r="B252" s="1" t="s">
        <v>81</v>
      </c>
      <c r="C252" s="4">
        <v>63</v>
      </c>
      <c r="D252" s="8">
        <v>6.6</v>
      </c>
      <c r="E252" s="4">
        <v>55</v>
      </c>
      <c r="F252" s="8">
        <v>8.2100000000000009</v>
      </c>
      <c r="G252" s="4">
        <v>6</v>
      </c>
      <c r="H252" s="8">
        <v>2.14</v>
      </c>
      <c r="I252" s="4">
        <v>2</v>
      </c>
    </row>
    <row r="253" spans="1:9" x14ac:dyDescent="0.2">
      <c r="A253" s="2">
        <v>5</v>
      </c>
      <c r="B253" s="1" t="s">
        <v>69</v>
      </c>
      <c r="C253" s="4">
        <v>58</v>
      </c>
      <c r="D253" s="8">
        <v>6.07</v>
      </c>
      <c r="E253" s="4">
        <v>53</v>
      </c>
      <c r="F253" s="8">
        <v>7.91</v>
      </c>
      <c r="G253" s="4">
        <v>4</v>
      </c>
      <c r="H253" s="8">
        <v>1.42</v>
      </c>
      <c r="I253" s="4">
        <v>1</v>
      </c>
    </row>
    <row r="254" spans="1:9" x14ac:dyDescent="0.2">
      <c r="A254" s="2">
        <v>6</v>
      </c>
      <c r="B254" s="1" t="s">
        <v>65</v>
      </c>
      <c r="C254" s="4">
        <v>53</v>
      </c>
      <c r="D254" s="8">
        <v>5.55</v>
      </c>
      <c r="E254" s="4">
        <v>14</v>
      </c>
      <c r="F254" s="8">
        <v>2.09</v>
      </c>
      <c r="G254" s="4">
        <v>39</v>
      </c>
      <c r="H254" s="8">
        <v>13.88</v>
      </c>
      <c r="I254" s="4">
        <v>0</v>
      </c>
    </row>
    <row r="255" spans="1:9" x14ac:dyDescent="0.2">
      <c r="A255" s="2">
        <v>7</v>
      </c>
      <c r="B255" s="1" t="s">
        <v>67</v>
      </c>
      <c r="C255" s="4">
        <v>42</v>
      </c>
      <c r="D255" s="8">
        <v>4.4000000000000004</v>
      </c>
      <c r="E255" s="4">
        <v>20</v>
      </c>
      <c r="F255" s="8">
        <v>2.99</v>
      </c>
      <c r="G255" s="4">
        <v>22</v>
      </c>
      <c r="H255" s="8">
        <v>7.83</v>
      </c>
      <c r="I255" s="4">
        <v>0</v>
      </c>
    </row>
    <row r="256" spans="1:9" x14ac:dyDescent="0.2">
      <c r="A256" s="2">
        <v>8</v>
      </c>
      <c r="B256" s="1" t="s">
        <v>83</v>
      </c>
      <c r="C256" s="4">
        <v>37</v>
      </c>
      <c r="D256" s="8">
        <v>3.87</v>
      </c>
      <c r="E256" s="4">
        <v>0</v>
      </c>
      <c r="F256" s="8">
        <v>0</v>
      </c>
      <c r="G256" s="4">
        <v>37</v>
      </c>
      <c r="H256" s="8">
        <v>13.17</v>
      </c>
      <c r="I256" s="4">
        <v>0</v>
      </c>
    </row>
    <row r="257" spans="1:9" x14ac:dyDescent="0.2">
      <c r="A257" s="2">
        <v>8</v>
      </c>
      <c r="B257" s="1" t="s">
        <v>84</v>
      </c>
      <c r="C257" s="4">
        <v>37</v>
      </c>
      <c r="D257" s="8">
        <v>3.87</v>
      </c>
      <c r="E257" s="4">
        <v>32</v>
      </c>
      <c r="F257" s="8">
        <v>4.78</v>
      </c>
      <c r="G257" s="4">
        <v>5</v>
      </c>
      <c r="H257" s="8">
        <v>1.78</v>
      </c>
      <c r="I257" s="4">
        <v>0</v>
      </c>
    </row>
    <row r="258" spans="1:9" x14ac:dyDescent="0.2">
      <c r="A258" s="2">
        <v>10</v>
      </c>
      <c r="B258" s="1" t="s">
        <v>66</v>
      </c>
      <c r="C258" s="4">
        <v>32</v>
      </c>
      <c r="D258" s="8">
        <v>3.35</v>
      </c>
      <c r="E258" s="4">
        <v>21</v>
      </c>
      <c r="F258" s="8">
        <v>3.13</v>
      </c>
      <c r="G258" s="4">
        <v>11</v>
      </c>
      <c r="H258" s="8">
        <v>3.91</v>
      </c>
      <c r="I258" s="4">
        <v>0</v>
      </c>
    </row>
    <row r="259" spans="1:9" x14ac:dyDescent="0.2">
      <c r="A259" s="2">
        <v>11</v>
      </c>
      <c r="B259" s="1" t="s">
        <v>96</v>
      </c>
      <c r="C259" s="4">
        <v>26</v>
      </c>
      <c r="D259" s="8">
        <v>2.72</v>
      </c>
      <c r="E259" s="4">
        <v>25</v>
      </c>
      <c r="F259" s="8">
        <v>3.73</v>
      </c>
      <c r="G259" s="4">
        <v>1</v>
      </c>
      <c r="H259" s="8">
        <v>0.36</v>
      </c>
      <c r="I259" s="4">
        <v>0</v>
      </c>
    </row>
    <row r="260" spans="1:9" x14ac:dyDescent="0.2">
      <c r="A260" s="2">
        <v>12</v>
      </c>
      <c r="B260" s="1" t="s">
        <v>70</v>
      </c>
      <c r="C260" s="4">
        <v>23</v>
      </c>
      <c r="D260" s="8">
        <v>2.41</v>
      </c>
      <c r="E260" s="4">
        <v>16</v>
      </c>
      <c r="F260" s="8">
        <v>2.39</v>
      </c>
      <c r="G260" s="4">
        <v>7</v>
      </c>
      <c r="H260" s="8">
        <v>2.4900000000000002</v>
      </c>
      <c r="I260" s="4">
        <v>0</v>
      </c>
    </row>
    <row r="261" spans="1:9" x14ac:dyDescent="0.2">
      <c r="A261" s="2">
        <v>12</v>
      </c>
      <c r="B261" s="1" t="s">
        <v>73</v>
      </c>
      <c r="C261" s="4">
        <v>23</v>
      </c>
      <c r="D261" s="8">
        <v>2.41</v>
      </c>
      <c r="E261" s="4">
        <v>12</v>
      </c>
      <c r="F261" s="8">
        <v>1.79</v>
      </c>
      <c r="G261" s="4">
        <v>11</v>
      </c>
      <c r="H261" s="8">
        <v>3.91</v>
      </c>
      <c r="I261" s="4">
        <v>0</v>
      </c>
    </row>
    <row r="262" spans="1:9" x14ac:dyDescent="0.2">
      <c r="A262" s="2">
        <v>14</v>
      </c>
      <c r="B262" s="1" t="s">
        <v>82</v>
      </c>
      <c r="C262" s="4">
        <v>20</v>
      </c>
      <c r="D262" s="8">
        <v>2.09</v>
      </c>
      <c r="E262" s="4">
        <v>20</v>
      </c>
      <c r="F262" s="8">
        <v>2.99</v>
      </c>
      <c r="G262" s="4">
        <v>0</v>
      </c>
      <c r="H262" s="8">
        <v>0</v>
      </c>
      <c r="I262" s="4">
        <v>0</v>
      </c>
    </row>
    <row r="263" spans="1:9" x14ac:dyDescent="0.2">
      <c r="A263" s="2">
        <v>15</v>
      </c>
      <c r="B263" s="1" t="s">
        <v>75</v>
      </c>
      <c r="C263" s="4">
        <v>17</v>
      </c>
      <c r="D263" s="8">
        <v>1.78</v>
      </c>
      <c r="E263" s="4">
        <v>7</v>
      </c>
      <c r="F263" s="8">
        <v>1.04</v>
      </c>
      <c r="G263" s="4">
        <v>10</v>
      </c>
      <c r="H263" s="8">
        <v>3.56</v>
      </c>
      <c r="I263" s="4">
        <v>0</v>
      </c>
    </row>
    <row r="264" spans="1:9" x14ac:dyDescent="0.2">
      <c r="A264" s="2">
        <v>16</v>
      </c>
      <c r="B264" s="1" t="s">
        <v>95</v>
      </c>
      <c r="C264" s="4">
        <v>16</v>
      </c>
      <c r="D264" s="8">
        <v>1.68</v>
      </c>
      <c r="E264" s="4">
        <v>12</v>
      </c>
      <c r="F264" s="8">
        <v>1.79</v>
      </c>
      <c r="G264" s="4">
        <v>4</v>
      </c>
      <c r="H264" s="8">
        <v>1.42</v>
      </c>
      <c r="I264" s="4">
        <v>0</v>
      </c>
    </row>
    <row r="265" spans="1:9" x14ac:dyDescent="0.2">
      <c r="A265" s="2">
        <v>16</v>
      </c>
      <c r="B265" s="1" t="s">
        <v>93</v>
      </c>
      <c r="C265" s="4">
        <v>16</v>
      </c>
      <c r="D265" s="8">
        <v>1.68</v>
      </c>
      <c r="E265" s="4">
        <v>14</v>
      </c>
      <c r="F265" s="8">
        <v>2.09</v>
      </c>
      <c r="G265" s="4">
        <v>2</v>
      </c>
      <c r="H265" s="8">
        <v>0.71</v>
      </c>
      <c r="I265" s="4">
        <v>0</v>
      </c>
    </row>
    <row r="266" spans="1:9" x14ac:dyDescent="0.2">
      <c r="A266" s="2">
        <v>16</v>
      </c>
      <c r="B266" s="1" t="s">
        <v>76</v>
      </c>
      <c r="C266" s="4">
        <v>16</v>
      </c>
      <c r="D266" s="8">
        <v>1.68</v>
      </c>
      <c r="E266" s="4">
        <v>12</v>
      </c>
      <c r="F266" s="8">
        <v>1.79</v>
      </c>
      <c r="G266" s="4">
        <v>4</v>
      </c>
      <c r="H266" s="8">
        <v>1.42</v>
      </c>
      <c r="I266" s="4">
        <v>0</v>
      </c>
    </row>
    <row r="267" spans="1:9" x14ac:dyDescent="0.2">
      <c r="A267" s="2">
        <v>19</v>
      </c>
      <c r="B267" s="1" t="s">
        <v>92</v>
      </c>
      <c r="C267" s="4">
        <v>13</v>
      </c>
      <c r="D267" s="8">
        <v>1.36</v>
      </c>
      <c r="E267" s="4">
        <v>11</v>
      </c>
      <c r="F267" s="8">
        <v>1.64</v>
      </c>
      <c r="G267" s="4">
        <v>2</v>
      </c>
      <c r="H267" s="8">
        <v>0.71</v>
      </c>
      <c r="I267" s="4">
        <v>0</v>
      </c>
    </row>
    <row r="268" spans="1:9" x14ac:dyDescent="0.2">
      <c r="A268" s="2">
        <v>19</v>
      </c>
      <c r="B268" s="1" t="s">
        <v>74</v>
      </c>
      <c r="C268" s="4">
        <v>13</v>
      </c>
      <c r="D268" s="8">
        <v>1.36</v>
      </c>
      <c r="E268" s="4">
        <v>10</v>
      </c>
      <c r="F268" s="8">
        <v>1.49</v>
      </c>
      <c r="G268" s="4">
        <v>3</v>
      </c>
      <c r="H268" s="8">
        <v>1.07</v>
      </c>
      <c r="I268" s="4">
        <v>0</v>
      </c>
    </row>
    <row r="269" spans="1:9" x14ac:dyDescent="0.2">
      <c r="A269" s="1"/>
      <c r="C269" s="4"/>
      <c r="D269" s="8"/>
      <c r="E269" s="4"/>
      <c r="F269" s="8"/>
      <c r="G269" s="4"/>
      <c r="H269" s="8"/>
      <c r="I269" s="4"/>
    </row>
    <row r="270" spans="1:9" x14ac:dyDescent="0.2">
      <c r="A270" s="1" t="s">
        <v>12</v>
      </c>
      <c r="C270" s="4"/>
      <c r="D270" s="8"/>
      <c r="E270" s="4"/>
      <c r="F270" s="8"/>
      <c r="G270" s="4"/>
      <c r="H270" s="8"/>
      <c r="I270" s="4"/>
    </row>
    <row r="271" spans="1:9" x14ac:dyDescent="0.2">
      <c r="A271" s="2">
        <v>1</v>
      </c>
      <c r="B271" s="1" t="s">
        <v>77</v>
      </c>
      <c r="C271" s="4">
        <v>41</v>
      </c>
      <c r="D271" s="8">
        <v>23.7</v>
      </c>
      <c r="E271" s="4">
        <v>41</v>
      </c>
      <c r="F271" s="8">
        <v>29.29</v>
      </c>
      <c r="G271" s="4">
        <v>0</v>
      </c>
      <c r="H271" s="8">
        <v>0</v>
      </c>
      <c r="I271" s="4">
        <v>0</v>
      </c>
    </row>
    <row r="272" spans="1:9" x14ac:dyDescent="0.2">
      <c r="A272" s="2">
        <v>2</v>
      </c>
      <c r="B272" s="1" t="s">
        <v>69</v>
      </c>
      <c r="C272" s="4">
        <v>20</v>
      </c>
      <c r="D272" s="8">
        <v>11.56</v>
      </c>
      <c r="E272" s="4">
        <v>15</v>
      </c>
      <c r="F272" s="8">
        <v>10.71</v>
      </c>
      <c r="G272" s="4">
        <v>1</v>
      </c>
      <c r="H272" s="8">
        <v>3.85</v>
      </c>
      <c r="I272" s="4">
        <v>4</v>
      </c>
    </row>
    <row r="273" spans="1:9" x14ac:dyDescent="0.2">
      <c r="A273" s="2">
        <v>3</v>
      </c>
      <c r="B273" s="1" t="s">
        <v>71</v>
      </c>
      <c r="C273" s="4">
        <v>19</v>
      </c>
      <c r="D273" s="8">
        <v>10.98</v>
      </c>
      <c r="E273" s="4">
        <v>16</v>
      </c>
      <c r="F273" s="8">
        <v>11.43</v>
      </c>
      <c r="G273" s="4">
        <v>3</v>
      </c>
      <c r="H273" s="8">
        <v>11.54</v>
      </c>
      <c r="I273" s="4">
        <v>0</v>
      </c>
    </row>
    <row r="274" spans="1:9" x14ac:dyDescent="0.2">
      <c r="A274" s="2">
        <v>4</v>
      </c>
      <c r="B274" s="1" t="s">
        <v>76</v>
      </c>
      <c r="C274" s="4">
        <v>14</v>
      </c>
      <c r="D274" s="8">
        <v>8.09</v>
      </c>
      <c r="E274" s="4">
        <v>9</v>
      </c>
      <c r="F274" s="8">
        <v>6.43</v>
      </c>
      <c r="G274" s="4">
        <v>4</v>
      </c>
      <c r="H274" s="8">
        <v>15.38</v>
      </c>
      <c r="I274" s="4">
        <v>1</v>
      </c>
    </row>
    <row r="275" spans="1:9" x14ac:dyDescent="0.2">
      <c r="A275" s="2">
        <v>5</v>
      </c>
      <c r="B275" s="1" t="s">
        <v>78</v>
      </c>
      <c r="C275" s="4">
        <v>12</v>
      </c>
      <c r="D275" s="8">
        <v>6.94</v>
      </c>
      <c r="E275" s="4">
        <v>12</v>
      </c>
      <c r="F275" s="8">
        <v>8.57</v>
      </c>
      <c r="G275" s="4">
        <v>0</v>
      </c>
      <c r="H275" s="8">
        <v>0</v>
      </c>
      <c r="I275" s="4">
        <v>0</v>
      </c>
    </row>
    <row r="276" spans="1:9" x14ac:dyDescent="0.2">
      <c r="A276" s="2">
        <v>6</v>
      </c>
      <c r="B276" s="1" t="s">
        <v>73</v>
      </c>
      <c r="C276" s="4">
        <v>9</v>
      </c>
      <c r="D276" s="8">
        <v>5.2</v>
      </c>
      <c r="E276" s="4">
        <v>9</v>
      </c>
      <c r="F276" s="8">
        <v>6.43</v>
      </c>
      <c r="G276" s="4">
        <v>0</v>
      </c>
      <c r="H276" s="8">
        <v>0</v>
      </c>
      <c r="I276" s="4">
        <v>0</v>
      </c>
    </row>
    <row r="277" spans="1:9" x14ac:dyDescent="0.2">
      <c r="A277" s="2">
        <v>7</v>
      </c>
      <c r="B277" s="1" t="s">
        <v>88</v>
      </c>
      <c r="C277" s="4">
        <v>5</v>
      </c>
      <c r="D277" s="8">
        <v>2.89</v>
      </c>
      <c r="E277" s="4">
        <v>3</v>
      </c>
      <c r="F277" s="8">
        <v>2.14</v>
      </c>
      <c r="G277" s="4">
        <v>2</v>
      </c>
      <c r="H277" s="8">
        <v>7.69</v>
      </c>
      <c r="I277" s="4">
        <v>0</v>
      </c>
    </row>
    <row r="278" spans="1:9" x14ac:dyDescent="0.2">
      <c r="A278" s="2">
        <v>7</v>
      </c>
      <c r="B278" s="1" t="s">
        <v>81</v>
      </c>
      <c r="C278" s="4">
        <v>5</v>
      </c>
      <c r="D278" s="8">
        <v>2.89</v>
      </c>
      <c r="E278" s="4">
        <v>4</v>
      </c>
      <c r="F278" s="8">
        <v>2.86</v>
      </c>
      <c r="G278" s="4">
        <v>1</v>
      </c>
      <c r="H278" s="8">
        <v>3.85</v>
      </c>
      <c r="I278" s="4">
        <v>0</v>
      </c>
    </row>
    <row r="279" spans="1:9" x14ac:dyDescent="0.2">
      <c r="A279" s="2">
        <v>7</v>
      </c>
      <c r="B279" s="1" t="s">
        <v>84</v>
      </c>
      <c r="C279" s="4">
        <v>5</v>
      </c>
      <c r="D279" s="8">
        <v>2.89</v>
      </c>
      <c r="E279" s="4">
        <v>5</v>
      </c>
      <c r="F279" s="8">
        <v>3.57</v>
      </c>
      <c r="G279" s="4">
        <v>0</v>
      </c>
      <c r="H279" s="8">
        <v>0</v>
      </c>
      <c r="I279" s="4">
        <v>0</v>
      </c>
    </row>
    <row r="280" spans="1:9" x14ac:dyDescent="0.2">
      <c r="A280" s="2">
        <v>10</v>
      </c>
      <c r="B280" s="1" t="s">
        <v>89</v>
      </c>
      <c r="C280" s="4">
        <v>4</v>
      </c>
      <c r="D280" s="8">
        <v>2.31</v>
      </c>
      <c r="E280" s="4">
        <v>4</v>
      </c>
      <c r="F280" s="8">
        <v>2.86</v>
      </c>
      <c r="G280" s="4">
        <v>0</v>
      </c>
      <c r="H280" s="8">
        <v>0</v>
      </c>
      <c r="I280" s="4">
        <v>0</v>
      </c>
    </row>
    <row r="281" spans="1:9" x14ac:dyDescent="0.2">
      <c r="A281" s="2">
        <v>10</v>
      </c>
      <c r="B281" s="1" t="s">
        <v>79</v>
      </c>
      <c r="C281" s="4">
        <v>4</v>
      </c>
      <c r="D281" s="8">
        <v>2.31</v>
      </c>
      <c r="E281" s="4">
        <v>1</v>
      </c>
      <c r="F281" s="8">
        <v>0.71</v>
      </c>
      <c r="G281" s="4">
        <v>3</v>
      </c>
      <c r="H281" s="8">
        <v>11.54</v>
      </c>
      <c r="I281" s="4">
        <v>0</v>
      </c>
    </row>
    <row r="282" spans="1:9" x14ac:dyDescent="0.2">
      <c r="A282" s="2">
        <v>12</v>
      </c>
      <c r="B282" s="1" t="s">
        <v>67</v>
      </c>
      <c r="C282" s="4">
        <v>3</v>
      </c>
      <c r="D282" s="8">
        <v>1.73</v>
      </c>
      <c r="E282" s="4">
        <v>3</v>
      </c>
      <c r="F282" s="8">
        <v>2.14</v>
      </c>
      <c r="G282" s="4">
        <v>0</v>
      </c>
      <c r="H282" s="8">
        <v>0</v>
      </c>
      <c r="I282" s="4">
        <v>0</v>
      </c>
    </row>
    <row r="283" spans="1:9" x14ac:dyDescent="0.2">
      <c r="A283" s="2">
        <v>12</v>
      </c>
      <c r="B283" s="1" t="s">
        <v>80</v>
      </c>
      <c r="C283" s="4">
        <v>3</v>
      </c>
      <c r="D283" s="8">
        <v>1.73</v>
      </c>
      <c r="E283" s="4">
        <v>1</v>
      </c>
      <c r="F283" s="8">
        <v>0.71</v>
      </c>
      <c r="G283" s="4">
        <v>1</v>
      </c>
      <c r="H283" s="8">
        <v>3.85</v>
      </c>
      <c r="I283" s="4">
        <v>0</v>
      </c>
    </row>
    <row r="284" spans="1:9" x14ac:dyDescent="0.2">
      <c r="A284" s="2">
        <v>14</v>
      </c>
      <c r="B284" s="1" t="s">
        <v>65</v>
      </c>
      <c r="C284" s="4">
        <v>2</v>
      </c>
      <c r="D284" s="8">
        <v>1.1599999999999999</v>
      </c>
      <c r="E284" s="4">
        <v>1</v>
      </c>
      <c r="F284" s="8">
        <v>0.71</v>
      </c>
      <c r="G284" s="4">
        <v>1</v>
      </c>
      <c r="H284" s="8">
        <v>3.85</v>
      </c>
      <c r="I284" s="4">
        <v>0</v>
      </c>
    </row>
    <row r="285" spans="1:9" x14ac:dyDescent="0.2">
      <c r="A285" s="2">
        <v>14</v>
      </c>
      <c r="B285" s="1" t="s">
        <v>66</v>
      </c>
      <c r="C285" s="4">
        <v>2</v>
      </c>
      <c r="D285" s="8">
        <v>1.1599999999999999</v>
      </c>
      <c r="E285" s="4">
        <v>1</v>
      </c>
      <c r="F285" s="8">
        <v>0.71</v>
      </c>
      <c r="G285" s="4">
        <v>1</v>
      </c>
      <c r="H285" s="8">
        <v>3.85</v>
      </c>
      <c r="I285" s="4">
        <v>0</v>
      </c>
    </row>
    <row r="286" spans="1:9" x14ac:dyDescent="0.2">
      <c r="A286" s="2">
        <v>14</v>
      </c>
      <c r="B286" s="1" t="s">
        <v>97</v>
      </c>
      <c r="C286" s="4">
        <v>2</v>
      </c>
      <c r="D286" s="8">
        <v>1.1599999999999999</v>
      </c>
      <c r="E286" s="4">
        <v>0</v>
      </c>
      <c r="F286" s="8">
        <v>0</v>
      </c>
      <c r="G286" s="4">
        <v>2</v>
      </c>
      <c r="H286" s="8">
        <v>7.69</v>
      </c>
      <c r="I286" s="4">
        <v>0</v>
      </c>
    </row>
    <row r="287" spans="1:9" x14ac:dyDescent="0.2">
      <c r="A287" s="2">
        <v>14</v>
      </c>
      <c r="B287" s="1" t="s">
        <v>93</v>
      </c>
      <c r="C287" s="4">
        <v>2</v>
      </c>
      <c r="D287" s="8">
        <v>1.1599999999999999</v>
      </c>
      <c r="E287" s="4">
        <v>2</v>
      </c>
      <c r="F287" s="8">
        <v>1.43</v>
      </c>
      <c r="G287" s="4">
        <v>0</v>
      </c>
      <c r="H287" s="8">
        <v>0</v>
      </c>
      <c r="I287" s="4">
        <v>0</v>
      </c>
    </row>
    <row r="288" spans="1:9" x14ac:dyDescent="0.2">
      <c r="A288" s="2">
        <v>14</v>
      </c>
      <c r="B288" s="1" t="s">
        <v>90</v>
      </c>
      <c r="C288" s="4">
        <v>2</v>
      </c>
      <c r="D288" s="8">
        <v>1.1599999999999999</v>
      </c>
      <c r="E288" s="4">
        <v>1</v>
      </c>
      <c r="F288" s="8">
        <v>0.71</v>
      </c>
      <c r="G288" s="4">
        <v>1</v>
      </c>
      <c r="H288" s="8">
        <v>3.85</v>
      </c>
      <c r="I288" s="4">
        <v>0</v>
      </c>
    </row>
    <row r="289" spans="1:9" x14ac:dyDescent="0.2">
      <c r="A289" s="2">
        <v>14</v>
      </c>
      <c r="B289" s="1" t="s">
        <v>70</v>
      </c>
      <c r="C289" s="4">
        <v>2</v>
      </c>
      <c r="D289" s="8">
        <v>1.1599999999999999</v>
      </c>
      <c r="E289" s="4">
        <v>2</v>
      </c>
      <c r="F289" s="8">
        <v>1.43</v>
      </c>
      <c r="G289" s="4">
        <v>0</v>
      </c>
      <c r="H289" s="8">
        <v>0</v>
      </c>
      <c r="I289" s="4">
        <v>0</v>
      </c>
    </row>
    <row r="290" spans="1:9" x14ac:dyDescent="0.2">
      <c r="A290" s="2">
        <v>14</v>
      </c>
      <c r="B290" s="1" t="s">
        <v>74</v>
      </c>
      <c r="C290" s="4">
        <v>2</v>
      </c>
      <c r="D290" s="8">
        <v>1.1599999999999999</v>
      </c>
      <c r="E290" s="4">
        <v>2</v>
      </c>
      <c r="F290" s="8">
        <v>1.43</v>
      </c>
      <c r="G290" s="4">
        <v>0</v>
      </c>
      <c r="H290" s="8">
        <v>0</v>
      </c>
      <c r="I290" s="4">
        <v>0</v>
      </c>
    </row>
    <row r="291" spans="1:9" x14ac:dyDescent="0.2">
      <c r="A291" s="2">
        <v>14</v>
      </c>
      <c r="B291" s="1" t="s">
        <v>82</v>
      </c>
      <c r="C291" s="4">
        <v>2</v>
      </c>
      <c r="D291" s="8">
        <v>1.1599999999999999</v>
      </c>
      <c r="E291" s="4">
        <v>2</v>
      </c>
      <c r="F291" s="8">
        <v>1.43</v>
      </c>
      <c r="G291" s="4">
        <v>0</v>
      </c>
      <c r="H291" s="8">
        <v>0</v>
      </c>
      <c r="I291" s="4">
        <v>0</v>
      </c>
    </row>
    <row r="292" spans="1:9" x14ac:dyDescent="0.2">
      <c r="A292" s="1"/>
      <c r="C292" s="4"/>
      <c r="D292" s="8"/>
      <c r="E292" s="4"/>
      <c r="F292" s="8"/>
      <c r="G292" s="4"/>
      <c r="H292" s="8"/>
      <c r="I292" s="4"/>
    </row>
    <row r="293" spans="1:9" x14ac:dyDescent="0.2">
      <c r="A293" s="1" t="s">
        <v>13</v>
      </c>
      <c r="C293" s="4"/>
      <c r="D293" s="8"/>
      <c r="E293" s="4"/>
      <c r="F293" s="8"/>
      <c r="G293" s="4"/>
      <c r="H293" s="8"/>
      <c r="I293" s="4"/>
    </row>
    <row r="294" spans="1:9" x14ac:dyDescent="0.2">
      <c r="A294" s="2">
        <v>1</v>
      </c>
      <c r="B294" s="1" t="s">
        <v>71</v>
      </c>
      <c r="C294" s="4">
        <v>19</v>
      </c>
      <c r="D294" s="8">
        <v>20.65</v>
      </c>
      <c r="E294" s="4">
        <v>19</v>
      </c>
      <c r="F294" s="8">
        <v>33.93</v>
      </c>
      <c r="G294" s="4">
        <v>0</v>
      </c>
      <c r="H294" s="8">
        <v>0</v>
      </c>
      <c r="I294" s="4">
        <v>0</v>
      </c>
    </row>
    <row r="295" spans="1:9" x14ac:dyDescent="0.2">
      <c r="A295" s="2">
        <v>2</v>
      </c>
      <c r="B295" s="1" t="s">
        <v>69</v>
      </c>
      <c r="C295" s="4">
        <v>9</v>
      </c>
      <c r="D295" s="8">
        <v>9.7799999999999994</v>
      </c>
      <c r="E295" s="4">
        <v>8</v>
      </c>
      <c r="F295" s="8">
        <v>14.29</v>
      </c>
      <c r="G295" s="4">
        <v>0</v>
      </c>
      <c r="H295" s="8">
        <v>0</v>
      </c>
      <c r="I295" s="4">
        <v>1</v>
      </c>
    </row>
    <row r="296" spans="1:9" x14ac:dyDescent="0.2">
      <c r="A296" s="2">
        <v>3</v>
      </c>
      <c r="B296" s="1" t="s">
        <v>95</v>
      </c>
      <c r="C296" s="4">
        <v>8</v>
      </c>
      <c r="D296" s="8">
        <v>8.6999999999999993</v>
      </c>
      <c r="E296" s="4">
        <v>7</v>
      </c>
      <c r="F296" s="8">
        <v>12.5</v>
      </c>
      <c r="G296" s="4">
        <v>1</v>
      </c>
      <c r="H296" s="8">
        <v>4.3499999999999996</v>
      </c>
      <c r="I296" s="4">
        <v>0</v>
      </c>
    </row>
    <row r="297" spans="1:9" x14ac:dyDescent="0.2">
      <c r="A297" s="2">
        <v>4</v>
      </c>
      <c r="B297" s="1" t="s">
        <v>65</v>
      </c>
      <c r="C297" s="4">
        <v>7</v>
      </c>
      <c r="D297" s="8">
        <v>7.61</v>
      </c>
      <c r="E297" s="4">
        <v>1</v>
      </c>
      <c r="F297" s="8">
        <v>1.79</v>
      </c>
      <c r="G297" s="4">
        <v>6</v>
      </c>
      <c r="H297" s="8">
        <v>26.09</v>
      </c>
      <c r="I297" s="4">
        <v>0</v>
      </c>
    </row>
    <row r="298" spans="1:9" x14ac:dyDescent="0.2">
      <c r="A298" s="2">
        <v>5</v>
      </c>
      <c r="B298" s="1" t="s">
        <v>78</v>
      </c>
      <c r="C298" s="4">
        <v>6</v>
      </c>
      <c r="D298" s="8">
        <v>6.52</v>
      </c>
      <c r="E298" s="4">
        <v>6</v>
      </c>
      <c r="F298" s="8">
        <v>10.71</v>
      </c>
      <c r="G298" s="4">
        <v>0</v>
      </c>
      <c r="H298" s="8">
        <v>0</v>
      </c>
      <c r="I298" s="4">
        <v>0</v>
      </c>
    </row>
    <row r="299" spans="1:9" x14ac:dyDescent="0.2">
      <c r="A299" s="2">
        <v>5</v>
      </c>
      <c r="B299" s="1" t="s">
        <v>81</v>
      </c>
      <c r="C299" s="4">
        <v>6</v>
      </c>
      <c r="D299" s="8">
        <v>6.52</v>
      </c>
      <c r="E299" s="4">
        <v>0</v>
      </c>
      <c r="F299" s="8">
        <v>0</v>
      </c>
      <c r="G299" s="4">
        <v>1</v>
      </c>
      <c r="H299" s="8">
        <v>4.3499999999999996</v>
      </c>
      <c r="I299" s="4">
        <v>5</v>
      </c>
    </row>
    <row r="300" spans="1:9" x14ac:dyDescent="0.2">
      <c r="A300" s="2">
        <v>7</v>
      </c>
      <c r="B300" s="1" t="s">
        <v>77</v>
      </c>
      <c r="C300" s="4">
        <v>4</v>
      </c>
      <c r="D300" s="8">
        <v>4.3499999999999996</v>
      </c>
      <c r="E300" s="4">
        <v>2</v>
      </c>
      <c r="F300" s="8">
        <v>3.57</v>
      </c>
      <c r="G300" s="4">
        <v>1</v>
      </c>
      <c r="H300" s="8">
        <v>4.3499999999999996</v>
      </c>
      <c r="I300" s="4">
        <v>1</v>
      </c>
    </row>
    <row r="301" spans="1:9" x14ac:dyDescent="0.2">
      <c r="A301" s="2">
        <v>7</v>
      </c>
      <c r="B301" s="1" t="s">
        <v>102</v>
      </c>
      <c r="C301" s="4">
        <v>4</v>
      </c>
      <c r="D301" s="8">
        <v>4.3499999999999996</v>
      </c>
      <c r="E301" s="4">
        <v>0</v>
      </c>
      <c r="F301" s="8">
        <v>0</v>
      </c>
      <c r="G301" s="4">
        <v>0</v>
      </c>
      <c r="H301" s="8">
        <v>0</v>
      </c>
      <c r="I301" s="4">
        <v>2</v>
      </c>
    </row>
    <row r="302" spans="1:9" x14ac:dyDescent="0.2">
      <c r="A302" s="2">
        <v>9</v>
      </c>
      <c r="B302" s="1" t="s">
        <v>97</v>
      </c>
      <c r="C302" s="4">
        <v>3</v>
      </c>
      <c r="D302" s="8">
        <v>3.26</v>
      </c>
      <c r="E302" s="4">
        <v>0</v>
      </c>
      <c r="F302" s="8">
        <v>0</v>
      </c>
      <c r="G302" s="4">
        <v>3</v>
      </c>
      <c r="H302" s="8">
        <v>13.04</v>
      </c>
      <c r="I302" s="4">
        <v>0</v>
      </c>
    </row>
    <row r="303" spans="1:9" x14ac:dyDescent="0.2">
      <c r="A303" s="2">
        <v>9</v>
      </c>
      <c r="B303" s="1" t="s">
        <v>93</v>
      </c>
      <c r="C303" s="4">
        <v>3</v>
      </c>
      <c r="D303" s="8">
        <v>3.26</v>
      </c>
      <c r="E303" s="4">
        <v>3</v>
      </c>
      <c r="F303" s="8">
        <v>5.36</v>
      </c>
      <c r="G303" s="4">
        <v>0</v>
      </c>
      <c r="H303" s="8">
        <v>0</v>
      </c>
      <c r="I303" s="4">
        <v>0</v>
      </c>
    </row>
    <row r="304" spans="1:9" x14ac:dyDescent="0.2">
      <c r="A304" s="2">
        <v>9</v>
      </c>
      <c r="B304" s="1" t="s">
        <v>83</v>
      </c>
      <c r="C304" s="4">
        <v>3</v>
      </c>
      <c r="D304" s="8">
        <v>3.26</v>
      </c>
      <c r="E304" s="4">
        <v>0</v>
      </c>
      <c r="F304" s="8">
        <v>0</v>
      </c>
      <c r="G304" s="4">
        <v>3</v>
      </c>
      <c r="H304" s="8">
        <v>13.04</v>
      </c>
      <c r="I304" s="4">
        <v>0</v>
      </c>
    </row>
    <row r="305" spans="1:9" x14ac:dyDescent="0.2">
      <c r="A305" s="2">
        <v>12</v>
      </c>
      <c r="B305" s="1" t="s">
        <v>101</v>
      </c>
      <c r="C305" s="4">
        <v>2</v>
      </c>
      <c r="D305" s="8">
        <v>2.17</v>
      </c>
      <c r="E305" s="4">
        <v>0</v>
      </c>
      <c r="F305" s="8">
        <v>0</v>
      </c>
      <c r="G305" s="4">
        <v>0</v>
      </c>
      <c r="H305" s="8">
        <v>0</v>
      </c>
      <c r="I305" s="4">
        <v>0</v>
      </c>
    </row>
    <row r="306" spans="1:9" x14ac:dyDescent="0.2">
      <c r="A306" s="2">
        <v>12</v>
      </c>
      <c r="B306" s="1" t="s">
        <v>89</v>
      </c>
      <c r="C306" s="4">
        <v>2</v>
      </c>
      <c r="D306" s="8">
        <v>2.17</v>
      </c>
      <c r="E306" s="4">
        <v>0</v>
      </c>
      <c r="F306" s="8">
        <v>0</v>
      </c>
      <c r="G306" s="4">
        <v>2</v>
      </c>
      <c r="H306" s="8">
        <v>8.6999999999999993</v>
      </c>
      <c r="I306" s="4">
        <v>0</v>
      </c>
    </row>
    <row r="307" spans="1:9" x14ac:dyDescent="0.2">
      <c r="A307" s="2">
        <v>12</v>
      </c>
      <c r="B307" s="1" t="s">
        <v>74</v>
      </c>
      <c r="C307" s="4">
        <v>2</v>
      </c>
      <c r="D307" s="8">
        <v>2.17</v>
      </c>
      <c r="E307" s="4">
        <v>2</v>
      </c>
      <c r="F307" s="8">
        <v>3.57</v>
      </c>
      <c r="G307" s="4">
        <v>0</v>
      </c>
      <c r="H307" s="8">
        <v>0</v>
      </c>
      <c r="I307" s="4">
        <v>0</v>
      </c>
    </row>
    <row r="308" spans="1:9" x14ac:dyDescent="0.2">
      <c r="A308" s="2">
        <v>12</v>
      </c>
      <c r="B308" s="1" t="s">
        <v>75</v>
      </c>
      <c r="C308" s="4">
        <v>2</v>
      </c>
      <c r="D308" s="8">
        <v>2.17</v>
      </c>
      <c r="E308" s="4">
        <v>0</v>
      </c>
      <c r="F308" s="8">
        <v>0</v>
      </c>
      <c r="G308" s="4">
        <v>2</v>
      </c>
      <c r="H308" s="8">
        <v>8.6999999999999993</v>
      </c>
      <c r="I308" s="4">
        <v>0</v>
      </c>
    </row>
    <row r="309" spans="1:9" x14ac:dyDescent="0.2">
      <c r="A309" s="2">
        <v>12</v>
      </c>
      <c r="B309" s="1" t="s">
        <v>76</v>
      </c>
      <c r="C309" s="4">
        <v>2</v>
      </c>
      <c r="D309" s="8">
        <v>2.17</v>
      </c>
      <c r="E309" s="4">
        <v>1</v>
      </c>
      <c r="F309" s="8">
        <v>1.79</v>
      </c>
      <c r="G309" s="4">
        <v>1</v>
      </c>
      <c r="H309" s="8">
        <v>4.3499999999999996</v>
      </c>
      <c r="I309" s="4">
        <v>0</v>
      </c>
    </row>
    <row r="310" spans="1:9" x14ac:dyDescent="0.2">
      <c r="A310" s="2">
        <v>17</v>
      </c>
      <c r="B310" s="1" t="s">
        <v>67</v>
      </c>
      <c r="C310" s="4">
        <v>1</v>
      </c>
      <c r="D310" s="8">
        <v>1.0900000000000001</v>
      </c>
      <c r="E310" s="4">
        <v>1</v>
      </c>
      <c r="F310" s="8">
        <v>1.79</v>
      </c>
      <c r="G310" s="4">
        <v>0</v>
      </c>
      <c r="H310" s="8">
        <v>0</v>
      </c>
      <c r="I310" s="4">
        <v>0</v>
      </c>
    </row>
    <row r="311" spans="1:9" x14ac:dyDescent="0.2">
      <c r="A311" s="2">
        <v>17</v>
      </c>
      <c r="B311" s="1" t="s">
        <v>88</v>
      </c>
      <c r="C311" s="4">
        <v>1</v>
      </c>
      <c r="D311" s="8">
        <v>1.0900000000000001</v>
      </c>
      <c r="E311" s="4">
        <v>1</v>
      </c>
      <c r="F311" s="8">
        <v>1.79</v>
      </c>
      <c r="G311" s="4">
        <v>0</v>
      </c>
      <c r="H311" s="8">
        <v>0</v>
      </c>
      <c r="I311" s="4">
        <v>0</v>
      </c>
    </row>
    <row r="312" spans="1:9" x14ac:dyDescent="0.2">
      <c r="A312" s="2">
        <v>17</v>
      </c>
      <c r="B312" s="1" t="s">
        <v>98</v>
      </c>
      <c r="C312" s="4">
        <v>1</v>
      </c>
      <c r="D312" s="8">
        <v>1.0900000000000001</v>
      </c>
      <c r="E312" s="4">
        <v>1</v>
      </c>
      <c r="F312" s="8">
        <v>1.79</v>
      </c>
      <c r="G312" s="4">
        <v>0</v>
      </c>
      <c r="H312" s="8">
        <v>0</v>
      </c>
      <c r="I312" s="4">
        <v>0</v>
      </c>
    </row>
    <row r="313" spans="1:9" x14ac:dyDescent="0.2">
      <c r="A313" s="2">
        <v>17</v>
      </c>
      <c r="B313" s="1" t="s">
        <v>99</v>
      </c>
      <c r="C313" s="4">
        <v>1</v>
      </c>
      <c r="D313" s="8">
        <v>1.0900000000000001</v>
      </c>
      <c r="E313" s="4">
        <v>1</v>
      </c>
      <c r="F313" s="8">
        <v>1.79</v>
      </c>
      <c r="G313" s="4">
        <v>0</v>
      </c>
      <c r="H313" s="8">
        <v>0</v>
      </c>
      <c r="I313" s="4">
        <v>0</v>
      </c>
    </row>
    <row r="314" spans="1:9" x14ac:dyDescent="0.2">
      <c r="A314" s="2">
        <v>17</v>
      </c>
      <c r="B314" s="1" t="s">
        <v>100</v>
      </c>
      <c r="C314" s="4">
        <v>1</v>
      </c>
      <c r="D314" s="8">
        <v>1.0900000000000001</v>
      </c>
      <c r="E314" s="4">
        <v>0</v>
      </c>
      <c r="F314" s="8">
        <v>0</v>
      </c>
      <c r="G314" s="4">
        <v>1</v>
      </c>
      <c r="H314" s="8">
        <v>4.3499999999999996</v>
      </c>
      <c r="I314" s="4">
        <v>0</v>
      </c>
    </row>
    <row r="315" spans="1:9" x14ac:dyDescent="0.2">
      <c r="A315" s="2">
        <v>17</v>
      </c>
      <c r="B315" s="1" t="s">
        <v>96</v>
      </c>
      <c r="C315" s="4">
        <v>1</v>
      </c>
      <c r="D315" s="8">
        <v>1.0900000000000001</v>
      </c>
      <c r="E315" s="4">
        <v>1</v>
      </c>
      <c r="F315" s="8">
        <v>1.79</v>
      </c>
      <c r="G315" s="4">
        <v>0</v>
      </c>
      <c r="H315" s="8">
        <v>0</v>
      </c>
      <c r="I315" s="4">
        <v>0</v>
      </c>
    </row>
    <row r="316" spans="1:9" x14ac:dyDescent="0.2">
      <c r="A316" s="2">
        <v>17</v>
      </c>
      <c r="B316" s="1" t="s">
        <v>70</v>
      </c>
      <c r="C316" s="4">
        <v>1</v>
      </c>
      <c r="D316" s="8">
        <v>1.0900000000000001</v>
      </c>
      <c r="E316" s="4">
        <v>1</v>
      </c>
      <c r="F316" s="8">
        <v>1.79</v>
      </c>
      <c r="G316" s="4">
        <v>0</v>
      </c>
      <c r="H316" s="8">
        <v>0</v>
      </c>
      <c r="I316" s="4">
        <v>0</v>
      </c>
    </row>
    <row r="317" spans="1:9" x14ac:dyDescent="0.2">
      <c r="A317" s="2">
        <v>17</v>
      </c>
      <c r="B317" s="1" t="s">
        <v>91</v>
      </c>
      <c r="C317" s="4">
        <v>1</v>
      </c>
      <c r="D317" s="8">
        <v>1.0900000000000001</v>
      </c>
      <c r="E317" s="4">
        <v>0</v>
      </c>
      <c r="F317" s="8">
        <v>0</v>
      </c>
      <c r="G317" s="4">
        <v>1</v>
      </c>
      <c r="H317" s="8">
        <v>4.3499999999999996</v>
      </c>
      <c r="I317" s="4">
        <v>0</v>
      </c>
    </row>
    <row r="318" spans="1:9" x14ac:dyDescent="0.2">
      <c r="A318" s="2">
        <v>17</v>
      </c>
      <c r="B318" s="1" t="s">
        <v>79</v>
      </c>
      <c r="C318" s="4">
        <v>1</v>
      </c>
      <c r="D318" s="8">
        <v>1.0900000000000001</v>
      </c>
      <c r="E318" s="4">
        <v>0</v>
      </c>
      <c r="F318" s="8">
        <v>0</v>
      </c>
      <c r="G318" s="4">
        <v>1</v>
      </c>
      <c r="H318" s="8">
        <v>4.3499999999999996</v>
      </c>
      <c r="I318" s="4">
        <v>0</v>
      </c>
    </row>
    <row r="319" spans="1:9" x14ac:dyDescent="0.2">
      <c r="A319" s="2">
        <v>17</v>
      </c>
      <c r="B319" s="1" t="s">
        <v>80</v>
      </c>
      <c r="C319" s="4">
        <v>1</v>
      </c>
      <c r="D319" s="8">
        <v>1.0900000000000001</v>
      </c>
      <c r="E319" s="4">
        <v>1</v>
      </c>
      <c r="F319" s="8">
        <v>1.79</v>
      </c>
      <c r="G319" s="4">
        <v>0</v>
      </c>
      <c r="H319" s="8">
        <v>0</v>
      </c>
      <c r="I319" s="4">
        <v>0</v>
      </c>
    </row>
    <row r="320" spans="1:9" x14ac:dyDescent="0.2">
      <c r="A320" s="1"/>
      <c r="C320" s="4"/>
      <c r="D320" s="8"/>
      <c r="E320" s="4"/>
      <c r="F320" s="8"/>
      <c r="G320" s="4"/>
      <c r="H320" s="8"/>
      <c r="I320" s="4"/>
    </row>
    <row r="321" spans="1:9" x14ac:dyDescent="0.2">
      <c r="A321" s="1" t="s">
        <v>14</v>
      </c>
      <c r="C321" s="4"/>
      <c r="D321" s="8"/>
      <c r="E321" s="4"/>
      <c r="F321" s="8"/>
      <c r="G321" s="4"/>
      <c r="H321" s="8"/>
      <c r="I321" s="4"/>
    </row>
    <row r="322" spans="1:9" x14ac:dyDescent="0.2">
      <c r="A322" s="2">
        <v>1</v>
      </c>
      <c r="B322" s="1" t="s">
        <v>71</v>
      </c>
      <c r="C322" s="4">
        <v>11</v>
      </c>
      <c r="D322" s="8">
        <v>23.91</v>
      </c>
      <c r="E322" s="4">
        <v>9</v>
      </c>
      <c r="F322" s="8">
        <v>31.03</v>
      </c>
      <c r="G322" s="4">
        <v>1</v>
      </c>
      <c r="H322" s="8">
        <v>7.69</v>
      </c>
      <c r="I322" s="4">
        <v>1</v>
      </c>
    </row>
    <row r="323" spans="1:9" x14ac:dyDescent="0.2">
      <c r="A323" s="2">
        <v>2</v>
      </c>
      <c r="B323" s="1" t="s">
        <v>69</v>
      </c>
      <c r="C323" s="4">
        <v>6</v>
      </c>
      <c r="D323" s="8">
        <v>13.04</v>
      </c>
      <c r="E323" s="4">
        <v>5</v>
      </c>
      <c r="F323" s="8">
        <v>17.239999999999998</v>
      </c>
      <c r="G323" s="4">
        <v>0</v>
      </c>
      <c r="H323" s="8">
        <v>0</v>
      </c>
      <c r="I323" s="4">
        <v>1</v>
      </c>
    </row>
    <row r="324" spans="1:9" x14ac:dyDescent="0.2">
      <c r="A324" s="2">
        <v>3</v>
      </c>
      <c r="B324" s="1" t="s">
        <v>77</v>
      </c>
      <c r="C324" s="4">
        <v>5</v>
      </c>
      <c r="D324" s="8">
        <v>10.87</v>
      </c>
      <c r="E324" s="4">
        <v>5</v>
      </c>
      <c r="F324" s="8">
        <v>17.239999999999998</v>
      </c>
      <c r="G324" s="4">
        <v>0</v>
      </c>
      <c r="H324" s="8">
        <v>0</v>
      </c>
      <c r="I324" s="4">
        <v>0</v>
      </c>
    </row>
    <row r="325" spans="1:9" x14ac:dyDescent="0.2">
      <c r="A325" s="2">
        <v>4</v>
      </c>
      <c r="B325" s="1" t="s">
        <v>76</v>
      </c>
      <c r="C325" s="4">
        <v>4</v>
      </c>
      <c r="D325" s="8">
        <v>8.6999999999999993</v>
      </c>
      <c r="E325" s="4">
        <v>1</v>
      </c>
      <c r="F325" s="8">
        <v>3.45</v>
      </c>
      <c r="G325" s="4">
        <v>3</v>
      </c>
      <c r="H325" s="8">
        <v>23.08</v>
      </c>
      <c r="I325" s="4">
        <v>0</v>
      </c>
    </row>
    <row r="326" spans="1:9" x14ac:dyDescent="0.2">
      <c r="A326" s="2">
        <v>5</v>
      </c>
      <c r="B326" s="1" t="s">
        <v>65</v>
      </c>
      <c r="C326" s="4">
        <v>3</v>
      </c>
      <c r="D326" s="8">
        <v>6.52</v>
      </c>
      <c r="E326" s="4">
        <v>1</v>
      </c>
      <c r="F326" s="8">
        <v>3.45</v>
      </c>
      <c r="G326" s="4">
        <v>2</v>
      </c>
      <c r="H326" s="8">
        <v>15.38</v>
      </c>
      <c r="I326" s="4">
        <v>0</v>
      </c>
    </row>
    <row r="327" spans="1:9" x14ac:dyDescent="0.2">
      <c r="A327" s="2">
        <v>6</v>
      </c>
      <c r="B327" s="1" t="s">
        <v>88</v>
      </c>
      <c r="C327" s="4">
        <v>2</v>
      </c>
      <c r="D327" s="8">
        <v>4.3499999999999996</v>
      </c>
      <c r="E327" s="4">
        <v>2</v>
      </c>
      <c r="F327" s="8">
        <v>6.9</v>
      </c>
      <c r="G327" s="4">
        <v>0</v>
      </c>
      <c r="H327" s="8">
        <v>0</v>
      </c>
      <c r="I327" s="4">
        <v>0</v>
      </c>
    </row>
    <row r="328" spans="1:9" x14ac:dyDescent="0.2">
      <c r="A328" s="2">
        <v>6</v>
      </c>
      <c r="B328" s="1" t="s">
        <v>99</v>
      </c>
      <c r="C328" s="4">
        <v>2</v>
      </c>
      <c r="D328" s="8">
        <v>4.3499999999999996</v>
      </c>
      <c r="E328" s="4">
        <v>2</v>
      </c>
      <c r="F328" s="8">
        <v>6.9</v>
      </c>
      <c r="G328" s="4">
        <v>0</v>
      </c>
      <c r="H328" s="8">
        <v>0</v>
      </c>
      <c r="I328" s="4">
        <v>0</v>
      </c>
    </row>
    <row r="329" spans="1:9" x14ac:dyDescent="0.2">
      <c r="A329" s="2">
        <v>6</v>
      </c>
      <c r="B329" s="1" t="s">
        <v>80</v>
      </c>
      <c r="C329" s="4">
        <v>2</v>
      </c>
      <c r="D329" s="8">
        <v>4.3499999999999996</v>
      </c>
      <c r="E329" s="4">
        <v>0</v>
      </c>
      <c r="F329" s="8">
        <v>0</v>
      </c>
      <c r="G329" s="4">
        <v>2</v>
      </c>
      <c r="H329" s="8">
        <v>15.38</v>
      </c>
      <c r="I329" s="4">
        <v>0</v>
      </c>
    </row>
    <row r="330" spans="1:9" x14ac:dyDescent="0.2">
      <c r="A330" s="2">
        <v>9</v>
      </c>
      <c r="B330" s="1" t="s">
        <v>66</v>
      </c>
      <c r="C330" s="4">
        <v>1</v>
      </c>
      <c r="D330" s="8">
        <v>2.17</v>
      </c>
      <c r="E330" s="4">
        <v>0</v>
      </c>
      <c r="F330" s="8">
        <v>0</v>
      </c>
      <c r="G330" s="4">
        <v>1</v>
      </c>
      <c r="H330" s="8">
        <v>7.69</v>
      </c>
      <c r="I330" s="4">
        <v>0</v>
      </c>
    </row>
    <row r="331" spans="1:9" x14ac:dyDescent="0.2">
      <c r="A331" s="2">
        <v>9</v>
      </c>
      <c r="B331" s="1" t="s">
        <v>98</v>
      </c>
      <c r="C331" s="4">
        <v>1</v>
      </c>
      <c r="D331" s="8">
        <v>2.17</v>
      </c>
      <c r="E331" s="4">
        <v>1</v>
      </c>
      <c r="F331" s="8">
        <v>3.45</v>
      </c>
      <c r="G331" s="4">
        <v>0</v>
      </c>
      <c r="H331" s="8">
        <v>0</v>
      </c>
      <c r="I331" s="4">
        <v>0</v>
      </c>
    </row>
    <row r="332" spans="1:9" x14ac:dyDescent="0.2">
      <c r="A332" s="2">
        <v>9</v>
      </c>
      <c r="B332" s="1" t="s">
        <v>100</v>
      </c>
      <c r="C332" s="4">
        <v>1</v>
      </c>
      <c r="D332" s="8">
        <v>2.17</v>
      </c>
      <c r="E332" s="4">
        <v>0</v>
      </c>
      <c r="F332" s="8">
        <v>0</v>
      </c>
      <c r="G332" s="4">
        <v>1</v>
      </c>
      <c r="H332" s="8">
        <v>7.69</v>
      </c>
      <c r="I332" s="4">
        <v>0</v>
      </c>
    </row>
    <row r="333" spans="1:9" x14ac:dyDescent="0.2">
      <c r="A333" s="2">
        <v>9</v>
      </c>
      <c r="B333" s="1" t="s">
        <v>93</v>
      </c>
      <c r="C333" s="4">
        <v>1</v>
      </c>
      <c r="D333" s="8">
        <v>2.17</v>
      </c>
      <c r="E333" s="4">
        <v>1</v>
      </c>
      <c r="F333" s="8">
        <v>3.45</v>
      </c>
      <c r="G333" s="4">
        <v>0</v>
      </c>
      <c r="H333" s="8">
        <v>0</v>
      </c>
      <c r="I333" s="4">
        <v>0</v>
      </c>
    </row>
    <row r="334" spans="1:9" x14ac:dyDescent="0.2">
      <c r="A334" s="2">
        <v>9</v>
      </c>
      <c r="B334" s="1" t="s">
        <v>86</v>
      </c>
      <c r="C334" s="4">
        <v>1</v>
      </c>
      <c r="D334" s="8">
        <v>2.17</v>
      </c>
      <c r="E334" s="4">
        <v>0</v>
      </c>
      <c r="F334" s="8">
        <v>0</v>
      </c>
      <c r="G334" s="4">
        <v>1</v>
      </c>
      <c r="H334" s="8">
        <v>7.69</v>
      </c>
      <c r="I334" s="4">
        <v>0</v>
      </c>
    </row>
    <row r="335" spans="1:9" x14ac:dyDescent="0.2">
      <c r="A335" s="2">
        <v>9</v>
      </c>
      <c r="B335" s="1" t="s">
        <v>70</v>
      </c>
      <c r="C335" s="4">
        <v>1</v>
      </c>
      <c r="D335" s="8">
        <v>2.17</v>
      </c>
      <c r="E335" s="4">
        <v>1</v>
      </c>
      <c r="F335" s="8">
        <v>3.45</v>
      </c>
      <c r="G335" s="4">
        <v>0</v>
      </c>
      <c r="H335" s="8">
        <v>0</v>
      </c>
      <c r="I335" s="4">
        <v>0</v>
      </c>
    </row>
    <row r="336" spans="1:9" x14ac:dyDescent="0.2">
      <c r="A336" s="2">
        <v>9</v>
      </c>
      <c r="B336" s="1" t="s">
        <v>74</v>
      </c>
      <c r="C336" s="4">
        <v>1</v>
      </c>
      <c r="D336" s="8">
        <v>2.17</v>
      </c>
      <c r="E336" s="4">
        <v>0</v>
      </c>
      <c r="F336" s="8">
        <v>0</v>
      </c>
      <c r="G336" s="4">
        <v>1</v>
      </c>
      <c r="H336" s="8">
        <v>7.69</v>
      </c>
      <c r="I336" s="4">
        <v>0</v>
      </c>
    </row>
    <row r="337" spans="1:9" x14ac:dyDescent="0.2">
      <c r="A337" s="2">
        <v>9</v>
      </c>
      <c r="B337" s="1" t="s">
        <v>79</v>
      </c>
      <c r="C337" s="4">
        <v>1</v>
      </c>
      <c r="D337" s="8">
        <v>2.17</v>
      </c>
      <c r="E337" s="4">
        <v>0</v>
      </c>
      <c r="F337" s="8">
        <v>0</v>
      </c>
      <c r="G337" s="4">
        <v>1</v>
      </c>
      <c r="H337" s="8">
        <v>7.69</v>
      </c>
      <c r="I337" s="4">
        <v>0</v>
      </c>
    </row>
    <row r="338" spans="1:9" x14ac:dyDescent="0.2">
      <c r="A338" s="2">
        <v>9</v>
      </c>
      <c r="B338" s="1" t="s">
        <v>81</v>
      </c>
      <c r="C338" s="4">
        <v>1</v>
      </c>
      <c r="D338" s="8">
        <v>2.17</v>
      </c>
      <c r="E338" s="4">
        <v>0</v>
      </c>
      <c r="F338" s="8">
        <v>0</v>
      </c>
      <c r="G338" s="4">
        <v>0</v>
      </c>
      <c r="H338" s="8">
        <v>0</v>
      </c>
      <c r="I338" s="4">
        <v>1</v>
      </c>
    </row>
    <row r="339" spans="1:9" x14ac:dyDescent="0.2">
      <c r="A339" s="2">
        <v>9</v>
      </c>
      <c r="B339" s="1" t="s">
        <v>82</v>
      </c>
      <c r="C339" s="4">
        <v>1</v>
      </c>
      <c r="D339" s="8">
        <v>2.17</v>
      </c>
      <c r="E339" s="4">
        <v>0</v>
      </c>
      <c r="F339" s="8">
        <v>0</v>
      </c>
      <c r="G339" s="4">
        <v>0</v>
      </c>
      <c r="H339" s="8">
        <v>0</v>
      </c>
      <c r="I339" s="4">
        <v>0</v>
      </c>
    </row>
    <row r="340" spans="1:9" x14ac:dyDescent="0.2">
      <c r="A340" s="2">
        <v>9</v>
      </c>
      <c r="B340" s="1" t="s">
        <v>84</v>
      </c>
      <c r="C340" s="4">
        <v>1</v>
      </c>
      <c r="D340" s="8">
        <v>2.17</v>
      </c>
      <c r="E340" s="4">
        <v>1</v>
      </c>
      <c r="F340" s="8">
        <v>3.45</v>
      </c>
      <c r="G340" s="4">
        <v>0</v>
      </c>
      <c r="H340" s="8">
        <v>0</v>
      </c>
      <c r="I340" s="4">
        <v>0</v>
      </c>
    </row>
    <row r="341" spans="1:9" x14ac:dyDescent="0.2">
      <c r="A341" s="1"/>
      <c r="C341" s="4"/>
      <c r="D341" s="8"/>
      <c r="E341" s="4"/>
      <c r="F341" s="8"/>
      <c r="G341" s="4"/>
      <c r="H341" s="8"/>
      <c r="I341" s="4"/>
    </row>
    <row r="342" spans="1:9" x14ac:dyDescent="0.2">
      <c r="A342" s="1" t="s">
        <v>15</v>
      </c>
      <c r="C342" s="4"/>
      <c r="D342" s="8"/>
      <c r="E342" s="4"/>
      <c r="F342" s="8"/>
      <c r="G342" s="4"/>
      <c r="H342" s="8"/>
      <c r="I342" s="4"/>
    </row>
    <row r="343" spans="1:9" x14ac:dyDescent="0.2">
      <c r="A343" s="2">
        <v>1</v>
      </c>
      <c r="B343" s="1" t="s">
        <v>77</v>
      </c>
      <c r="C343" s="4">
        <v>51</v>
      </c>
      <c r="D343" s="8">
        <v>17.829999999999998</v>
      </c>
      <c r="E343" s="4">
        <v>47</v>
      </c>
      <c r="F343" s="8">
        <v>21.66</v>
      </c>
      <c r="G343" s="4">
        <v>4</v>
      </c>
      <c r="H343" s="8">
        <v>6.67</v>
      </c>
      <c r="I343" s="4">
        <v>0</v>
      </c>
    </row>
    <row r="344" spans="1:9" x14ac:dyDescent="0.2">
      <c r="A344" s="2">
        <v>2</v>
      </c>
      <c r="B344" s="1" t="s">
        <v>76</v>
      </c>
      <c r="C344" s="4">
        <v>36</v>
      </c>
      <c r="D344" s="8">
        <v>12.59</v>
      </c>
      <c r="E344" s="4">
        <v>23</v>
      </c>
      <c r="F344" s="8">
        <v>10.6</v>
      </c>
      <c r="G344" s="4">
        <v>13</v>
      </c>
      <c r="H344" s="8">
        <v>21.67</v>
      </c>
      <c r="I344" s="4">
        <v>0</v>
      </c>
    </row>
    <row r="345" spans="1:9" x14ac:dyDescent="0.2">
      <c r="A345" s="2">
        <v>3</v>
      </c>
      <c r="B345" s="1" t="s">
        <v>71</v>
      </c>
      <c r="C345" s="4">
        <v>33</v>
      </c>
      <c r="D345" s="8">
        <v>11.54</v>
      </c>
      <c r="E345" s="4">
        <v>31</v>
      </c>
      <c r="F345" s="8">
        <v>14.29</v>
      </c>
      <c r="G345" s="4">
        <v>2</v>
      </c>
      <c r="H345" s="8">
        <v>3.33</v>
      </c>
      <c r="I345" s="4">
        <v>0</v>
      </c>
    </row>
    <row r="346" spans="1:9" x14ac:dyDescent="0.2">
      <c r="A346" s="2">
        <v>4</v>
      </c>
      <c r="B346" s="1" t="s">
        <v>69</v>
      </c>
      <c r="C346" s="4">
        <v>23</v>
      </c>
      <c r="D346" s="8">
        <v>8.0399999999999991</v>
      </c>
      <c r="E346" s="4">
        <v>22</v>
      </c>
      <c r="F346" s="8">
        <v>10.14</v>
      </c>
      <c r="G346" s="4">
        <v>1</v>
      </c>
      <c r="H346" s="8">
        <v>1.67</v>
      </c>
      <c r="I346" s="4">
        <v>0</v>
      </c>
    </row>
    <row r="347" spans="1:9" x14ac:dyDescent="0.2">
      <c r="A347" s="2">
        <v>4</v>
      </c>
      <c r="B347" s="1" t="s">
        <v>78</v>
      </c>
      <c r="C347" s="4">
        <v>23</v>
      </c>
      <c r="D347" s="8">
        <v>8.0399999999999991</v>
      </c>
      <c r="E347" s="4">
        <v>22</v>
      </c>
      <c r="F347" s="8">
        <v>10.14</v>
      </c>
      <c r="G347" s="4">
        <v>1</v>
      </c>
      <c r="H347" s="8">
        <v>1.67</v>
      </c>
      <c r="I347" s="4">
        <v>0</v>
      </c>
    </row>
    <row r="348" spans="1:9" x14ac:dyDescent="0.2">
      <c r="A348" s="2">
        <v>6</v>
      </c>
      <c r="B348" s="1" t="s">
        <v>73</v>
      </c>
      <c r="C348" s="4">
        <v>15</v>
      </c>
      <c r="D348" s="8">
        <v>5.24</v>
      </c>
      <c r="E348" s="4">
        <v>12</v>
      </c>
      <c r="F348" s="8">
        <v>5.53</v>
      </c>
      <c r="G348" s="4">
        <v>3</v>
      </c>
      <c r="H348" s="8">
        <v>5</v>
      </c>
      <c r="I348" s="4">
        <v>0</v>
      </c>
    </row>
    <row r="349" spans="1:9" x14ac:dyDescent="0.2">
      <c r="A349" s="2">
        <v>7</v>
      </c>
      <c r="B349" s="1" t="s">
        <v>65</v>
      </c>
      <c r="C349" s="4">
        <v>12</v>
      </c>
      <c r="D349" s="8">
        <v>4.2</v>
      </c>
      <c r="E349" s="4">
        <v>1</v>
      </c>
      <c r="F349" s="8">
        <v>0.46</v>
      </c>
      <c r="G349" s="4">
        <v>11</v>
      </c>
      <c r="H349" s="8">
        <v>18.329999999999998</v>
      </c>
      <c r="I349" s="4">
        <v>0</v>
      </c>
    </row>
    <row r="350" spans="1:9" x14ac:dyDescent="0.2">
      <c r="A350" s="2">
        <v>8</v>
      </c>
      <c r="B350" s="1" t="s">
        <v>66</v>
      </c>
      <c r="C350" s="4">
        <v>9</v>
      </c>
      <c r="D350" s="8">
        <v>3.15</v>
      </c>
      <c r="E350" s="4">
        <v>9</v>
      </c>
      <c r="F350" s="8">
        <v>4.1500000000000004</v>
      </c>
      <c r="G350" s="4">
        <v>0</v>
      </c>
      <c r="H350" s="8">
        <v>0</v>
      </c>
      <c r="I350" s="4">
        <v>0</v>
      </c>
    </row>
    <row r="351" spans="1:9" x14ac:dyDescent="0.2">
      <c r="A351" s="2">
        <v>8</v>
      </c>
      <c r="B351" s="1" t="s">
        <v>81</v>
      </c>
      <c r="C351" s="4">
        <v>9</v>
      </c>
      <c r="D351" s="8">
        <v>3.15</v>
      </c>
      <c r="E351" s="4">
        <v>8</v>
      </c>
      <c r="F351" s="8">
        <v>3.69</v>
      </c>
      <c r="G351" s="4">
        <v>0</v>
      </c>
      <c r="H351" s="8">
        <v>0</v>
      </c>
      <c r="I351" s="4">
        <v>1</v>
      </c>
    </row>
    <row r="352" spans="1:9" x14ac:dyDescent="0.2">
      <c r="A352" s="2">
        <v>10</v>
      </c>
      <c r="B352" s="1" t="s">
        <v>88</v>
      </c>
      <c r="C352" s="4">
        <v>7</v>
      </c>
      <c r="D352" s="8">
        <v>2.4500000000000002</v>
      </c>
      <c r="E352" s="4">
        <v>3</v>
      </c>
      <c r="F352" s="8">
        <v>1.38</v>
      </c>
      <c r="G352" s="4">
        <v>4</v>
      </c>
      <c r="H352" s="8">
        <v>6.67</v>
      </c>
      <c r="I352" s="4">
        <v>0</v>
      </c>
    </row>
    <row r="353" spans="1:9" x14ac:dyDescent="0.2">
      <c r="A353" s="2">
        <v>10</v>
      </c>
      <c r="B353" s="1" t="s">
        <v>84</v>
      </c>
      <c r="C353" s="4">
        <v>7</v>
      </c>
      <c r="D353" s="8">
        <v>2.4500000000000002</v>
      </c>
      <c r="E353" s="4">
        <v>7</v>
      </c>
      <c r="F353" s="8">
        <v>3.23</v>
      </c>
      <c r="G353" s="4">
        <v>0</v>
      </c>
      <c r="H353" s="8">
        <v>0</v>
      </c>
      <c r="I353" s="4">
        <v>0</v>
      </c>
    </row>
    <row r="354" spans="1:9" x14ac:dyDescent="0.2">
      <c r="A354" s="2">
        <v>12</v>
      </c>
      <c r="B354" s="1" t="s">
        <v>80</v>
      </c>
      <c r="C354" s="4">
        <v>6</v>
      </c>
      <c r="D354" s="8">
        <v>2.1</v>
      </c>
      <c r="E354" s="4">
        <v>5</v>
      </c>
      <c r="F354" s="8">
        <v>2.2999999999999998</v>
      </c>
      <c r="G354" s="4">
        <v>1</v>
      </c>
      <c r="H354" s="8">
        <v>1.67</v>
      </c>
      <c r="I354" s="4">
        <v>0</v>
      </c>
    </row>
    <row r="355" spans="1:9" x14ac:dyDescent="0.2">
      <c r="A355" s="2">
        <v>13</v>
      </c>
      <c r="B355" s="1" t="s">
        <v>67</v>
      </c>
      <c r="C355" s="4">
        <v>5</v>
      </c>
      <c r="D355" s="8">
        <v>1.75</v>
      </c>
      <c r="E355" s="4">
        <v>2</v>
      </c>
      <c r="F355" s="8">
        <v>0.92</v>
      </c>
      <c r="G355" s="4">
        <v>3</v>
      </c>
      <c r="H355" s="8">
        <v>5</v>
      </c>
      <c r="I355" s="4">
        <v>0</v>
      </c>
    </row>
    <row r="356" spans="1:9" x14ac:dyDescent="0.2">
      <c r="A356" s="2">
        <v>13</v>
      </c>
      <c r="B356" s="1" t="s">
        <v>70</v>
      </c>
      <c r="C356" s="4">
        <v>5</v>
      </c>
      <c r="D356" s="8">
        <v>1.75</v>
      </c>
      <c r="E356" s="4">
        <v>4</v>
      </c>
      <c r="F356" s="8">
        <v>1.84</v>
      </c>
      <c r="G356" s="4">
        <v>1</v>
      </c>
      <c r="H356" s="8">
        <v>1.67</v>
      </c>
      <c r="I356" s="4">
        <v>0</v>
      </c>
    </row>
    <row r="357" spans="1:9" x14ac:dyDescent="0.2">
      <c r="A357" s="2">
        <v>13</v>
      </c>
      <c r="B357" s="1" t="s">
        <v>83</v>
      </c>
      <c r="C357" s="4">
        <v>5</v>
      </c>
      <c r="D357" s="8">
        <v>1.75</v>
      </c>
      <c r="E357" s="4">
        <v>1</v>
      </c>
      <c r="F357" s="8">
        <v>0.46</v>
      </c>
      <c r="G357" s="4">
        <v>3</v>
      </c>
      <c r="H357" s="8">
        <v>5</v>
      </c>
      <c r="I357" s="4">
        <v>0</v>
      </c>
    </row>
    <row r="358" spans="1:9" x14ac:dyDescent="0.2">
      <c r="A358" s="2">
        <v>13</v>
      </c>
      <c r="B358" s="1" t="s">
        <v>102</v>
      </c>
      <c r="C358" s="4">
        <v>5</v>
      </c>
      <c r="D358" s="8">
        <v>1.75</v>
      </c>
      <c r="E358" s="4">
        <v>0</v>
      </c>
      <c r="F358" s="8">
        <v>0</v>
      </c>
      <c r="G358" s="4">
        <v>0</v>
      </c>
      <c r="H358" s="8">
        <v>0</v>
      </c>
      <c r="I358" s="4">
        <v>5</v>
      </c>
    </row>
    <row r="359" spans="1:9" x14ac:dyDescent="0.2">
      <c r="A359" s="2">
        <v>17</v>
      </c>
      <c r="B359" s="1" t="s">
        <v>91</v>
      </c>
      <c r="C359" s="4">
        <v>4</v>
      </c>
      <c r="D359" s="8">
        <v>1.4</v>
      </c>
      <c r="E359" s="4">
        <v>3</v>
      </c>
      <c r="F359" s="8">
        <v>1.38</v>
      </c>
      <c r="G359" s="4">
        <v>1</v>
      </c>
      <c r="H359" s="8">
        <v>1.67</v>
      </c>
      <c r="I359" s="4">
        <v>0</v>
      </c>
    </row>
    <row r="360" spans="1:9" x14ac:dyDescent="0.2">
      <c r="A360" s="2">
        <v>18</v>
      </c>
      <c r="B360" s="1" t="s">
        <v>94</v>
      </c>
      <c r="C360" s="4">
        <v>3</v>
      </c>
      <c r="D360" s="8">
        <v>1.05</v>
      </c>
      <c r="E360" s="4">
        <v>1</v>
      </c>
      <c r="F360" s="8">
        <v>0.46</v>
      </c>
      <c r="G360" s="4">
        <v>2</v>
      </c>
      <c r="H360" s="8">
        <v>3.33</v>
      </c>
      <c r="I360" s="4">
        <v>0</v>
      </c>
    </row>
    <row r="361" spans="1:9" x14ac:dyDescent="0.2">
      <c r="A361" s="2">
        <v>19</v>
      </c>
      <c r="B361" s="1" t="s">
        <v>97</v>
      </c>
      <c r="C361" s="4">
        <v>2</v>
      </c>
      <c r="D361" s="8">
        <v>0.7</v>
      </c>
      <c r="E361" s="4">
        <v>1</v>
      </c>
      <c r="F361" s="8">
        <v>0.46</v>
      </c>
      <c r="G361" s="4">
        <v>1</v>
      </c>
      <c r="H361" s="8">
        <v>1.67</v>
      </c>
      <c r="I361" s="4">
        <v>0</v>
      </c>
    </row>
    <row r="362" spans="1:9" x14ac:dyDescent="0.2">
      <c r="A362" s="2">
        <v>19</v>
      </c>
      <c r="B362" s="1" t="s">
        <v>98</v>
      </c>
      <c r="C362" s="4">
        <v>2</v>
      </c>
      <c r="D362" s="8">
        <v>0.7</v>
      </c>
      <c r="E362" s="4">
        <v>2</v>
      </c>
      <c r="F362" s="8">
        <v>0.92</v>
      </c>
      <c r="G362" s="4">
        <v>0</v>
      </c>
      <c r="H362" s="8">
        <v>0</v>
      </c>
      <c r="I362" s="4">
        <v>0</v>
      </c>
    </row>
    <row r="363" spans="1:9" x14ac:dyDescent="0.2">
      <c r="A363" s="2">
        <v>19</v>
      </c>
      <c r="B363" s="1" t="s">
        <v>95</v>
      </c>
      <c r="C363" s="4">
        <v>2</v>
      </c>
      <c r="D363" s="8">
        <v>0.7</v>
      </c>
      <c r="E363" s="4">
        <v>1</v>
      </c>
      <c r="F363" s="8">
        <v>0.46</v>
      </c>
      <c r="G363" s="4">
        <v>1</v>
      </c>
      <c r="H363" s="8">
        <v>1.67</v>
      </c>
      <c r="I363" s="4">
        <v>0</v>
      </c>
    </row>
    <row r="364" spans="1:9" x14ac:dyDescent="0.2">
      <c r="A364" s="2">
        <v>19</v>
      </c>
      <c r="B364" s="1" t="s">
        <v>92</v>
      </c>
      <c r="C364" s="4">
        <v>2</v>
      </c>
      <c r="D364" s="8">
        <v>0.7</v>
      </c>
      <c r="E364" s="4">
        <v>2</v>
      </c>
      <c r="F364" s="8">
        <v>0.92</v>
      </c>
      <c r="G364" s="4">
        <v>0</v>
      </c>
      <c r="H364" s="8">
        <v>0</v>
      </c>
      <c r="I364" s="4">
        <v>0</v>
      </c>
    </row>
    <row r="365" spans="1:9" x14ac:dyDescent="0.2">
      <c r="A365" s="2">
        <v>19</v>
      </c>
      <c r="B365" s="1" t="s">
        <v>103</v>
      </c>
      <c r="C365" s="4">
        <v>2</v>
      </c>
      <c r="D365" s="8">
        <v>0.7</v>
      </c>
      <c r="E365" s="4">
        <v>0</v>
      </c>
      <c r="F365" s="8">
        <v>0</v>
      </c>
      <c r="G365" s="4">
        <v>0</v>
      </c>
      <c r="H365" s="8">
        <v>0</v>
      </c>
      <c r="I365" s="4">
        <v>0</v>
      </c>
    </row>
    <row r="366" spans="1:9" x14ac:dyDescent="0.2">
      <c r="A366" s="2">
        <v>19</v>
      </c>
      <c r="B366" s="1" t="s">
        <v>90</v>
      </c>
      <c r="C366" s="4">
        <v>2</v>
      </c>
      <c r="D366" s="8">
        <v>0.7</v>
      </c>
      <c r="E366" s="4">
        <v>0</v>
      </c>
      <c r="F366" s="8">
        <v>0</v>
      </c>
      <c r="G366" s="4">
        <v>2</v>
      </c>
      <c r="H366" s="8">
        <v>3.33</v>
      </c>
      <c r="I366" s="4">
        <v>0</v>
      </c>
    </row>
    <row r="367" spans="1:9" x14ac:dyDescent="0.2">
      <c r="A367" s="2">
        <v>19</v>
      </c>
      <c r="B367" s="1" t="s">
        <v>74</v>
      </c>
      <c r="C367" s="4">
        <v>2</v>
      </c>
      <c r="D367" s="8">
        <v>0.7</v>
      </c>
      <c r="E367" s="4">
        <v>2</v>
      </c>
      <c r="F367" s="8">
        <v>0.92</v>
      </c>
      <c r="G367" s="4">
        <v>0</v>
      </c>
      <c r="H367" s="8">
        <v>0</v>
      </c>
      <c r="I367" s="4">
        <v>0</v>
      </c>
    </row>
    <row r="368" spans="1:9" x14ac:dyDescent="0.2">
      <c r="A368" s="2">
        <v>19</v>
      </c>
      <c r="B368" s="1" t="s">
        <v>75</v>
      </c>
      <c r="C368" s="4">
        <v>2</v>
      </c>
      <c r="D368" s="8">
        <v>0.7</v>
      </c>
      <c r="E368" s="4">
        <v>2</v>
      </c>
      <c r="F368" s="8">
        <v>0.92</v>
      </c>
      <c r="G368" s="4">
        <v>0</v>
      </c>
      <c r="H368" s="8">
        <v>0</v>
      </c>
      <c r="I368" s="4">
        <v>0</v>
      </c>
    </row>
    <row r="369" spans="1:9" x14ac:dyDescent="0.2">
      <c r="A369" s="2">
        <v>19</v>
      </c>
      <c r="B369" s="1" t="s">
        <v>104</v>
      </c>
      <c r="C369" s="4">
        <v>2</v>
      </c>
      <c r="D369" s="8">
        <v>0.7</v>
      </c>
      <c r="E369" s="4">
        <v>2</v>
      </c>
      <c r="F369" s="8">
        <v>0.92</v>
      </c>
      <c r="G369" s="4">
        <v>0</v>
      </c>
      <c r="H369" s="8">
        <v>0</v>
      </c>
      <c r="I369" s="4">
        <v>0</v>
      </c>
    </row>
    <row r="370" spans="1:9" x14ac:dyDescent="0.2">
      <c r="A370" s="1"/>
      <c r="C370" s="4"/>
      <c r="D370" s="8"/>
      <c r="E370" s="4"/>
      <c r="F370" s="8"/>
      <c r="G370" s="4"/>
      <c r="H370" s="8"/>
      <c r="I370" s="4"/>
    </row>
    <row r="371" spans="1:9" x14ac:dyDescent="0.2">
      <c r="A371" s="1" t="s">
        <v>16</v>
      </c>
      <c r="C371" s="4"/>
      <c r="D371" s="8"/>
      <c r="E371" s="4"/>
      <c r="F371" s="8"/>
      <c r="G371" s="4"/>
      <c r="H371" s="8"/>
      <c r="I371" s="4"/>
    </row>
    <row r="372" spans="1:9" x14ac:dyDescent="0.2">
      <c r="A372" s="2">
        <v>1</v>
      </c>
      <c r="B372" s="1" t="s">
        <v>77</v>
      </c>
      <c r="C372" s="4">
        <v>126</v>
      </c>
      <c r="D372" s="8">
        <v>26.75</v>
      </c>
      <c r="E372" s="4">
        <v>112</v>
      </c>
      <c r="F372" s="8">
        <v>29.87</v>
      </c>
      <c r="G372" s="4">
        <v>13</v>
      </c>
      <c r="H372" s="8">
        <v>14.44</v>
      </c>
      <c r="I372" s="4">
        <v>1</v>
      </c>
    </row>
    <row r="373" spans="1:9" x14ac:dyDescent="0.2">
      <c r="A373" s="2">
        <v>2</v>
      </c>
      <c r="B373" s="1" t="s">
        <v>69</v>
      </c>
      <c r="C373" s="4">
        <v>57</v>
      </c>
      <c r="D373" s="8">
        <v>12.1</v>
      </c>
      <c r="E373" s="4">
        <v>57</v>
      </c>
      <c r="F373" s="8">
        <v>15.2</v>
      </c>
      <c r="G373" s="4">
        <v>0</v>
      </c>
      <c r="H373" s="8">
        <v>0</v>
      </c>
      <c r="I373" s="4">
        <v>0</v>
      </c>
    </row>
    <row r="374" spans="1:9" x14ac:dyDescent="0.2">
      <c r="A374" s="2">
        <v>3</v>
      </c>
      <c r="B374" s="1" t="s">
        <v>71</v>
      </c>
      <c r="C374" s="4">
        <v>44</v>
      </c>
      <c r="D374" s="8">
        <v>9.34</v>
      </c>
      <c r="E374" s="4">
        <v>36</v>
      </c>
      <c r="F374" s="8">
        <v>9.6</v>
      </c>
      <c r="G374" s="4">
        <v>8</v>
      </c>
      <c r="H374" s="8">
        <v>8.89</v>
      </c>
      <c r="I374" s="4">
        <v>0</v>
      </c>
    </row>
    <row r="375" spans="1:9" x14ac:dyDescent="0.2">
      <c r="A375" s="2">
        <v>4</v>
      </c>
      <c r="B375" s="1" t="s">
        <v>78</v>
      </c>
      <c r="C375" s="4">
        <v>40</v>
      </c>
      <c r="D375" s="8">
        <v>8.49</v>
      </c>
      <c r="E375" s="4">
        <v>38</v>
      </c>
      <c r="F375" s="8">
        <v>10.130000000000001</v>
      </c>
      <c r="G375" s="4">
        <v>2</v>
      </c>
      <c r="H375" s="8">
        <v>2.2200000000000002</v>
      </c>
      <c r="I375" s="4">
        <v>0</v>
      </c>
    </row>
    <row r="376" spans="1:9" x14ac:dyDescent="0.2">
      <c r="A376" s="2">
        <v>5</v>
      </c>
      <c r="B376" s="1" t="s">
        <v>76</v>
      </c>
      <c r="C376" s="4">
        <v>32</v>
      </c>
      <c r="D376" s="8">
        <v>6.79</v>
      </c>
      <c r="E376" s="4">
        <v>25</v>
      </c>
      <c r="F376" s="8">
        <v>6.67</v>
      </c>
      <c r="G376" s="4">
        <v>7</v>
      </c>
      <c r="H376" s="8">
        <v>7.78</v>
      </c>
      <c r="I376" s="4">
        <v>0</v>
      </c>
    </row>
    <row r="377" spans="1:9" x14ac:dyDescent="0.2">
      <c r="A377" s="2">
        <v>6</v>
      </c>
      <c r="B377" s="1" t="s">
        <v>88</v>
      </c>
      <c r="C377" s="4">
        <v>17</v>
      </c>
      <c r="D377" s="8">
        <v>3.61</v>
      </c>
      <c r="E377" s="4">
        <v>12</v>
      </c>
      <c r="F377" s="8">
        <v>3.2</v>
      </c>
      <c r="G377" s="4">
        <v>5</v>
      </c>
      <c r="H377" s="8">
        <v>5.56</v>
      </c>
      <c r="I377" s="4">
        <v>0</v>
      </c>
    </row>
    <row r="378" spans="1:9" x14ac:dyDescent="0.2">
      <c r="A378" s="2">
        <v>7</v>
      </c>
      <c r="B378" s="1" t="s">
        <v>73</v>
      </c>
      <c r="C378" s="4">
        <v>16</v>
      </c>
      <c r="D378" s="8">
        <v>3.4</v>
      </c>
      <c r="E378" s="4">
        <v>9</v>
      </c>
      <c r="F378" s="8">
        <v>2.4</v>
      </c>
      <c r="G378" s="4">
        <v>7</v>
      </c>
      <c r="H378" s="8">
        <v>7.78</v>
      </c>
      <c r="I378" s="4">
        <v>0</v>
      </c>
    </row>
    <row r="379" spans="1:9" x14ac:dyDescent="0.2">
      <c r="A379" s="2">
        <v>7</v>
      </c>
      <c r="B379" s="1" t="s">
        <v>81</v>
      </c>
      <c r="C379" s="4">
        <v>16</v>
      </c>
      <c r="D379" s="8">
        <v>3.4</v>
      </c>
      <c r="E379" s="4">
        <v>14</v>
      </c>
      <c r="F379" s="8">
        <v>3.73</v>
      </c>
      <c r="G379" s="4">
        <v>0</v>
      </c>
      <c r="H379" s="8">
        <v>0</v>
      </c>
      <c r="I379" s="4">
        <v>2</v>
      </c>
    </row>
    <row r="380" spans="1:9" x14ac:dyDescent="0.2">
      <c r="A380" s="2">
        <v>9</v>
      </c>
      <c r="B380" s="1" t="s">
        <v>65</v>
      </c>
      <c r="C380" s="4">
        <v>14</v>
      </c>
      <c r="D380" s="8">
        <v>2.97</v>
      </c>
      <c r="E380" s="4">
        <v>3</v>
      </c>
      <c r="F380" s="8">
        <v>0.8</v>
      </c>
      <c r="G380" s="4">
        <v>11</v>
      </c>
      <c r="H380" s="8">
        <v>12.22</v>
      </c>
      <c r="I380" s="4">
        <v>0</v>
      </c>
    </row>
    <row r="381" spans="1:9" x14ac:dyDescent="0.2">
      <c r="A381" s="2">
        <v>10</v>
      </c>
      <c r="B381" s="1" t="s">
        <v>80</v>
      </c>
      <c r="C381" s="4">
        <v>10</v>
      </c>
      <c r="D381" s="8">
        <v>2.12</v>
      </c>
      <c r="E381" s="4">
        <v>5</v>
      </c>
      <c r="F381" s="8">
        <v>1.33</v>
      </c>
      <c r="G381" s="4">
        <v>4</v>
      </c>
      <c r="H381" s="8">
        <v>4.4400000000000004</v>
      </c>
      <c r="I381" s="4">
        <v>1</v>
      </c>
    </row>
    <row r="382" spans="1:9" x14ac:dyDescent="0.2">
      <c r="A382" s="2">
        <v>11</v>
      </c>
      <c r="B382" s="1" t="s">
        <v>67</v>
      </c>
      <c r="C382" s="4">
        <v>9</v>
      </c>
      <c r="D382" s="8">
        <v>1.91</v>
      </c>
      <c r="E382" s="4">
        <v>4</v>
      </c>
      <c r="F382" s="8">
        <v>1.07</v>
      </c>
      <c r="G382" s="4">
        <v>5</v>
      </c>
      <c r="H382" s="8">
        <v>5.56</v>
      </c>
      <c r="I382" s="4">
        <v>0</v>
      </c>
    </row>
    <row r="383" spans="1:9" x14ac:dyDescent="0.2">
      <c r="A383" s="2">
        <v>11</v>
      </c>
      <c r="B383" s="1" t="s">
        <v>68</v>
      </c>
      <c r="C383" s="4">
        <v>9</v>
      </c>
      <c r="D383" s="8">
        <v>1.91</v>
      </c>
      <c r="E383" s="4">
        <v>9</v>
      </c>
      <c r="F383" s="8">
        <v>2.4</v>
      </c>
      <c r="G383" s="4">
        <v>0</v>
      </c>
      <c r="H383" s="8">
        <v>0</v>
      </c>
      <c r="I383" s="4">
        <v>0</v>
      </c>
    </row>
    <row r="384" spans="1:9" x14ac:dyDescent="0.2">
      <c r="A384" s="2">
        <v>13</v>
      </c>
      <c r="B384" s="1" t="s">
        <v>89</v>
      </c>
      <c r="C384" s="4">
        <v>8</v>
      </c>
      <c r="D384" s="8">
        <v>1.7</v>
      </c>
      <c r="E384" s="4">
        <v>8</v>
      </c>
      <c r="F384" s="8">
        <v>2.13</v>
      </c>
      <c r="G384" s="4">
        <v>0</v>
      </c>
      <c r="H384" s="8">
        <v>0</v>
      </c>
      <c r="I384" s="4">
        <v>0</v>
      </c>
    </row>
    <row r="385" spans="1:9" x14ac:dyDescent="0.2">
      <c r="A385" s="2">
        <v>13</v>
      </c>
      <c r="B385" s="1" t="s">
        <v>75</v>
      </c>
      <c r="C385" s="4">
        <v>8</v>
      </c>
      <c r="D385" s="8">
        <v>1.7</v>
      </c>
      <c r="E385" s="4">
        <v>5</v>
      </c>
      <c r="F385" s="8">
        <v>1.33</v>
      </c>
      <c r="G385" s="4">
        <v>2</v>
      </c>
      <c r="H385" s="8">
        <v>2.2200000000000002</v>
      </c>
      <c r="I385" s="4">
        <v>0</v>
      </c>
    </row>
    <row r="386" spans="1:9" x14ac:dyDescent="0.2">
      <c r="A386" s="2">
        <v>15</v>
      </c>
      <c r="B386" s="1" t="s">
        <v>66</v>
      </c>
      <c r="C386" s="4">
        <v>6</v>
      </c>
      <c r="D386" s="8">
        <v>1.27</v>
      </c>
      <c r="E386" s="4">
        <v>4</v>
      </c>
      <c r="F386" s="8">
        <v>1.07</v>
      </c>
      <c r="G386" s="4">
        <v>2</v>
      </c>
      <c r="H386" s="8">
        <v>2.2200000000000002</v>
      </c>
      <c r="I386" s="4">
        <v>0</v>
      </c>
    </row>
    <row r="387" spans="1:9" x14ac:dyDescent="0.2">
      <c r="A387" s="2">
        <v>15</v>
      </c>
      <c r="B387" s="1" t="s">
        <v>74</v>
      </c>
      <c r="C387" s="4">
        <v>6</v>
      </c>
      <c r="D387" s="8">
        <v>1.27</v>
      </c>
      <c r="E387" s="4">
        <v>4</v>
      </c>
      <c r="F387" s="8">
        <v>1.07</v>
      </c>
      <c r="G387" s="4">
        <v>2</v>
      </c>
      <c r="H387" s="8">
        <v>2.2200000000000002</v>
      </c>
      <c r="I387" s="4">
        <v>0</v>
      </c>
    </row>
    <row r="388" spans="1:9" x14ac:dyDescent="0.2">
      <c r="A388" s="2">
        <v>15</v>
      </c>
      <c r="B388" s="1" t="s">
        <v>82</v>
      </c>
      <c r="C388" s="4">
        <v>6</v>
      </c>
      <c r="D388" s="8">
        <v>1.27</v>
      </c>
      <c r="E388" s="4">
        <v>4</v>
      </c>
      <c r="F388" s="8">
        <v>1.07</v>
      </c>
      <c r="G388" s="4">
        <v>2</v>
      </c>
      <c r="H388" s="8">
        <v>2.2200000000000002</v>
      </c>
      <c r="I388" s="4">
        <v>0</v>
      </c>
    </row>
    <row r="389" spans="1:9" x14ac:dyDescent="0.2">
      <c r="A389" s="2">
        <v>18</v>
      </c>
      <c r="B389" s="1" t="s">
        <v>95</v>
      </c>
      <c r="C389" s="4">
        <v>4</v>
      </c>
      <c r="D389" s="8">
        <v>0.85</v>
      </c>
      <c r="E389" s="4">
        <v>3</v>
      </c>
      <c r="F389" s="8">
        <v>0.8</v>
      </c>
      <c r="G389" s="4">
        <v>1</v>
      </c>
      <c r="H389" s="8">
        <v>1.1100000000000001</v>
      </c>
      <c r="I389" s="4">
        <v>0</v>
      </c>
    </row>
    <row r="390" spans="1:9" x14ac:dyDescent="0.2">
      <c r="A390" s="2">
        <v>18</v>
      </c>
      <c r="B390" s="1" t="s">
        <v>92</v>
      </c>
      <c r="C390" s="4">
        <v>4</v>
      </c>
      <c r="D390" s="8">
        <v>0.85</v>
      </c>
      <c r="E390" s="4">
        <v>4</v>
      </c>
      <c r="F390" s="8">
        <v>1.07</v>
      </c>
      <c r="G390" s="4">
        <v>0</v>
      </c>
      <c r="H390" s="8">
        <v>0</v>
      </c>
      <c r="I390" s="4">
        <v>0</v>
      </c>
    </row>
    <row r="391" spans="1:9" x14ac:dyDescent="0.2">
      <c r="A391" s="2">
        <v>18</v>
      </c>
      <c r="B391" s="1" t="s">
        <v>86</v>
      </c>
      <c r="C391" s="4">
        <v>4</v>
      </c>
      <c r="D391" s="8">
        <v>0.85</v>
      </c>
      <c r="E391" s="4">
        <v>2</v>
      </c>
      <c r="F391" s="8">
        <v>0.53</v>
      </c>
      <c r="G391" s="4">
        <v>2</v>
      </c>
      <c r="H391" s="8">
        <v>2.2200000000000002</v>
      </c>
      <c r="I391" s="4">
        <v>0</v>
      </c>
    </row>
    <row r="392" spans="1:9" x14ac:dyDescent="0.2">
      <c r="A392" s="2">
        <v>18</v>
      </c>
      <c r="B392" s="1" t="s">
        <v>70</v>
      </c>
      <c r="C392" s="4">
        <v>4</v>
      </c>
      <c r="D392" s="8">
        <v>0.85</v>
      </c>
      <c r="E392" s="4">
        <v>4</v>
      </c>
      <c r="F392" s="8">
        <v>1.07</v>
      </c>
      <c r="G392" s="4">
        <v>0</v>
      </c>
      <c r="H392" s="8">
        <v>0</v>
      </c>
      <c r="I392" s="4">
        <v>0</v>
      </c>
    </row>
    <row r="393" spans="1:9" x14ac:dyDescent="0.2">
      <c r="A393" s="2">
        <v>18</v>
      </c>
      <c r="B393" s="1" t="s">
        <v>91</v>
      </c>
      <c r="C393" s="4">
        <v>4</v>
      </c>
      <c r="D393" s="8">
        <v>0.85</v>
      </c>
      <c r="E393" s="4">
        <v>4</v>
      </c>
      <c r="F393" s="8">
        <v>1.07</v>
      </c>
      <c r="G393" s="4">
        <v>0</v>
      </c>
      <c r="H393" s="8">
        <v>0</v>
      </c>
      <c r="I393" s="4">
        <v>0</v>
      </c>
    </row>
    <row r="394" spans="1:9" x14ac:dyDescent="0.2">
      <c r="A394" s="1"/>
      <c r="C394" s="4"/>
      <c r="D394" s="8"/>
      <c r="E394" s="4"/>
      <c r="F394" s="8"/>
      <c r="G394" s="4"/>
      <c r="H394" s="8"/>
      <c r="I394" s="4"/>
    </row>
    <row r="395" spans="1:9" x14ac:dyDescent="0.2">
      <c r="A395" s="1" t="s">
        <v>17</v>
      </c>
      <c r="C395" s="4"/>
      <c r="D395" s="8"/>
      <c r="E395" s="4"/>
      <c r="F395" s="8"/>
      <c r="G395" s="4"/>
      <c r="H395" s="8"/>
      <c r="I395" s="4"/>
    </row>
    <row r="396" spans="1:9" x14ac:dyDescent="0.2">
      <c r="A396" s="2">
        <v>1</v>
      </c>
      <c r="B396" s="1" t="s">
        <v>71</v>
      </c>
      <c r="C396" s="4">
        <v>24</v>
      </c>
      <c r="D396" s="8">
        <v>12.12</v>
      </c>
      <c r="E396" s="4">
        <v>16</v>
      </c>
      <c r="F396" s="8">
        <v>14.41</v>
      </c>
      <c r="G396" s="4">
        <v>8</v>
      </c>
      <c r="H396" s="8">
        <v>9.41</v>
      </c>
      <c r="I396" s="4">
        <v>0</v>
      </c>
    </row>
    <row r="397" spans="1:9" x14ac:dyDescent="0.2">
      <c r="A397" s="2">
        <v>2</v>
      </c>
      <c r="B397" s="1" t="s">
        <v>69</v>
      </c>
      <c r="C397" s="4">
        <v>22</v>
      </c>
      <c r="D397" s="8">
        <v>11.11</v>
      </c>
      <c r="E397" s="4">
        <v>18</v>
      </c>
      <c r="F397" s="8">
        <v>16.22</v>
      </c>
      <c r="G397" s="4">
        <v>4</v>
      </c>
      <c r="H397" s="8">
        <v>4.71</v>
      </c>
      <c r="I397" s="4">
        <v>0</v>
      </c>
    </row>
    <row r="398" spans="1:9" x14ac:dyDescent="0.2">
      <c r="A398" s="2">
        <v>3</v>
      </c>
      <c r="B398" s="1" t="s">
        <v>80</v>
      </c>
      <c r="C398" s="4">
        <v>18</v>
      </c>
      <c r="D398" s="8">
        <v>9.09</v>
      </c>
      <c r="E398" s="4">
        <v>6</v>
      </c>
      <c r="F398" s="8">
        <v>5.41</v>
      </c>
      <c r="G398" s="4">
        <v>12</v>
      </c>
      <c r="H398" s="8">
        <v>14.12</v>
      </c>
      <c r="I398" s="4">
        <v>0</v>
      </c>
    </row>
    <row r="399" spans="1:9" x14ac:dyDescent="0.2">
      <c r="A399" s="2">
        <v>4</v>
      </c>
      <c r="B399" s="1" t="s">
        <v>73</v>
      </c>
      <c r="C399" s="4">
        <v>15</v>
      </c>
      <c r="D399" s="8">
        <v>7.58</v>
      </c>
      <c r="E399" s="4">
        <v>8</v>
      </c>
      <c r="F399" s="8">
        <v>7.21</v>
      </c>
      <c r="G399" s="4">
        <v>7</v>
      </c>
      <c r="H399" s="8">
        <v>8.24</v>
      </c>
      <c r="I399" s="4">
        <v>0</v>
      </c>
    </row>
    <row r="400" spans="1:9" x14ac:dyDescent="0.2">
      <c r="A400" s="2">
        <v>4</v>
      </c>
      <c r="B400" s="1" t="s">
        <v>77</v>
      </c>
      <c r="C400" s="4">
        <v>15</v>
      </c>
      <c r="D400" s="8">
        <v>7.58</v>
      </c>
      <c r="E400" s="4">
        <v>12</v>
      </c>
      <c r="F400" s="8">
        <v>10.81</v>
      </c>
      <c r="G400" s="4">
        <v>3</v>
      </c>
      <c r="H400" s="8">
        <v>3.53</v>
      </c>
      <c r="I400" s="4">
        <v>0</v>
      </c>
    </row>
    <row r="401" spans="1:9" x14ac:dyDescent="0.2">
      <c r="A401" s="2">
        <v>6</v>
      </c>
      <c r="B401" s="1" t="s">
        <v>65</v>
      </c>
      <c r="C401" s="4">
        <v>14</v>
      </c>
      <c r="D401" s="8">
        <v>7.07</v>
      </c>
      <c r="E401" s="4">
        <v>0</v>
      </c>
      <c r="F401" s="8">
        <v>0</v>
      </c>
      <c r="G401" s="4">
        <v>14</v>
      </c>
      <c r="H401" s="8">
        <v>16.47</v>
      </c>
      <c r="I401" s="4">
        <v>0</v>
      </c>
    </row>
    <row r="402" spans="1:9" x14ac:dyDescent="0.2">
      <c r="A402" s="2">
        <v>7</v>
      </c>
      <c r="B402" s="1" t="s">
        <v>76</v>
      </c>
      <c r="C402" s="4">
        <v>10</v>
      </c>
      <c r="D402" s="8">
        <v>5.05</v>
      </c>
      <c r="E402" s="4">
        <v>5</v>
      </c>
      <c r="F402" s="8">
        <v>4.5</v>
      </c>
      <c r="G402" s="4">
        <v>5</v>
      </c>
      <c r="H402" s="8">
        <v>5.88</v>
      </c>
      <c r="I402" s="4">
        <v>0</v>
      </c>
    </row>
    <row r="403" spans="1:9" x14ac:dyDescent="0.2">
      <c r="A403" s="2">
        <v>8</v>
      </c>
      <c r="B403" s="1" t="s">
        <v>78</v>
      </c>
      <c r="C403" s="4">
        <v>9</v>
      </c>
      <c r="D403" s="8">
        <v>4.55</v>
      </c>
      <c r="E403" s="4">
        <v>9</v>
      </c>
      <c r="F403" s="8">
        <v>8.11</v>
      </c>
      <c r="G403" s="4">
        <v>0</v>
      </c>
      <c r="H403" s="8">
        <v>0</v>
      </c>
      <c r="I403" s="4">
        <v>0</v>
      </c>
    </row>
    <row r="404" spans="1:9" x14ac:dyDescent="0.2">
      <c r="A404" s="2">
        <v>8</v>
      </c>
      <c r="B404" s="1" t="s">
        <v>81</v>
      </c>
      <c r="C404" s="4">
        <v>9</v>
      </c>
      <c r="D404" s="8">
        <v>4.55</v>
      </c>
      <c r="E404" s="4">
        <v>6</v>
      </c>
      <c r="F404" s="8">
        <v>5.41</v>
      </c>
      <c r="G404" s="4">
        <v>2</v>
      </c>
      <c r="H404" s="8">
        <v>2.35</v>
      </c>
      <c r="I404" s="4">
        <v>1</v>
      </c>
    </row>
    <row r="405" spans="1:9" x14ac:dyDescent="0.2">
      <c r="A405" s="2">
        <v>10</v>
      </c>
      <c r="B405" s="1" t="s">
        <v>67</v>
      </c>
      <c r="C405" s="4">
        <v>6</v>
      </c>
      <c r="D405" s="8">
        <v>3.03</v>
      </c>
      <c r="E405" s="4">
        <v>0</v>
      </c>
      <c r="F405" s="8">
        <v>0</v>
      </c>
      <c r="G405" s="4">
        <v>6</v>
      </c>
      <c r="H405" s="8">
        <v>7.06</v>
      </c>
      <c r="I405" s="4">
        <v>0</v>
      </c>
    </row>
    <row r="406" spans="1:9" x14ac:dyDescent="0.2">
      <c r="A406" s="2">
        <v>10</v>
      </c>
      <c r="B406" s="1" t="s">
        <v>79</v>
      </c>
      <c r="C406" s="4">
        <v>6</v>
      </c>
      <c r="D406" s="8">
        <v>3.03</v>
      </c>
      <c r="E406" s="4">
        <v>3</v>
      </c>
      <c r="F406" s="8">
        <v>2.7</v>
      </c>
      <c r="G406" s="4">
        <v>3</v>
      </c>
      <c r="H406" s="8">
        <v>3.53</v>
      </c>
      <c r="I406" s="4">
        <v>0</v>
      </c>
    </row>
    <row r="407" spans="1:9" x14ac:dyDescent="0.2">
      <c r="A407" s="2">
        <v>12</v>
      </c>
      <c r="B407" s="1" t="s">
        <v>88</v>
      </c>
      <c r="C407" s="4">
        <v>5</v>
      </c>
      <c r="D407" s="8">
        <v>2.5299999999999998</v>
      </c>
      <c r="E407" s="4">
        <v>3</v>
      </c>
      <c r="F407" s="8">
        <v>2.7</v>
      </c>
      <c r="G407" s="4">
        <v>2</v>
      </c>
      <c r="H407" s="8">
        <v>2.35</v>
      </c>
      <c r="I407" s="4">
        <v>0</v>
      </c>
    </row>
    <row r="408" spans="1:9" x14ac:dyDescent="0.2">
      <c r="A408" s="2">
        <v>13</v>
      </c>
      <c r="B408" s="1" t="s">
        <v>95</v>
      </c>
      <c r="C408" s="4">
        <v>4</v>
      </c>
      <c r="D408" s="8">
        <v>2.02</v>
      </c>
      <c r="E408" s="4">
        <v>4</v>
      </c>
      <c r="F408" s="8">
        <v>3.6</v>
      </c>
      <c r="G408" s="4">
        <v>0</v>
      </c>
      <c r="H408" s="8">
        <v>0</v>
      </c>
      <c r="I408" s="4">
        <v>0</v>
      </c>
    </row>
    <row r="409" spans="1:9" x14ac:dyDescent="0.2">
      <c r="A409" s="2">
        <v>13</v>
      </c>
      <c r="B409" s="1" t="s">
        <v>72</v>
      </c>
      <c r="C409" s="4">
        <v>4</v>
      </c>
      <c r="D409" s="8">
        <v>2.02</v>
      </c>
      <c r="E409" s="4">
        <v>0</v>
      </c>
      <c r="F409" s="8">
        <v>0</v>
      </c>
      <c r="G409" s="4">
        <v>4</v>
      </c>
      <c r="H409" s="8">
        <v>4.71</v>
      </c>
      <c r="I409" s="4">
        <v>0</v>
      </c>
    </row>
    <row r="410" spans="1:9" x14ac:dyDescent="0.2">
      <c r="A410" s="2">
        <v>13</v>
      </c>
      <c r="B410" s="1" t="s">
        <v>84</v>
      </c>
      <c r="C410" s="4">
        <v>4</v>
      </c>
      <c r="D410" s="8">
        <v>2.02</v>
      </c>
      <c r="E410" s="4">
        <v>4</v>
      </c>
      <c r="F410" s="8">
        <v>3.6</v>
      </c>
      <c r="G410" s="4">
        <v>0</v>
      </c>
      <c r="H410" s="8">
        <v>0</v>
      </c>
      <c r="I410" s="4">
        <v>0</v>
      </c>
    </row>
    <row r="411" spans="1:9" x14ac:dyDescent="0.2">
      <c r="A411" s="2">
        <v>16</v>
      </c>
      <c r="B411" s="1" t="s">
        <v>104</v>
      </c>
      <c r="C411" s="4">
        <v>3</v>
      </c>
      <c r="D411" s="8">
        <v>1.52</v>
      </c>
      <c r="E411" s="4">
        <v>0</v>
      </c>
      <c r="F411" s="8">
        <v>0</v>
      </c>
      <c r="G411" s="4">
        <v>2</v>
      </c>
      <c r="H411" s="8">
        <v>2.35</v>
      </c>
      <c r="I411" s="4">
        <v>0</v>
      </c>
    </row>
    <row r="412" spans="1:9" x14ac:dyDescent="0.2">
      <c r="A412" s="2">
        <v>17</v>
      </c>
      <c r="B412" s="1" t="s">
        <v>66</v>
      </c>
      <c r="C412" s="4">
        <v>2</v>
      </c>
      <c r="D412" s="8">
        <v>1.01</v>
      </c>
      <c r="E412" s="4">
        <v>1</v>
      </c>
      <c r="F412" s="8">
        <v>0.9</v>
      </c>
      <c r="G412" s="4">
        <v>1</v>
      </c>
      <c r="H412" s="8">
        <v>1.18</v>
      </c>
      <c r="I412" s="4">
        <v>0</v>
      </c>
    </row>
    <row r="413" spans="1:9" x14ac:dyDescent="0.2">
      <c r="A413" s="2">
        <v>17</v>
      </c>
      <c r="B413" s="1" t="s">
        <v>92</v>
      </c>
      <c r="C413" s="4">
        <v>2</v>
      </c>
      <c r="D413" s="8">
        <v>1.01</v>
      </c>
      <c r="E413" s="4">
        <v>1</v>
      </c>
      <c r="F413" s="8">
        <v>0.9</v>
      </c>
      <c r="G413" s="4">
        <v>1</v>
      </c>
      <c r="H413" s="8">
        <v>1.18</v>
      </c>
      <c r="I413" s="4">
        <v>0</v>
      </c>
    </row>
    <row r="414" spans="1:9" x14ac:dyDescent="0.2">
      <c r="A414" s="2">
        <v>17</v>
      </c>
      <c r="B414" s="1" t="s">
        <v>105</v>
      </c>
      <c r="C414" s="4">
        <v>2</v>
      </c>
      <c r="D414" s="8">
        <v>1.01</v>
      </c>
      <c r="E414" s="4">
        <v>1</v>
      </c>
      <c r="F414" s="8">
        <v>0.9</v>
      </c>
      <c r="G414" s="4">
        <v>1</v>
      </c>
      <c r="H414" s="8">
        <v>1.18</v>
      </c>
      <c r="I414" s="4">
        <v>0</v>
      </c>
    </row>
    <row r="415" spans="1:9" x14ac:dyDescent="0.2">
      <c r="A415" s="2">
        <v>17</v>
      </c>
      <c r="B415" s="1" t="s">
        <v>89</v>
      </c>
      <c r="C415" s="4">
        <v>2</v>
      </c>
      <c r="D415" s="8">
        <v>1.01</v>
      </c>
      <c r="E415" s="4">
        <v>2</v>
      </c>
      <c r="F415" s="8">
        <v>1.8</v>
      </c>
      <c r="G415" s="4">
        <v>0</v>
      </c>
      <c r="H415" s="8">
        <v>0</v>
      </c>
      <c r="I415" s="4">
        <v>0</v>
      </c>
    </row>
    <row r="416" spans="1:9" x14ac:dyDescent="0.2">
      <c r="A416" s="2">
        <v>17</v>
      </c>
      <c r="B416" s="1" t="s">
        <v>68</v>
      </c>
      <c r="C416" s="4">
        <v>2</v>
      </c>
      <c r="D416" s="8">
        <v>1.01</v>
      </c>
      <c r="E416" s="4">
        <v>1</v>
      </c>
      <c r="F416" s="8">
        <v>0.9</v>
      </c>
      <c r="G416" s="4">
        <v>1</v>
      </c>
      <c r="H416" s="8">
        <v>1.18</v>
      </c>
      <c r="I416" s="4">
        <v>0</v>
      </c>
    </row>
    <row r="417" spans="1:9" x14ac:dyDescent="0.2">
      <c r="A417" s="2">
        <v>17</v>
      </c>
      <c r="B417" s="1" t="s">
        <v>75</v>
      </c>
      <c r="C417" s="4">
        <v>2</v>
      </c>
      <c r="D417" s="8">
        <v>1.01</v>
      </c>
      <c r="E417" s="4">
        <v>1</v>
      </c>
      <c r="F417" s="8">
        <v>0.9</v>
      </c>
      <c r="G417" s="4">
        <v>1</v>
      </c>
      <c r="H417" s="8">
        <v>1.18</v>
      </c>
      <c r="I417" s="4">
        <v>0</v>
      </c>
    </row>
    <row r="418" spans="1:9" x14ac:dyDescent="0.2">
      <c r="A418" s="2">
        <v>17</v>
      </c>
      <c r="B418" s="1" t="s">
        <v>82</v>
      </c>
      <c r="C418" s="4">
        <v>2</v>
      </c>
      <c r="D418" s="8">
        <v>1.01</v>
      </c>
      <c r="E418" s="4">
        <v>2</v>
      </c>
      <c r="F418" s="8">
        <v>1.8</v>
      </c>
      <c r="G418" s="4">
        <v>0</v>
      </c>
      <c r="H418" s="8">
        <v>0</v>
      </c>
      <c r="I418" s="4">
        <v>0</v>
      </c>
    </row>
    <row r="419" spans="1:9" x14ac:dyDescent="0.2">
      <c r="A419" s="2">
        <v>17</v>
      </c>
      <c r="B419" s="1" t="s">
        <v>83</v>
      </c>
      <c r="C419" s="4">
        <v>2</v>
      </c>
      <c r="D419" s="8">
        <v>1.01</v>
      </c>
      <c r="E419" s="4">
        <v>0</v>
      </c>
      <c r="F419" s="8">
        <v>0</v>
      </c>
      <c r="G419" s="4">
        <v>2</v>
      </c>
      <c r="H419" s="8">
        <v>2.35</v>
      </c>
      <c r="I419" s="4">
        <v>0</v>
      </c>
    </row>
    <row r="420" spans="1:9" x14ac:dyDescent="0.2">
      <c r="A420" s="2">
        <v>17</v>
      </c>
      <c r="B420" s="1" t="s">
        <v>87</v>
      </c>
      <c r="C420" s="4">
        <v>2</v>
      </c>
      <c r="D420" s="8">
        <v>1.01</v>
      </c>
      <c r="E420" s="4">
        <v>1</v>
      </c>
      <c r="F420" s="8">
        <v>0.9</v>
      </c>
      <c r="G420" s="4">
        <v>1</v>
      </c>
      <c r="H420" s="8">
        <v>1.18</v>
      </c>
      <c r="I420" s="4">
        <v>0</v>
      </c>
    </row>
    <row r="421" spans="1:9" x14ac:dyDescent="0.2">
      <c r="A421" s="1"/>
      <c r="C421" s="4"/>
      <c r="D421" s="8"/>
      <c r="E421" s="4"/>
      <c r="F421" s="8"/>
      <c r="G421" s="4"/>
      <c r="H421" s="8"/>
      <c r="I421" s="4"/>
    </row>
    <row r="422" spans="1:9" x14ac:dyDescent="0.2">
      <c r="A422" s="1" t="s">
        <v>18</v>
      </c>
      <c r="C422" s="4"/>
      <c r="D422" s="8"/>
      <c r="E422" s="4"/>
      <c r="F422" s="8"/>
      <c r="G422" s="4"/>
      <c r="H422" s="8"/>
      <c r="I422" s="4"/>
    </row>
    <row r="423" spans="1:9" x14ac:dyDescent="0.2">
      <c r="A423" s="2">
        <v>1</v>
      </c>
      <c r="B423" s="1" t="s">
        <v>77</v>
      </c>
      <c r="C423" s="4">
        <v>13</v>
      </c>
      <c r="D423" s="8">
        <v>8.7200000000000006</v>
      </c>
      <c r="E423" s="4">
        <v>12</v>
      </c>
      <c r="F423" s="8">
        <v>12.24</v>
      </c>
      <c r="G423" s="4">
        <v>1</v>
      </c>
      <c r="H423" s="8">
        <v>2.56</v>
      </c>
      <c r="I423" s="4">
        <v>0</v>
      </c>
    </row>
    <row r="424" spans="1:9" x14ac:dyDescent="0.2">
      <c r="A424" s="2">
        <v>2</v>
      </c>
      <c r="B424" s="1" t="s">
        <v>65</v>
      </c>
      <c r="C424" s="4">
        <v>11</v>
      </c>
      <c r="D424" s="8">
        <v>7.38</v>
      </c>
      <c r="E424" s="4">
        <v>2</v>
      </c>
      <c r="F424" s="8">
        <v>2.04</v>
      </c>
      <c r="G424" s="4">
        <v>9</v>
      </c>
      <c r="H424" s="8">
        <v>23.08</v>
      </c>
      <c r="I424" s="4">
        <v>0</v>
      </c>
    </row>
    <row r="425" spans="1:9" x14ac:dyDescent="0.2">
      <c r="A425" s="2">
        <v>2</v>
      </c>
      <c r="B425" s="1" t="s">
        <v>73</v>
      </c>
      <c r="C425" s="4">
        <v>11</v>
      </c>
      <c r="D425" s="8">
        <v>7.38</v>
      </c>
      <c r="E425" s="4">
        <v>9</v>
      </c>
      <c r="F425" s="8">
        <v>9.18</v>
      </c>
      <c r="G425" s="4">
        <v>2</v>
      </c>
      <c r="H425" s="8">
        <v>5.13</v>
      </c>
      <c r="I425" s="4">
        <v>0</v>
      </c>
    </row>
    <row r="426" spans="1:9" x14ac:dyDescent="0.2">
      <c r="A426" s="2">
        <v>4</v>
      </c>
      <c r="B426" s="1" t="s">
        <v>67</v>
      </c>
      <c r="C426" s="4">
        <v>10</v>
      </c>
      <c r="D426" s="8">
        <v>6.71</v>
      </c>
      <c r="E426" s="4">
        <v>6</v>
      </c>
      <c r="F426" s="8">
        <v>6.12</v>
      </c>
      <c r="G426" s="4">
        <v>4</v>
      </c>
      <c r="H426" s="8">
        <v>10.26</v>
      </c>
      <c r="I426" s="4">
        <v>0</v>
      </c>
    </row>
    <row r="427" spans="1:9" x14ac:dyDescent="0.2">
      <c r="A427" s="2">
        <v>4</v>
      </c>
      <c r="B427" s="1" t="s">
        <v>69</v>
      </c>
      <c r="C427" s="4">
        <v>10</v>
      </c>
      <c r="D427" s="8">
        <v>6.71</v>
      </c>
      <c r="E427" s="4">
        <v>10</v>
      </c>
      <c r="F427" s="8">
        <v>10.199999999999999</v>
      </c>
      <c r="G427" s="4">
        <v>0</v>
      </c>
      <c r="H427" s="8">
        <v>0</v>
      </c>
      <c r="I427" s="4">
        <v>0</v>
      </c>
    </row>
    <row r="428" spans="1:9" x14ac:dyDescent="0.2">
      <c r="A428" s="2">
        <v>4</v>
      </c>
      <c r="B428" s="1" t="s">
        <v>78</v>
      </c>
      <c r="C428" s="4">
        <v>10</v>
      </c>
      <c r="D428" s="8">
        <v>6.71</v>
      </c>
      <c r="E428" s="4">
        <v>10</v>
      </c>
      <c r="F428" s="8">
        <v>10.199999999999999</v>
      </c>
      <c r="G428" s="4">
        <v>0</v>
      </c>
      <c r="H428" s="8">
        <v>0</v>
      </c>
      <c r="I428" s="4">
        <v>0</v>
      </c>
    </row>
    <row r="429" spans="1:9" x14ac:dyDescent="0.2">
      <c r="A429" s="2">
        <v>4</v>
      </c>
      <c r="B429" s="1" t="s">
        <v>80</v>
      </c>
      <c r="C429" s="4">
        <v>10</v>
      </c>
      <c r="D429" s="8">
        <v>6.71</v>
      </c>
      <c r="E429" s="4">
        <v>4</v>
      </c>
      <c r="F429" s="8">
        <v>4.08</v>
      </c>
      <c r="G429" s="4">
        <v>0</v>
      </c>
      <c r="H429" s="8">
        <v>0</v>
      </c>
      <c r="I429" s="4">
        <v>1</v>
      </c>
    </row>
    <row r="430" spans="1:9" x14ac:dyDescent="0.2">
      <c r="A430" s="2">
        <v>8</v>
      </c>
      <c r="B430" s="1" t="s">
        <v>71</v>
      </c>
      <c r="C430" s="4">
        <v>9</v>
      </c>
      <c r="D430" s="8">
        <v>6.04</v>
      </c>
      <c r="E430" s="4">
        <v>8</v>
      </c>
      <c r="F430" s="8">
        <v>8.16</v>
      </c>
      <c r="G430" s="4">
        <v>1</v>
      </c>
      <c r="H430" s="8">
        <v>2.56</v>
      </c>
      <c r="I430" s="4">
        <v>0</v>
      </c>
    </row>
    <row r="431" spans="1:9" x14ac:dyDescent="0.2">
      <c r="A431" s="2">
        <v>9</v>
      </c>
      <c r="B431" s="1" t="s">
        <v>81</v>
      </c>
      <c r="C431" s="4">
        <v>8</v>
      </c>
      <c r="D431" s="8">
        <v>5.37</v>
      </c>
      <c r="E431" s="4">
        <v>6</v>
      </c>
      <c r="F431" s="8">
        <v>6.12</v>
      </c>
      <c r="G431" s="4">
        <v>1</v>
      </c>
      <c r="H431" s="8">
        <v>2.56</v>
      </c>
      <c r="I431" s="4">
        <v>0</v>
      </c>
    </row>
    <row r="432" spans="1:9" x14ac:dyDescent="0.2">
      <c r="A432" s="2">
        <v>10</v>
      </c>
      <c r="B432" s="1" t="s">
        <v>83</v>
      </c>
      <c r="C432" s="4">
        <v>6</v>
      </c>
      <c r="D432" s="8">
        <v>4.03</v>
      </c>
      <c r="E432" s="4">
        <v>1</v>
      </c>
      <c r="F432" s="8">
        <v>1.02</v>
      </c>
      <c r="G432" s="4">
        <v>4</v>
      </c>
      <c r="H432" s="8">
        <v>10.26</v>
      </c>
      <c r="I432" s="4">
        <v>0</v>
      </c>
    </row>
    <row r="433" spans="1:9" x14ac:dyDescent="0.2">
      <c r="A433" s="2">
        <v>11</v>
      </c>
      <c r="B433" s="1" t="s">
        <v>91</v>
      </c>
      <c r="C433" s="4">
        <v>5</v>
      </c>
      <c r="D433" s="8">
        <v>3.36</v>
      </c>
      <c r="E433" s="4">
        <v>4</v>
      </c>
      <c r="F433" s="8">
        <v>4.08</v>
      </c>
      <c r="G433" s="4">
        <v>1</v>
      </c>
      <c r="H433" s="8">
        <v>2.56</v>
      </c>
      <c r="I433" s="4">
        <v>0</v>
      </c>
    </row>
    <row r="434" spans="1:9" x14ac:dyDescent="0.2">
      <c r="A434" s="2">
        <v>12</v>
      </c>
      <c r="B434" s="1" t="s">
        <v>89</v>
      </c>
      <c r="C434" s="4">
        <v>4</v>
      </c>
      <c r="D434" s="8">
        <v>2.68</v>
      </c>
      <c r="E434" s="4">
        <v>4</v>
      </c>
      <c r="F434" s="8">
        <v>4.08</v>
      </c>
      <c r="G434" s="4">
        <v>0</v>
      </c>
      <c r="H434" s="8">
        <v>0</v>
      </c>
      <c r="I434" s="4">
        <v>0</v>
      </c>
    </row>
    <row r="435" spans="1:9" x14ac:dyDescent="0.2">
      <c r="A435" s="2">
        <v>12</v>
      </c>
      <c r="B435" s="1" t="s">
        <v>76</v>
      </c>
      <c r="C435" s="4">
        <v>4</v>
      </c>
      <c r="D435" s="8">
        <v>2.68</v>
      </c>
      <c r="E435" s="4">
        <v>3</v>
      </c>
      <c r="F435" s="8">
        <v>3.06</v>
      </c>
      <c r="G435" s="4">
        <v>1</v>
      </c>
      <c r="H435" s="8">
        <v>2.56</v>
      </c>
      <c r="I435" s="4">
        <v>0</v>
      </c>
    </row>
    <row r="436" spans="1:9" x14ac:dyDescent="0.2">
      <c r="A436" s="2">
        <v>12</v>
      </c>
      <c r="B436" s="1" t="s">
        <v>79</v>
      </c>
      <c r="C436" s="4">
        <v>4</v>
      </c>
      <c r="D436" s="8">
        <v>2.68</v>
      </c>
      <c r="E436" s="4">
        <v>2</v>
      </c>
      <c r="F436" s="8">
        <v>2.04</v>
      </c>
      <c r="G436" s="4">
        <v>1</v>
      </c>
      <c r="H436" s="8">
        <v>2.56</v>
      </c>
      <c r="I436" s="4">
        <v>1</v>
      </c>
    </row>
    <row r="437" spans="1:9" x14ac:dyDescent="0.2">
      <c r="A437" s="2">
        <v>15</v>
      </c>
      <c r="B437" s="1" t="s">
        <v>66</v>
      </c>
      <c r="C437" s="4">
        <v>3</v>
      </c>
      <c r="D437" s="8">
        <v>2.0099999999999998</v>
      </c>
      <c r="E437" s="4">
        <v>1</v>
      </c>
      <c r="F437" s="8">
        <v>1.02</v>
      </c>
      <c r="G437" s="4">
        <v>2</v>
      </c>
      <c r="H437" s="8">
        <v>5.13</v>
      </c>
      <c r="I437" s="4">
        <v>0</v>
      </c>
    </row>
    <row r="438" spans="1:9" x14ac:dyDescent="0.2">
      <c r="A438" s="2">
        <v>15</v>
      </c>
      <c r="B438" s="1" t="s">
        <v>82</v>
      </c>
      <c r="C438" s="4">
        <v>3</v>
      </c>
      <c r="D438" s="8">
        <v>2.0099999999999998</v>
      </c>
      <c r="E438" s="4">
        <v>1</v>
      </c>
      <c r="F438" s="8">
        <v>1.02</v>
      </c>
      <c r="G438" s="4">
        <v>2</v>
      </c>
      <c r="H438" s="8">
        <v>5.13</v>
      </c>
      <c r="I438" s="4">
        <v>0</v>
      </c>
    </row>
    <row r="439" spans="1:9" x14ac:dyDescent="0.2">
      <c r="A439" s="2">
        <v>15</v>
      </c>
      <c r="B439" s="1" t="s">
        <v>84</v>
      </c>
      <c r="C439" s="4">
        <v>3</v>
      </c>
      <c r="D439" s="8">
        <v>2.0099999999999998</v>
      </c>
      <c r="E439" s="4">
        <v>2</v>
      </c>
      <c r="F439" s="8">
        <v>2.04</v>
      </c>
      <c r="G439" s="4">
        <v>1</v>
      </c>
      <c r="H439" s="8">
        <v>2.56</v>
      </c>
      <c r="I439" s="4">
        <v>0</v>
      </c>
    </row>
    <row r="440" spans="1:9" x14ac:dyDescent="0.2">
      <c r="A440" s="2">
        <v>18</v>
      </c>
      <c r="B440" s="1" t="s">
        <v>88</v>
      </c>
      <c r="C440" s="4">
        <v>2</v>
      </c>
      <c r="D440" s="8">
        <v>1.34</v>
      </c>
      <c r="E440" s="4">
        <v>2</v>
      </c>
      <c r="F440" s="8">
        <v>2.04</v>
      </c>
      <c r="G440" s="4">
        <v>0</v>
      </c>
      <c r="H440" s="8">
        <v>0</v>
      </c>
      <c r="I440" s="4">
        <v>0</v>
      </c>
    </row>
    <row r="441" spans="1:9" x14ac:dyDescent="0.2">
      <c r="A441" s="2">
        <v>18</v>
      </c>
      <c r="B441" s="1" t="s">
        <v>93</v>
      </c>
      <c r="C441" s="4">
        <v>2</v>
      </c>
      <c r="D441" s="8">
        <v>1.34</v>
      </c>
      <c r="E441" s="4">
        <v>1</v>
      </c>
      <c r="F441" s="8">
        <v>1.02</v>
      </c>
      <c r="G441" s="4">
        <v>1</v>
      </c>
      <c r="H441" s="8">
        <v>2.56</v>
      </c>
      <c r="I441" s="4">
        <v>0</v>
      </c>
    </row>
    <row r="442" spans="1:9" x14ac:dyDescent="0.2">
      <c r="A442" s="2">
        <v>18</v>
      </c>
      <c r="B442" s="1" t="s">
        <v>70</v>
      </c>
      <c r="C442" s="4">
        <v>2</v>
      </c>
      <c r="D442" s="8">
        <v>1.34</v>
      </c>
      <c r="E442" s="4">
        <v>2</v>
      </c>
      <c r="F442" s="8">
        <v>2.04</v>
      </c>
      <c r="G442" s="4">
        <v>0</v>
      </c>
      <c r="H442" s="8">
        <v>0</v>
      </c>
      <c r="I442" s="4">
        <v>0</v>
      </c>
    </row>
    <row r="443" spans="1:9" x14ac:dyDescent="0.2">
      <c r="A443" s="2">
        <v>18</v>
      </c>
      <c r="B443" s="1" t="s">
        <v>106</v>
      </c>
      <c r="C443" s="4">
        <v>2</v>
      </c>
      <c r="D443" s="8">
        <v>1.34</v>
      </c>
      <c r="E443" s="4">
        <v>1</v>
      </c>
      <c r="F443" s="8">
        <v>1.02</v>
      </c>
      <c r="G443" s="4">
        <v>1</v>
      </c>
      <c r="H443" s="8">
        <v>2.56</v>
      </c>
      <c r="I443" s="4">
        <v>0</v>
      </c>
    </row>
    <row r="444" spans="1:9" x14ac:dyDescent="0.2">
      <c r="A444" s="2">
        <v>18</v>
      </c>
      <c r="B444" s="1" t="s">
        <v>104</v>
      </c>
      <c r="C444" s="4">
        <v>2</v>
      </c>
      <c r="D444" s="8">
        <v>1.34</v>
      </c>
      <c r="E444" s="4">
        <v>0</v>
      </c>
      <c r="F444" s="8">
        <v>0</v>
      </c>
      <c r="G444" s="4">
        <v>1</v>
      </c>
      <c r="H444" s="8">
        <v>2.56</v>
      </c>
      <c r="I444" s="4">
        <v>0</v>
      </c>
    </row>
    <row r="445" spans="1:9" x14ac:dyDescent="0.2">
      <c r="A445" s="1"/>
      <c r="C445" s="4"/>
      <c r="D445" s="8"/>
      <c r="E445" s="4"/>
      <c r="F445" s="8"/>
      <c r="G445" s="4"/>
      <c r="H445" s="8"/>
      <c r="I445" s="4"/>
    </row>
    <row r="446" spans="1:9" x14ac:dyDescent="0.2">
      <c r="A446" s="1" t="s">
        <v>19</v>
      </c>
      <c r="C446" s="4"/>
      <c r="D446" s="8"/>
      <c r="E446" s="4"/>
      <c r="F446" s="8"/>
      <c r="G446" s="4"/>
      <c r="H446" s="8"/>
      <c r="I446" s="4"/>
    </row>
    <row r="447" spans="1:9" x14ac:dyDescent="0.2">
      <c r="A447" s="2">
        <v>1</v>
      </c>
      <c r="B447" s="1" t="s">
        <v>77</v>
      </c>
      <c r="C447" s="4">
        <v>70</v>
      </c>
      <c r="D447" s="8">
        <v>23.41</v>
      </c>
      <c r="E447" s="4">
        <v>69</v>
      </c>
      <c r="F447" s="8">
        <v>32.39</v>
      </c>
      <c r="G447" s="4">
        <v>1</v>
      </c>
      <c r="H447" s="8">
        <v>1.3</v>
      </c>
      <c r="I447" s="4">
        <v>0</v>
      </c>
    </row>
    <row r="448" spans="1:9" x14ac:dyDescent="0.2">
      <c r="A448" s="2">
        <v>2</v>
      </c>
      <c r="B448" s="1" t="s">
        <v>73</v>
      </c>
      <c r="C448" s="4">
        <v>33</v>
      </c>
      <c r="D448" s="8">
        <v>11.04</v>
      </c>
      <c r="E448" s="4">
        <v>25</v>
      </c>
      <c r="F448" s="8">
        <v>11.74</v>
      </c>
      <c r="G448" s="4">
        <v>7</v>
      </c>
      <c r="H448" s="8">
        <v>9.09</v>
      </c>
      <c r="I448" s="4">
        <v>1</v>
      </c>
    </row>
    <row r="449" spans="1:9" x14ac:dyDescent="0.2">
      <c r="A449" s="2">
        <v>3</v>
      </c>
      <c r="B449" s="1" t="s">
        <v>71</v>
      </c>
      <c r="C449" s="4">
        <v>26</v>
      </c>
      <c r="D449" s="8">
        <v>8.6999999999999993</v>
      </c>
      <c r="E449" s="4">
        <v>20</v>
      </c>
      <c r="F449" s="8">
        <v>9.39</v>
      </c>
      <c r="G449" s="4">
        <v>6</v>
      </c>
      <c r="H449" s="8">
        <v>7.79</v>
      </c>
      <c r="I449" s="4">
        <v>0</v>
      </c>
    </row>
    <row r="450" spans="1:9" x14ac:dyDescent="0.2">
      <c r="A450" s="2">
        <v>4</v>
      </c>
      <c r="B450" s="1" t="s">
        <v>78</v>
      </c>
      <c r="C450" s="4">
        <v>21</v>
      </c>
      <c r="D450" s="8">
        <v>7.02</v>
      </c>
      <c r="E450" s="4">
        <v>20</v>
      </c>
      <c r="F450" s="8">
        <v>9.39</v>
      </c>
      <c r="G450" s="4">
        <v>1</v>
      </c>
      <c r="H450" s="8">
        <v>1.3</v>
      </c>
      <c r="I450" s="4">
        <v>0</v>
      </c>
    </row>
    <row r="451" spans="1:9" x14ac:dyDescent="0.2">
      <c r="A451" s="2">
        <v>5</v>
      </c>
      <c r="B451" s="1" t="s">
        <v>69</v>
      </c>
      <c r="C451" s="4">
        <v>19</v>
      </c>
      <c r="D451" s="8">
        <v>6.35</v>
      </c>
      <c r="E451" s="4">
        <v>16</v>
      </c>
      <c r="F451" s="8">
        <v>7.51</v>
      </c>
      <c r="G451" s="4">
        <v>3</v>
      </c>
      <c r="H451" s="8">
        <v>3.9</v>
      </c>
      <c r="I451" s="4">
        <v>0</v>
      </c>
    </row>
    <row r="452" spans="1:9" x14ac:dyDescent="0.2">
      <c r="A452" s="2">
        <v>6</v>
      </c>
      <c r="B452" s="1" t="s">
        <v>65</v>
      </c>
      <c r="C452" s="4">
        <v>14</v>
      </c>
      <c r="D452" s="8">
        <v>4.68</v>
      </c>
      <c r="E452" s="4">
        <v>2</v>
      </c>
      <c r="F452" s="8">
        <v>0.94</v>
      </c>
      <c r="G452" s="4">
        <v>12</v>
      </c>
      <c r="H452" s="8">
        <v>15.58</v>
      </c>
      <c r="I452" s="4">
        <v>0</v>
      </c>
    </row>
    <row r="453" spans="1:9" x14ac:dyDescent="0.2">
      <c r="A453" s="2">
        <v>7</v>
      </c>
      <c r="B453" s="1" t="s">
        <v>67</v>
      </c>
      <c r="C453" s="4">
        <v>12</v>
      </c>
      <c r="D453" s="8">
        <v>4.01</v>
      </c>
      <c r="E453" s="4">
        <v>3</v>
      </c>
      <c r="F453" s="8">
        <v>1.41</v>
      </c>
      <c r="G453" s="4">
        <v>9</v>
      </c>
      <c r="H453" s="8">
        <v>11.69</v>
      </c>
      <c r="I453" s="4">
        <v>0</v>
      </c>
    </row>
    <row r="454" spans="1:9" x14ac:dyDescent="0.2">
      <c r="A454" s="2">
        <v>8</v>
      </c>
      <c r="B454" s="1" t="s">
        <v>81</v>
      </c>
      <c r="C454" s="4">
        <v>11</v>
      </c>
      <c r="D454" s="8">
        <v>3.68</v>
      </c>
      <c r="E454" s="4">
        <v>11</v>
      </c>
      <c r="F454" s="8">
        <v>5.16</v>
      </c>
      <c r="G454" s="4">
        <v>0</v>
      </c>
      <c r="H454" s="8">
        <v>0</v>
      </c>
      <c r="I454" s="4">
        <v>0</v>
      </c>
    </row>
    <row r="455" spans="1:9" x14ac:dyDescent="0.2">
      <c r="A455" s="2">
        <v>9</v>
      </c>
      <c r="B455" s="1" t="s">
        <v>74</v>
      </c>
      <c r="C455" s="4">
        <v>8</v>
      </c>
      <c r="D455" s="8">
        <v>2.68</v>
      </c>
      <c r="E455" s="4">
        <v>5</v>
      </c>
      <c r="F455" s="8">
        <v>2.35</v>
      </c>
      <c r="G455" s="4">
        <v>3</v>
      </c>
      <c r="H455" s="8">
        <v>3.9</v>
      </c>
      <c r="I455" s="4">
        <v>0</v>
      </c>
    </row>
    <row r="456" spans="1:9" x14ac:dyDescent="0.2">
      <c r="A456" s="2">
        <v>10</v>
      </c>
      <c r="B456" s="1" t="s">
        <v>70</v>
      </c>
      <c r="C456" s="4">
        <v>7</v>
      </c>
      <c r="D456" s="8">
        <v>2.34</v>
      </c>
      <c r="E456" s="4">
        <v>4</v>
      </c>
      <c r="F456" s="8">
        <v>1.88</v>
      </c>
      <c r="G456" s="4">
        <v>3</v>
      </c>
      <c r="H456" s="8">
        <v>3.9</v>
      </c>
      <c r="I456" s="4">
        <v>0</v>
      </c>
    </row>
    <row r="457" spans="1:9" x14ac:dyDescent="0.2">
      <c r="A457" s="2">
        <v>10</v>
      </c>
      <c r="B457" s="1" t="s">
        <v>84</v>
      </c>
      <c r="C457" s="4">
        <v>7</v>
      </c>
      <c r="D457" s="8">
        <v>2.34</v>
      </c>
      <c r="E457" s="4">
        <v>7</v>
      </c>
      <c r="F457" s="8">
        <v>3.29</v>
      </c>
      <c r="G457" s="4">
        <v>0</v>
      </c>
      <c r="H457" s="8">
        <v>0</v>
      </c>
      <c r="I457" s="4">
        <v>0</v>
      </c>
    </row>
    <row r="458" spans="1:9" x14ac:dyDescent="0.2">
      <c r="A458" s="2">
        <v>12</v>
      </c>
      <c r="B458" s="1" t="s">
        <v>97</v>
      </c>
      <c r="C458" s="4">
        <v>6</v>
      </c>
      <c r="D458" s="8">
        <v>2.0099999999999998</v>
      </c>
      <c r="E458" s="4">
        <v>0</v>
      </c>
      <c r="F458" s="8">
        <v>0</v>
      </c>
      <c r="G458" s="4">
        <v>6</v>
      </c>
      <c r="H458" s="8">
        <v>7.79</v>
      </c>
      <c r="I458" s="4">
        <v>0</v>
      </c>
    </row>
    <row r="459" spans="1:9" x14ac:dyDescent="0.2">
      <c r="A459" s="2">
        <v>12</v>
      </c>
      <c r="B459" s="1" t="s">
        <v>79</v>
      </c>
      <c r="C459" s="4">
        <v>6</v>
      </c>
      <c r="D459" s="8">
        <v>2.0099999999999998</v>
      </c>
      <c r="E459" s="4">
        <v>4</v>
      </c>
      <c r="F459" s="8">
        <v>1.88</v>
      </c>
      <c r="G459" s="4">
        <v>1</v>
      </c>
      <c r="H459" s="8">
        <v>1.3</v>
      </c>
      <c r="I459" s="4">
        <v>0</v>
      </c>
    </row>
    <row r="460" spans="1:9" x14ac:dyDescent="0.2">
      <c r="A460" s="2">
        <v>12</v>
      </c>
      <c r="B460" s="1" t="s">
        <v>80</v>
      </c>
      <c r="C460" s="4">
        <v>6</v>
      </c>
      <c r="D460" s="8">
        <v>2.0099999999999998</v>
      </c>
      <c r="E460" s="4">
        <v>1</v>
      </c>
      <c r="F460" s="8">
        <v>0.47</v>
      </c>
      <c r="G460" s="4">
        <v>1</v>
      </c>
      <c r="H460" s="8">
        <v>1.3</v>
      </c>
      <c r="I460" s="4">
        <v>0</v>
      </c>
    </row>
    <row r="461" spans="1:9" x14ac:dyDescent="0.2">
      <c r="A461" s="2">
        <v>15</v>
      </c>
      <c r="B461" s="1" t="s">
        <v>88</v>
      </c>
      <c r="C461" s="4">
        <v>5</v>
      </c>
      <c r="D461" s="8">
        <v>1.67</v>
      </c>
      <c r="E461" s="4">
        <v>1</v>
      </c>
      <c r="F461" s="8">
        <v>0.47</v>
      </c>
      <c r="G461" s="4">
        <v>4</v>
      </c>
      <c r="H461" s="8">
        <v>5.19</v>
      </c>
      <c r="I461" s="4">
        <v>0</v>
      </c>
    </row>
    <row r="462" spans="1:9" x14ac:dyDescent="0.2">
      <c r="A462" s="2">
        <v>15</v>
      </c>
      <c r="B462" s="1" t="s">
        <v>75</v>
      </c>
      <c r="C462" s="4">
        <v>5</v>
      </c>
      <c r="D462" s="8">
        <v>1.67</v>
      </c>
      <c r="E462" s="4">
        <v>3</v>
      </c>
      <c r="F462" s="8">
        <v>1.41</v>
      </c>
      <c r="G462" s="4">
        <v>2</v>
      </c>
      <c r="H462" s="8">
        <v>2.6</v>
      </c>
      <c r="I462" s="4">
        <v>0</v>
      </c>
    </row>
    <row r="463" spans="1:9" x14ac:dyDescent="0.2">
      <c r="A463" s="2">
        <v>17</v>
      </c>
      <c r="B463" s="1" t="s">
        <v>66</v>
      </c>
      <c r="C463" s="4">
        <v>4</v>
      </c>
      <c r="D463" s="8">
        <v>1.34</v>
      </c>
      <c r="E463" s="4">
        <v>1</v>
      </c>
      <c r="F463" s="8">
        <v>0.47</v>
      </c>
      <c r="G463" s="4">
        <v>3</v>
      </c>
      <c r="H463" s="8">
        <v>3.9</v>
      </c>
      <c r="I463" s="4">
        <v>0</v>
      </c>
    </row>
    <row r="464" spans="1:9" x14ac:dyDescent="0.2">
      <c r="A464" s="2">
        <v>17</v>
      </c>
      <c r="B464" s="1" t="s">
        <v>68</v>
      </c>
      <c r="C464" s="4">
        <v>4</v>
      </c>
      <c r="D464" s="8">
        <v>1.34</v>
      </c>
      <c r="E464" s="4">
        <v>4</v>
      </c>
      <c r="F464" s="8">
        <v>1.88</v>
      </c>
      <c r="G464" s="4">
        <v>0</v>
      </c>
      <c r="H464" s="8">
        <v>0</v>
      </c>
      <c r="I464" s="4">
        <v>0</v>
      </c>
    </row>
    <row r="465" spans="1:9" x14ac:dyDescent="0.2">
      <c r="A465" s="2">
        <v>19</v>
      </c>
      <c r="B465" s="1" t="s">
        <v>106</v>
      </c>
      <c r="C465" s="4">
        <v>3</v>
      </c>
      <c r="D465" s="8">
        <v>1</v>
      </c>
      <c r="E465" s="4">
        <v>0</v>
      </c>
      <c r="F465" s="8">
        <v>0</v>
      </c>
      <c r="G465" s="4">
        <v>3</v>
      </c>
      <c r="H465" s="8">
        <v>3.9</v>
      </c>
      <c r="I465" s="4">
        <v>0</v>
      </c>
    </row>
    <row r="466" spans="1:9" x14ac:dyDescent="0.2">
      <c r="A466" s="2">
        <v>19</v>
      </c>
      <c r="B466" s="1" t="s">
        <v>82</v>
      </c>
      <c r="C466" s="4">
        <v>3</v>
      </c>
      <c r="D466" s="8">
        <v>1</v>
      </c>
      <c r="E466" s="4">
        <v>1</v>
      </c>
      <c r="F466" s="8">
        <v>0.47</v>
      </c>
      <c r="G466" s="4">
        <v>2</v>
      </c>
      <c r="H466" s="8">
        <v>2.6</v>
      </c>
      <c r="I466" s="4">
        <v>0</v>
      </c>
    </row>
    <row r="467" spans="1:9" x14ac:dyDescent="0.2">
      <c r="A467" s="2">
        <v>19</v>
      </c>
      <c r="B467" s="1" t="s">
        <v>83</v>
      </c>
      <c r="C467" s="4">
        <v>3</v>
      </c>
      <c r="D467" s="8">
        <v>1</v>
      </c>
      <c r="E467" s="4">
        <v>0</v>
      </c>
      <c r="F467" s="8">
        <v>0</v>
      </c>
      <c r="G467" s="4">
        <v>2</v>
      </c>
      <c r="H467" s="8">
        <v>2.6</v>
      </c>
      <c r="I467" s="4">
        <v>0</v>
      </c>
    </row>
    <row r="468" spans="1:9" x14ac:dyDescent="0.2">
      <c r="A468" s="1"/>
      <c r="C468" s="4"/>
      <c r="D468" s="8"/>
      <c r="E468" s="4"/>
      <c r="F468" s="8"/>
      <c r="G468" s="4"/>
      <c r="H468" s="8"/>
      <c r="I468" s="4"/>
    </row>
    <row r="469" spans="1:9" x14ac:dyDescent="0.2">
      <c r="A469" s="1" t="s">
        <v>20</v>
      </c>
      <c r="C469" s="4"/>
      <c r="D469" s="8"/>
      <c r="E469" s="4"/>
      <c r="F469" s="8"/>
      <c r="G469" s="4"/>
      <c r="H469" s="8"/>
      <c r="I469" s="4"/>
    </row>
    <row r="470" spans="1:9" x14ac:dyDescent="0.2">
      <c r="A470" s="2">
        <v>1</v>
      </c>
      <c r="B470" s="1" t="s">
        <v>77</v>
      </c>
      <c r="C470" s="4">
        <v>50</v>
      </c>
      <c r="D470" s="8">
        <v>23.81</v>
      </c>
      <c r="E470" s="4">
        <v>48</v>
      </c>
      <c r="F470" s="8">
        <v>29.45</v>
      </c>
      <c r="G470" s="4">
        <v>2</v>
      </c>
      <c r="H470" s="8">
        <v>5.41</v>
      </c>
      <c r="I470" s="4">
        <v>0</v>
      </c>
    </row>
    <row r="471" spans="1:9" x14ac:dyDescent="0.2">
      <c r="A471" s="2">
        <v>2</v>
      </c>
      <c r="B471" s="1" t="s">
        <v>69</v>
      </c>
      <c r="C471" s="4">
        <v>27</v>
      </c>
      <c r="D471" s="8">
        <v>12.86</v>
      </c>
      <c r="E471" s="4">
        <v>23</v>
      </c>
      <c r="F471" s="8">
        <v>14.11</v>
      </c>
      <c r="G471" s="4">
        <v>4</v>
      </c>
      <c r="H471" s="8">
        <v>10.81</v>
      </c>
      <c r="I471" s="4">
        <v>0</v>
      </c>
    </row>
    <row r="472" spans="1:9" x14ac:dyDescent="0.2">
      <c r="A472" s="2">
        <v>3</v>
      </c>
      <c r="B472" s="1" t="s">
        <v>78</v>
      </c>
      <c r="C472" s="4">
        <v>16</v>
      </c>
      <c r="D472" s="8">
        <v>7.62</v>
      </c>
      <c r="E472" s="4">
        <v>16</v>
      </c>
      <c r="F472" s="8">
        <v>9.82</v>
      </c>
      <c r="G472" s="4">
        <v>0</v>
      </c>
      <c r="H472" s="8">
        <v>0</v>
      </c>
      <c r="I472" s="4">
        <v>0</v>
      </c>
    </row>
    <row r="473" spans="1:9" x14ac:dyDescent="0.2">
      <c r="A473" s="2">
        <v>4</v>
      </c>
      <c r="B473" s="1" t="s">
        <v>76</v>
      </c>
      <c r="C473" s="4">
        <v>15</v>
      </c>
      <c r="D473" s="8">
        <v>7.14</v>
      </c>
      <c r="E473" s="4">
        <v>14</v>
      </c>
      <c r="F473" s="8">
        <v>8.59</v>
      </c>
      <c r="G473" s="4">
        <v>0</v>
      </c>
      <c r="H473" s="8">
        <v>0</v>
      </c>
      <c r="I473" s="4">
        <v>0</v>
      </c>
    </row>
    <row r="474" spans="1:9" x14ac:dyDescent="0.2">
      <c r="A474" s="2">
        <v>5</v>
      </c>
      <c r="B474" s="1" t="s">
        <v>73</v>
      </c>
      <c r="C474" s="4">
        <v>13</v>
      </c>
      <c r="D474" s="8">
        <v>6.19</v>
      </c>
      <c r="E474" s="4">
        <v>13</v>
      </c>
      <c r="F474" s="8">
        <v>7.98</v>
      </c>
      <c r="G474" s="4">
        <v>0</v>
      </c>
      <c r="H474" s="8">
        <v>0</v>
      </c>
      <c r="I474" s="4">
        <v>0</v>
      </c>
    </row>
    <row r="475" spans="1:9" x14ac:dyDescent="0.2">
      <c r="A475" s="2">
        <v>6</v>
      </c>
      <c r="B475" s="1" t="s">
        <v>71</v>
      </c>
      <c r="C475" s="4">
        <v>12</v>
      </c>
      <c r="D475" s="8">
        <v>5.71</v>
      </c>
      <c r="E475" s="4">
        <v>8</v>
      </c>
      <c r="F475" s="8">
        <v>4.91</v>
      </c>
      <c r="G475" s="4">
        <v>4</v>
      </c>
      <c r="H475" s="8">
        <v>10.81</v>
      </c>
      <c r="I475" s="4">
        <v>0</v>
      </c>
    </row>
    <row r="476" spans="1:9" x14ac:dyDescent="0.2">
      <c r="A476" s="2">
        <v>7</v>
      </c>
      <c r="B476" s="1" t="s">
        <v>65</v>
      </c>
      <c r="C476" s="4">
        <v>10</v>
      </c>
      <c r="D476" s="8">
        <v>4.76</v>
      </c>
      <c r="E476" s="4">
        <v>1</v>
      </c>
      <c r="F476" s="8">
        <v>0.61</v>
      </c>
      <c r="G476" s="4">
        <v>9</v>
      </c>
      <c r="H476" s="8">
        <v>24.32</v>
      </c>
      <c r="I476" s="4">
        <v>0</v>
      </c>
    </row>
    <row r="477" spans="1:9" x14ac:dyDescent="0.2">
      <c r="A477" s="2">
        <v>8</v>
      </c>
      <c r="B477" s="1" t="s">
        <v>67</v>
      </c>
      <c r="C477" s="4">
        <v>6</v>
      </c>
      <c r="D477" s="8">
        <v>2.86</v>
      </c>
      <c r="E477" s="4">
        <v>5</v>
      </c>
      <c r="F477" s="8">
        <v>3.07</v>
      </c>
      <c r="G477" s="4">
        <v>1</v>
      </c>
      <c r="H477" s="8">
        <v>2.7</v>
      </c>
      <c r="I477" s="4">
        <v>0</v>
      </c>
    </row>
    <row r="478" spans="1:9" x14ac:dyDescent="0.2">
      <c r="A478" s="2">
        <v>8</v>
      </c>
      <c r="B478" s="1" t="s">
        <v>81</v>
      </c>
      <c r="C478" s="4">
        <v>6</v>
      </c>
      <c r="D478" s="8">
        <v>2.86</v>
      </c>
      <c r="E478" s="4">
        <v>4</v>
      </c>
      <c r="F478" s="8">
        <v>2.4500000000000002</v>
      </c>
      <c r="G478" s="4">
        <v>1</v>
      </c>
      <c r="H478" s="8">
        <v>2.7</v>
      </c>
      <c r="I478" s="4">
        <v>0</v>
      </c>
    </row>
    <row r="479" spans="1:9" x14ac:dyDescent="0.2">
      <c r="A479" s="2">
        <v>10</v>
      </c>
      <c r="B479" s="1" t="s">
        <v>88</v>
      </c>
      <c r="C479" s="4">
        <v>5</v>
      </c>
      <c r="D479" s="8">
        <v>2.38</v>
      </c>
      <c r="E479" s="4">
        <v>2</v>
      </c>
      <c r="F479" s="8">
        <v>1.23</v>
      </c>
      <c r="G479" s="4">
        <v>3</v>
      </c>
      <c r="H479" s="8">
        <v>8.11</v>
      </c>
      <c r="I479" s="4">
        <v>0</v>
      </c>
    </row>
    <row r="480" spans="1:9" x14ac:dyDescent="0.2">
      <c r="A480" s="2">
        <v>10</v>
      </c>
      <c r="B480" s="1" t="s">
        <v>70</v>
      </c>
      <c r="C480" s="4">
        <v>5</v>
      </c>
      <c r="D480" s="8">
        <v>2.38</v>
      </c>
      <c r="E480" s="4">
        <v>5</v>
      </c>
      <c r="F480" s="8">
        <v>3.07</v>
      </c>
      <c r="G480" s="4">
        <v>0</v>
      </c>
      <c r="H480" s="8">
        <v>0</v>
      </c>
      <c r="I480" s="4">
        <v>0</v>
      </c>
    </row>
    <row r="481" spans="1:9" x14ac:dyDescent="0.2">
      <c r="A481" s="2">
        <v>10</v>
      </c>
      <c r="B481" s="1" t="s">
        <v>80</v>
      </c>
      <c r="C481" s="4">
        <v>5</v>
      </c>
      <c r="D481" s="8">
        <v>2.38</v>
      </c>
      <c r="E481" s="4">
        <v>3</v>
      </c>
      <c r="F481" s="8">
        <v>1.84</v>
      </c>
      <c r="G481" s="4">
        <v>0</v>
      </c>
      <c r="H481" s="8">
        <v>0</v>
      </c>
      <c r="I481" s="4">
        <v>1</v>
      </c>
    </row>
    <row r="482" spans="1:9" x14ac:dyDescent="0.2">
      <c r="A482" s="2">
        <v>13</v>
      </c>
      <c r="B482" s="1" t="s">
        <v>66</v>
      </c>
      <c r="C482" s="4">
        <v>4</v>
      </c>
      <c r="D482" s="8">
        <v>1.9</v>
      </c>
      <c r="E482" s="4">
        <v>4</v>
      </c>
      <c r="F482" s="8">
        <v>2.4500000000000002</v>
      </c>
      <c r="G482" s="4">
        <v>0</v>
      </c>
      <c r="H482" s="8">
        <v>0</v>
      </c>
      <c r="I482" s="4">
        <v>0</v>
      </c>
    </row>
    <row r="483" spans="1:9" x14ac:dyDescent="0.2">
      <c r="A483" s="2">
        <v>13</v>
      </c>
      <c r="B483" s="1" t="s">
        <v>89</v>
      </c>
      <c r="C483" s="4">
        <v>4</v>
      </c>
      <c r="D483" s="8">
        <v>1.9</v>
      </c>
      <c r="E483" s="4">
        <v>3</v>
      </c>
      <c r="F483" s="8">
        <v>1.84</v>
      </c>
      <c r="G483" s="4">
        <v>1</v>
      </c>
      <c r="H483" s="8">
        <v>2.7</v>
      </c>
      <c r="I483" s="4">
        <v>0</v>
      </c>
    </row>
    <row r="484" spans="1:9" x14ac:dyDescent="0.2">
      <c r="A484" s="2">
        <v>13</v>
      </c>
      <c r="B484" s="1" t="s">
        <v>79</v>
      </c>
      <c r="C484" s="4">
        <v>4</v>
      </c>
      <c r="D484" s="8">
        <v>1.9</v>
      </c>
      <c r="E484" s="4">
        <v>2</v>
      </c>
      <c r="F484" s="8">
        <v>1.23</v>
      </c>
      <c r="G484" s="4">
        <v>1</v>
      </c>
      <c r="H484" s="8">
        <v>2.7</v>
      </c>
      <c r="I484" s="4">
        <v>0</v>
      </c>
    </row>
    <row r="485" spans="1:9" x14ac:dyDescent="0.2">
      <c r="A485" s="2">
        <v>13</v>
      </c>
      <c r="B485" s="1" t="s">
        <v>104</v>
      </c>
      <c r="C485" s="4">
        <v>4</v>
      </c>
      <c r="D485" s="8">
        <v>1.9</v>
      </c>
      <c r="E485" s="4">
        <v>1</v>
      </c>
      <c r="F485" s="8">
        <v>0.61</v>
      </c>
      <c r="G485" s="4">
        <v>0</v>
      </c>
      <c r="H485" s="8">
        <v>0</v>
      </c>
      <c r="I485" s="4">
        <v>0</v>
      </c>
    </row>
    <row r="486" spans="1:9" x14ac:dyDescent="0.2">
      <c r="A486" s="2">
        <v>17</v>
      </c>
      <c r="B486" s="1" t="s">
        <v>97</v>
      </c>
      <c r="C486" s="4">
        <v>3</v>
      </c>
      <c r="D486" s="8">
        <v>1.43</v>
      </c>
      <c r="E486" s="4">
        <v>0</v>
      </c>
      <c r="F486" s="8">
        <v>0</v>
      </c>
      <c r="G486" s="4">
        <v>2</v>
      </c>
      <c r="H486" s="8">
        <v>5.41</v>
      </c>
      <c r="I486" s="4">
        <v>0</v>
      </c>
    </row>
    <row r="487" spans="1:9" x14ac:dyDescent="0.2">
      <c r="A487" s="2">
        <v>17</v>
      </c>
      <c r="B487" s="1" t="s">
        <v>68</v>
      </c>
      <c r="C487" s="4">
        <v>3</v>
      </c>
      <c r="D487" s="8">
        <v>1.43</v>
      </c>
      <c r="E487" s="4">
        <v>3</v>
      </c>
      <c r="F487" s="8">
        <v>1.84</v>
      </c>
      <c r="G487" s="4">
        <v>0</v>
      </c>
      <c r="H487" s="8">
        <v>0</v>
      </c>
      <c r="I487" s="4">
        <v>0</v>
      </c>
    </row>
    <row r="488" spans="1:9" x14ac:dyDescent="0.2">
      <c r="A488" s="2">
        <v>17</v>
      </c>
      <c r="B488" s="1" t="s">
        <v>83</v>
      </c>
      <c r="C488" s="4">
        <v>3</v>
      </c>
      <c r="D488" s="8">
        <v>1.43</v>
      </c>
      <c r="E488" s="4">
        <v>0</v>
      </c>
      <c r="F488" s="8">
        <v>0</v>
      </c>
      <c r="G488" s="4">
        <v>3</v>
      </c>
      <c r="H488" s="8">
        <v>8.11</v>
      </c>
      <c r="I488" s="4">
        <v>0</v>
      </c>
    </row>
    <row r="489" spans="1:9" x14ac:dyDescent="0.2">
      <c r="A489" s="2">
        <v>20</v>
      </c>
      <c r="B489" s="1" t="s">
        <v>92</v>
      </c>
      <c r="C489" s="4">
        <v>2</v>
      </c>
      <c r="D489" s="8">
        <v>0.95</v>
      </c>
      <c r="E489" s="4">
        <v>1</v>
      </c>
      <c r="F489" s="8">
        <v>0.61</v>
      </c>
      <c r="G489" s="4">
        <v>1</v>
      </c>
      <c r="H489" s="8">
        <v>2.7</v>
      </c>
      <c r="I489" s="4">
        <v>0</v>
      </c>
    </row>
    <row r="490" spans="1:9" x14ac:dyDescent="0.2">
      <c r="A490" s="2">
        <v>20</v>
      </c>
      <c r="B490" s="1" t="s">
        <v>107</v>
      </c>
      <c r="C490" s="4">
        <v>2</v>
      </c>
      <c r="D490" s="8">
        <v>0.95</v>
      </c>
      <c r="E490" s="4">
        <v>0</v>
      </c>
      <c r="F490" s="8">
        <v>0</v>
      </c>
      <c r="G490" s="4">
        <v>2</v>
      </c>
      <c r="H490" s="8">
        <v>5.41</v>
      </c>
      <c r="I490" s="4">
        <v>0</v>
      </c>
    </row>
    <row r="491" spans="1:9" x14ac:dyDescent="0.2">
      <c r="A491" s="2">
        <v>20</v>
      </c>
      <c r="B491" s="1" t="s">
        <v>94</v>
      </c>
      <c r="C491" s="4">
        <v>2</v>
      </c>
      <c r="D491" s="8">
        <v>0.95</v>
      </c>
      <c r="E491" s="4">
        <v>1</v>
      </c>
      <c r="F491" s="8">
        <v>0.61</v>
      </c>
      <c r="G491" s="4">
        <v>1</v>
      </c>
      <c r="H491" s="8">
        <v>2.7</v>
      </c>
      <c r="I491" s="4">
        <v>0</v>
      </c>
    </row>
    <row r="492" spans="1:9" x14ac:dyDescent="0.2">
      <c r="A492" s="2">
        <v>20</v>
      </c>
      <c r="B492" s="1" t="s">
        <v>75</v>
      </c>
      <c r="C492" s="4">
        <v>2</v>
      </c>
      <c r="D492" s="8">
        <v>0.95</v>
      </c>
      <c r="E492" s="4">
        <v>1</v>
      </c>
      <c r="F492" s="8">
        <v>0.61</v>
      </c>
      <c r="G492" s="4">
        <v>1</v>
      </c>
      <c r="H492" s="8">
        <v>2.7</v>
      </c>
      <c r="I492" s="4">
        <v>0</v>
      </c>
    </row>
    <row r="493" spans="1:9" x14ac:dyDescent="0.2">
      <c r="A493" s="1"/>
      <c r="C493" s="4"/>
      <c r="D493" s="8"/>
      <c r="E493" s="4"/>
      <c r="F493" s="8"/>
      <c r="G493" s="4"/>
      <c r="H493" s="8"/>
      <c r="I493" s="4"/>
    </row>
    <row r="494" spans="1:9" x14ac:dyDescent="0.2">
      <c r="A494" s="1" t="s">
        <v>21</v>
      </c>
      <c r="C494" s="4"/>
      <c r="D494" s="8"/>
      <c r="E494" s="4"/>
      <c r="F494" s="8"/>
      <c r="G494" s="4"/>
      <c r="H494" s="8"/>
      <c r="I494" s="4"/>
    </row>
    <row r="495" spans="1:9" x14ac:dyDescent="0.2">
      <c r="A495" s="2">
        <v>1</v>
      </c>
      <c r="B495" s="1" t="s">
        <v>77</v>
      </c>
      <c r="C495" s="4">
        <v>82</v>
      </c>
      <c r="D495" s="8">
        <v>11.65</v>
      </c>
      <c r="E495" s="4">
        <v>81</v>
      </c>
      <c r="F495" s="8">
        <v>15.08</v>
      </c>
      <c r="G495" s="4">
        <v>1</v>
      </c>
      <c r="H495" s="8">
        <v>0.64</v>
      </c>
      <c r="I495" s="4">
        <v>0</v>
      </c>
    </row>
    <row r="496" spans="1:9" x14ac:dyDescent="0.2">
      <c r="A496" s="2">
        <v>2</v>
      </c>
      <c r="B496" s="1" t="s">
        <v>78</v>
      </c>
      <c r="C496" s="4">
        <v>81</v>
      </c>
      <c r="D496" s="8">
        <v>11.51</v>
      </c>
      <c r="E496" s="4">
        <v>75</v>
      </c>
      <c r="F496" s="8">
        <v>13.97</v>
      </c>
      <c r="G496" s="4">
        <v>6</v>
      </c>
      <c r="H496" s="8">
        <v>3.82</v>
      </c>
      <c r="I496" s="4">
        <v>0</v>
      </c>
    </row>
    <row r="497" spans="1:9" x14ac:dyDescent="0.2">
      <c r="A497" s="2">
        <v>3</v>
      </c>
      <c r="B497" s="1" t="s">
        <v>98</v>
      </c>
      <c r="C497" s="4">
        <v>78</v>
      </c>
      <c r="D497" s="8">
        <v>11.08</v>
      </c>
      <c r="E497" s="4">
        <v>78</v>
      </c>
      <c r="F497" s="8">
        <v>14.53</v>
      </c>
      <c r="G497" s="4">
        <v>0</v>
      </c>
      <c r="H497" s="8">
        <v>0</v>
      </c>
      <c r="I497" s="4">
        <v>0</v>
      </c>
    </row>
    <row r="498" spans="1:9" x14ac:dyDescent="0.2">
      <c r="A498" s="2">
        <v>4</v>
      </c>
      <c r="B498" s="1" t="s">
        <v>73</v>
      </c>
      <c r="C498" s="4">
        <v>46</v>
      </c>
      <c r="D498" s="8">
        <v>6.53</v>
      </c>
      <c r="E498" s="4">
        <v>23</v>
      </c>
      <c r="F498" s="8">
        <v>4.28</v>
      </c>
      <c r="G498" s="4">
        <v>23</v>
      </c>
      <c r="H498" s="8">
        <v>14.65</v>
      </c>
      <c r="I498" s="4">
        <v>0</v>
      </c>
    </row>
    <row r="499" spans="1:9" x14ac:dyDescent="0.2">
      <c r="A499" s="2">
        <v>5</v>
      </c>
      <c r="B499" s="1" t="s">
        <v>71</v>
      </c>
      <c r="C499" s="4">
        <v>45</v>
      </c>
      <c r="D499" s="8">
        <v>6.39</v>
      </c>
      <c r="E499" s="4">
        <v>35</v>
      </c>
      <c r="F499" s="8">
        <v>6.52</v>
      </c>
      <c r="G499" s="4">
        <v>10</v>
      </c>
      <c r="H499" s="8">
        <v>6.37</v>
      </c>
      <c r="I499" s="4">
        <v>0</v>
      </c>
    </row>
    <row r="500" spans="1:9" x14ac:dyDescent="0.2">
      <c r="A500" s="2">
        <v>5</v>
      </c>
      <c r="B500" s="1" t="s">
        <v>81</v>
      </c>
      <c r="C500" s="4">
        <v>45</v>
      </c>
      <c r="D500" s="8">
        <v>6.39</v>
      </c>
      <c r="E500" s="4">
        <v>38</v>
      </c>
      <c r="F500" s="8">
        <v>7.08</v>
      </c>
      <c r="G500" s="4">
        <v>4</v>
      </c>
      <c r="H500" s="8">
        <v>2.5499999999999998</v>
      </c>
      <c r="I500" s="4">
        <v>3</v>
      </c>
    </row>
    <row r="501" spans="1:9" x14ac:dyDescent="0.2">
      <c r="A501" s="2">
        <v>7</v>
      </c>
      <c r="B501" s="1" t="s">
        <v>95</v>
      </c>
      <c r="C501" s="4">
        <v>42</v>
      </c>
      <c r="D501" s="8">
        <v>5.97</v>
      </c>
      <c r="E501" s="4">
        <v>37</v>
      </c>
      <c r="F501" s="8">
        <v>6.89</v>
      </c>
      <c r="G501" s="4">
        <v>5</v>
      </c>
      <c r="H501" s="8">
        <v>3.18</v>
      </c>
      <c r="I501" s="4">
        <v>0</v>
      </c>
    </row>
    <row r="502" spans="1:9" x14ac:dyDescent="0.2">
      <c r="A502" s="2">
        <v>8</v>
      </c>
      <c r="B502" s="1" t="s">
        <v>69</v>
      </c>
      <c r="C502" s="4">
        <v>28</v>
      </c>
      <c r="D502" s="8">
        <v>3.98</v>
      </c>
      <c r="E502" s="4">
        <v>24</v>
      </c>
      <c r="F502" s="8">
        <v>4.47</v>
      </c>
      <c r="G502" s="4">
        <v>4</v>
      </c>
      <c r="H502" s="8">
        <v>2.5499999999999998</v>
      </c>
      <c r="I502" s="4">
        <v>0</v>
      </c>
    </row>
    <row r="503" spans="1:9" x14ac:dyDescent="0.2">
      <c r="A503" s="2">
        <v>9</v>
      </c>
      <c r="B503" s="1" t="s">
        <v>67</v>
      </c>
      <c r="C503" s="4">
        <v>27</v>
      </c>
      <c r="D503" s="8">
        <v>3.84</v>
      </c>
      <c r="E503" s="4">
        <v>11</v>
      </c>
      <c r="F503" s="8">
        <v>2.0499999999999998</v>
      </c>
      <c r="G503" s="4">
        <v>16</v>
      </c>
      <c r="H503" s="8">
        <v>10.19</v>
      </c>
      <c r="I503" s="4">
        <v>0</v>
      </c>
    </row>
    <row r="504" spans="1:9" x14ac:dyDescent="0.2">
      <c r="A504" s="2">
        <v>10</v>
      </c>
      <c r="B504" s="1" t="s">
        <v>65</v>
      </c>
      <c r="C504" s="4">
        <v>26</v>
      </c>
      <c r="D504" s="8">
        <v>3.69</v>
      </c>
      <c r="E504" s="4">
        <v>9</v>
      </c>
      <c r="F504" s="8">
        <v>1.68</v>
      </c>
      <c r="G504" s="4">
        <v>17</v>
      </c>
      <c r="H504" s="8">
        <v>10.83</v>
      </c>
      <c r="I504" s="4">
        <v>0</v>
      </c>
    </row>
    <row r="505" spans="1:9" x14ac:dyDescent="0.2">
      <c r="A505" s="2">
        <v>11</v>
      </c>
      <c r="B505" s="1" t="s">
        <v>84</v>
      </c>
      <c r="C505" s="4">
        <v>22</v>
      </c>
      <c r="D505" s="8">
        <v>3.13</v>
      </c>
      <c r="E505" s="4">
        <v>19</v>
      </c>
      <c r="F505" s="8">
        <v>3.54</v>
      </c>
      <c r="G505" s="4">
        <v>3</v>
      </c>
      <c r="H505" s="8">
        <v>1.91</v>
      </c>
      <c r="I505" s="4">
        <v>0</v>
      </c>
    </row>
    <row r="506" spans="1:9" x14ac:dyDescent="0.2">
      <c r="A506" s="2">
        <v>12</v>
      </c>
      <c r="B506" s="1" t="s">
        <v>83</v>
      </c>
      <c r="C506" s="4">
        <v>21</v>
      </c>
      <c r="D506" s="8">
        <v>2.98</v>
      </c>
      <c r="E506" s="4">
        <v>5</v>
      </c>
      <c r="F506" s="8">
        <v>0.93</v>
      </c>
      <c r="G506" s="4">
        <v>14</v>
      </c>
      <c r="H506" s="8">
        <v>8.92</v>
      </c>
      <c r="I506" s="4">
        <v>0</v>
      </c>
    </row>
    <row r="507" spans="1:9" x14ac:dyDescent="0.2">
      <c r="A507" s="2">
        <v>13</v>
      </c>
      <c r="B507" s="1" t="s">
        <v>82</v>
      </c>
      <c r="C507" s="4">
        <v>15</v>
      </c>
      <c r="D507" s="8">
        <v>2.13</v>
      </c>
      <c r="E507" s="4">
        <v>12</v>
      </c>
      <c r="F507" s="8">
        <v>2.23</v>
      </c>
      <c r="G507" s="4">
        <v>3</v>
      </c>
      <c r="H507" s="8">
        <v>1.91</v>
      </c>
      <c r="I507" s="4">
        <v>0</v>
      </c>
    </row>
    <row r="508" spans="1:9" x14ac:dyDescent="0.2">
      <c r="A508" s="2">
        <v>14</v>
      </c>
      <c r="B508" s="1" t="s">
        <v>70</v>
      </c>
      <c r="C508" s="4">
        <v>14</v>
      </c>
      <c r="D508" s="8">
        <v>1.99</v>
      </c>
      <c r="E508" s="4">
        <v>12</v>
      </c>
      <c r="F508" s="8">
        <v>2.23</v>
      </c>
      <c r="G508" s="4">
        <v>2</v>
      </c>
      <c r="H508" s="8">
        <v>1.27</v>
      </c>
      <c r="I508" s="4">
        <v>0</v>
      </c>
    </row>
    <row r="509" spans="1:9" x14ac:dyDescent="0.2">
      <c r="A509" s="2">
        <v>15</v>
      </c>
      <c r="B509" s="1" t="s">
        <v>66</v>
      </c>
      <c r="C509" s="4">
        <v>13</v>
      </c>
      <c r="D509" s="8">
        <v>1.85</v>
      </c>
      <c r="E509" s="4">
        <v>10</v>
      </c>
      <c r="F509" s="8">
        <v>1.86</v>
      </c>
      <c r="G509" s="4">
        <v>3</v>
      </c>
      <c r="H509" s="8">
        <v>1.91</v>
      </c>
      <c r="I509" s="4">
        <v>0</v>
      </c>
    </row>
    <row r="510" spans="1:9" x14ac:dyDescent="0.2">
      <c r="A510" s="2">
        <v>16</v>
      </c>
      <c r="B510" s="1" t="s">
        <v>80</v>
      </c>
      <c r="C510" s="4">
        <v>11</v>
      </c>
      <c r="D510" s="8">
        <v>1.56</v>
      </c>
      <c r="E510" s="4">
        <v>7</v>
      </c>
      <c r="F510" s="8">
        <v>1.3</v>
      </c>
      <c r="G510" s="4">
        <v>2</v>
      </c>
      <c r="H510" s="8">
        <v>1.27</v>
      </c>
      <c r="I510" s="4">
        <v>0</v>
      </c>
    </row>
    <row r="511" spans="1:9" x14ac:dyDescent="0.2">
      <c r="A511" s="2">
        <v>17</v>
      </c>
      <c r="B511" s="1" t="s">
        <v>75</v>
      </c>
      <c r="C511" s="4">
        <v>9</v>
      </c>
      <c r="D511" s="8">
        <v>1.28</v>
      </c>
      <c r="E511" s="4">
        <v>7</v>
      </c>
      <c r="F511" s="8">
        <v>1.3</v>
      </c>
      <c r="G511" s="4">
        <v>2</v>
      </c>
      <c r="H511" s="8">
        <v>1.27</v>
      </c>
      <c r="I511" s="4">
        <v>0</v>
      </c>
    </row>
    <row r="512" spans="1:9" x14ac:dyDescent="0.2">
      <c r="A512" s="2">
        <v>18</v>
      </c>
      <c r="B512" s="1" t="s">
        <v>74</v>
      </c>
      <c r="C512" s="4">
        <v>7</v>
      </c>
      <c r="D512" s="8">
        <v>0.99</v>
      </c>
      <c r="E512" s="4">
        <v>4</v>
      </c>
      <c r="F512" s="8">
        <v>0.74</v>
      </c>
      <c r="G512" s="4">
        <v>3</v>
      </c>
      <c r="H512" s="8">
        <v>1.91</v>
      </c>
      <c r="I512" s="4">
        <v>0</v>
      </c>
    </row>
    <row r="513" spans="1:9" x14ac:dyDescent="0.2">
      <c r="A513" s="2">
        <v>18</v>
      </c>
      <c r="B513" s="1" t="s">
        <v>79</v>
      </c>
      <c r="C513" s="4">
        <v>7</v>
      </c>
      <c r="D513" s="8">
        <v>0.99</v>
      </c>
      <c r="E513" s="4">
        <v>4</v>
      </c>
      <c r="F513" s="8">
        <v>0.74</v>
      </c>
      <c r="G513" s="4">
        <v>3</v>
      </c>
      <c r="H513" s="8">
        <v>1.91</v>
      </c>
      <c r="I513" s="4">
        <v>0</v>
      </c>
    </row>
    <row r="514" spans="1:9" x14ac:dyDescent="0.2">
      <c r="A514" s="2">
        <v>20</v>
      </c>
      <c r="B514" s="1" t="s">
        <v>88</v>
      </c>
      <c r="C514" s="4">
        <v>6</v>
      </c>
      <c r="D514" s="8">
        <v>0.85</v>
      </c>
      <c r="E514" s="4">
        <v>6</v>
      </c>
      <c r="F514" s="8">
        <v>1.1200000000000001</v>
      </c>
      <c r="G514" s="4">
        <v>0</v>
      </c>
      <c r="H514" s="8">
        <v>0</v>
      </c>
      <c r="I514" s="4">
        <v>0</v>
      </c>
    </row>
    <row r="515" spans="1:9" x14ac:dyDescent="0.2">
      <c r="A515" s="2">
        <v>20</v>
      </c>
      <c r="B515" s="1" t="s">
        <v>92</v>
      </c>
      <c r="C515" s="4">
        <v>6</v>
      </c>
      <c r="D515" s="8">
        <v>0.85</v>
      </c>
      <c r="E515" s="4">
        <v>3</v>
      </c>
      <c r="F515" s="8">
        <v>0.56000000000000005</v>
      </c>
      <c r="G515" s="4">
        <v>3</v>
      </c>
      <c r="H515" s="8">
        <v>1.91</v>
      </c>
      <c r="I515" s="4">
        <v>0</v>
      </c>
    </row>
    <row r="516" spans="1:9" x14ac:dyDescent="0.2">
      <c r="A516" s="2">
        <v>20</v>
      </c>
      <c r="B516" s="1" t="s">
        <v>68</v>
      </c>
      <c r="C516" s="4">
        <v>6</v>
      </c>
      <c r="D516" s="8">
        <v>0.85</v>
      </c>
      <c r="E516" s="4">
        <v>5</v>
      </c>
      <c r="F516" s="8">
        <v>0.93</v>
      </c>
      <c r="G516" s="4">
        <v>1</v>
      </c>
      <c r="H516" s="8">
        <v>0.64</v>
      </c>
      <c r="I516" s="4">
        <v>0</v>
      </c>
    </row>
    <row r="517" spans="1:9" x14ac:dyDescent="0.2">
      <c r="A517" s="2">
        <v>20</v>
      </c>
      <c r="B517" s="1" t="s">
        <v>94</v>
      </c>
      <c r="C517" s="4">
        <v>6</v>
      </c>
      <c r="D517" s="8">
        <v>0.85</v>
      </c>
      <c r="E517" s="4">
        <v>2</v>
      </c>
      <c r="F517" s="8">
        <v>0.37</v>
      </c>
      <c r="G517" s="4">
        <v>4</v>
      </c>
      <c r="H517" s="8">
        <v>2.5499999999999998</v>
      </c>
      <c r="I517" s="4">
        <v>0</v>
      </c>
    </row>
    <row r="518" spans="1:9" x14ac:dyDescent="0.2">
      <c r="A518" s="2">
        <v>20</v>
      </c>
      <c r="B518" s="1" t="s">
        <v>76</v>
      </c>
      <c r="C518" s="4">
        <v>6</v>
      </c>
      <c r="D518" s="8">
        <v>0.85</v>
      </c>
      <c r="E518" s="4">
        <v>5</v>
      </c>
      <c r="F518" s="8">
        <v>0.93</v>
      </c>
      <c r="G518" s="4">
        <v>1</v>
      </c>
      <c r="H518" s="8">
        <v>0.64</v>
      </c>
      <c r="I518" s="4">
        <v>0</v>
      </c>
    </row>
    <row r="519" spans="1:9" x14ac:dyDescent="0.2">
      <c r="A519" s="2">
        <v>20</v>
      </c>
      <c r="B519" s="1" t="s">
        <v>91</v>
      </c>
      <c r="C519" s="4">
        <v>6</v>
      </c>
      <c r="D519" s="8">
        <v>0.85</v>
      </c>
      <c r="E519" s="4">
        <v>4</v>
      </c>
      <c r="F519" s="8">
        <v>0.74</v>
      </c>
      <c r="G519" s="4">
        <v>2</v>
      </c>
      <c r="H519" s="8">
        <v>1.27</v>
      </c>
      <c r="I519" s="4">
        <v>0</v>
      </c>
    </row>
    <row r="520" spans="1:9" x14ac:dyDescent="0.2">
      <c r="A520" s="1"/>
      <c r="C520" s="4"/>
      <c r="D520" s="8"/>
      <c r="E520" s="4"/>
      <c r="F520" s="8"/>
      <c r="G520" s="4"/>
      <c r="H520" s="8"/>
      <c r="I520" s="4"/>
    </row>
    <row r="521" spans="1:9" x14ac:dyDescent="0.2">
      <c r="A521" s="1" t="s">
        <v>22</v>
      </c>
      <c r="C521" s="4"/>
      <c r="D521" s="8"/>
      <c r="E521" s="4"/>
      <c r="F521" s="8"/>
      <c r="G521" s="4"/>
      <c r="H521" s="8"/>
      <c r="I521" s="4"/>
    </row>
    <row r="522" spans="1:9" x14ac:dyDescent="0.2">
      <c r="A522" s="2">
        <v>1</v>
      </c>
      <c r="B522" s="1" t="s">
        <v>77</v>
      </c>
      <c r="C522" s="4">
        <v>63</v>
      </c>
      <c r="D522" s="8">
        <v>17.899999999999999</v>
      </c>
      <c r="E522" s="4">
        <v>59</v>
      </c>
      <c r="F522" s="8">
        <v>23.6</v>
      </c>
      <c r="G522" s="4">
        <v>4</v>
      </c>
      <c r="H522" s="8">
        <v>4.17</v>
      </c>
      <c r="I522" s="4">
        <v>0</v>
      </c>
    </row>
    <row r="523" spans="1:9" x14ac:dyDescent="0.2">
      <c r="A523" s="2">
        <v>2</v>
      </c>
      <c r="B523" s="1" t="s">
        <v>78</v>
      </c>
      <c r="C523" s="4">
        <v>46</v>
      </c>
      <c r="D523" s="8">
        <v>13.07</v>
      </c>
      <c r="E523" s="4">
        <v>44</v>
      </c>
      <c r="F523" s="8">
        <v>17.600000000000001</v>
      </c>
      <c r="G523" s="4">
        <v>2</v>
      </c>
      <c r="H523" s="8">
        <v>2.08</v>
      </c>
      <c r="I523" s="4">
        <v>0</v>
      </c>
    </row>
    <row r="524" spans="1:9" x14ac:dyDescent="0.2">
      <c r="A524" s="2">
        <v>3</v>
      </c>
      <c r="B524" s="1" t="s">
        <v>81</v>
      </c>
      <c r="C524" s="4">
        <v>29</v>
      </c>
      <c r="D524" s="8">
        <v>8.24</v>
      </c>
      <c r="E524" s="4">
        <v>21</v>
      </c>
      <c r="F524" s="8">
        <v>8.4</v>
      </c>
      <c r="G524" s="4">
        <v>6</v>
      </c>
      <c r="H524" s="8">
        <v>6.25</v>
      </c>
      <c r="I524" s="4">
        <v>1</v>
      </c>
    </row>
    <row r="525" spans="1:9" x14ac:dyDescent="0.2">
      <c r="A525" s="2">
        <v>4</v>
      </c>
      <c r="B525" s="1" t="s">
        <v>69</v>
      </c>
      <c r="C525" s="4">
        <v>24</v>
      </c>
      <c r="D525" s="8">
        <v>6.82</v>
      </c>
      <c r="E525" s="4">
        <v>22</v>
      </c>
      <c r="F525" s="8">
        <v>8.8000000000000007</v>
      </c>
      <c r="G525" s="4">
        <v>2</v>
      </c>
      <c r="H525" s="8">
        <v>2.08</v>
      </c>
      <c r="I525" s="4">
        <v>0</v>
      </c>
    </row>
    <row r="526" spans="1:9" x14ac:dyDescent="0.2">
      <c r="A526" s="2">
        <v>5</v>
      </c>
      <c r="B526" s="1" t="s">
        <v>71</v>
      </c>
      <c r="C526" s="4">
        <v>18</v>
      </c>
      <c r="D526" s="8">
        <v>5.1100000000000003</v>
      </c>
      <c r="E526" s="4">
        <v>13</v>
      </c>
      <c r="F526" s="8">
        <v>5.2</v>
      </c>
      <c r="G526" s="4">
        <v>5</v>
      </c>
      <c r="H526" s="8">
        <v>5.21</v>
      </c>
      <c r="I526" s="4">
        <v>0</v>
      </c>
    </row>
    <row r="527" spans="1:9" x14ac:dyDescent="0.2">
      <c r="A527" s="2">
        <v>6</v>
      </c>
      <c r="B527" s="1" t="s">
        <v>73</v>
      </c>
      <c r="C527" s="4">
        <v>16</v>
      </c>
      <c r="D527" s="8">
        <v>4.55</v>
      </c>
      <c r="E527" s="4">
        <v>4</v>
      </c>
      <c r="F527" s="8">
        <v>1.6</v>
      </c>
      <c r="G527" s="4">
        <v>11</v>
      </c>
      <c r="H527" s="8">
        <v>11.46</v>
      </c>
      <c r="I527" s="4">
        <v>0</v>
      </c>
    </row>
    <row r="528" spans="1:9" x14ac:dyDescent="0.2">
      <c r="A528" s="2">
        <v>7</v>
      </c>
      <c r="B528" s="1" t="s">
        <v>67</v>
      </c>
      <c r="C528" s="4">
        <v>15</v>
      </c>
      <c r="D528" s="8">
        <v>4.26</v>
      </c>
      <c r="E528" s="4">
        <v>2</v>
      </c>
      <c r="F528" s="8">
        <v>0.8</v>
      </c>
      <c r="G528" s="4">
        <v>13</v>
      </c>
      <c r="H528" s="8">
        <v>13.54</v>
      </c>
      <c r="I528" s="4">
        <v>0</v>
      </c>
    </row>
    <row r="529" spans="1:9" x14ac:dyDescent="0.2">
      <c r="A529" s="2">
        <v>8</v>
      </c>
      <c r="B529" s="1" t="s">
        <v>84</v>
      </c>
      <c r="C529" s="4">
        <v>12</v>
      </c>
      <c r="D529" s="8">
        <v>3.41</v>
      </c>
      <c r="E529" s="4">
        <v>12</v>
      </c>
      <c r="F529" s="8">
        <v>4.8</v>
      </c>
      <c r="G529" s="4">
        <v>0</v>
      </c>
      <c r="H529" s="8">
        <v>0</v>
      </c>
      <c r="I529" s="4">
        <v>0</v>
      </c>
    </row>
    <row r="530" spans="1:9" x14ac:dyDescent="0.2">
      <c r="A530" s="2">
        <v>9</v>
      </c>
      <c r="B530" s="1" t="s">
        <v>66</v>
      </c>
      <c r="C530" s="4">
        <v>11</v>
      </c>
      <c r="D530" s="8">
        <v>3.13</v>
      </c>
      <c r="E530" s="4">
        <v>4</v>
      </c>
      <c r="F530" s="8">
        <v>1.6</v>
      </c>
      <c r="G530" s="4">
        <v>7</v>
      </c>
      <c r="H530" s="8">
        <v>7.29</v>
      </c>
      <c r="I530" s="4">
        <v>0</v>
      </c>
    </row>
    <row r="531" spans="1:9" x14ac:dyDescent="0.2">
      <c r="A531" s="2">
        <v>10</v>
      </c>
      <c r="B531" s="1" t="s">
        <v>68</v>
      </c>
      <c r="C531" s="4">
        <v>10</v>
      </c>
      <c r="D531" s="8">
        <v>2.84</v>
      </c>
      <c r="E531" s="4">
        <v>8</v>
      </c>
      <c r="F531" s="8">
        <v>3.2</v>
      </c>
      <c r="G531" s="4">
        <v>2</v>
      </c>
      <c r="H531" s="8">
        <v>2.08</v>
      </c>
      <c r="I531" s="4">
        <v>0</v>
      </c>
    </row>
    <row r="532" spans="1:9" x14ac:dyDescent="0.2">
      <c r="A532" s="2">
        <v>11</v>
      </c>
      <c r="B532" s="1" t="s">
        <v>70</v>
      </c>
      <c r="C532" s="4">
        <v>9</v>
      </c>
      <c r="D532" s="8">
        <v>2.56</v>
      </c>
      <c r="E532" s="4">
        <v>8</v>
      </c>
      <c r="F532" s="8">
        <v>3.2</v>
      </c>
      <c r="G532" s="4">
        <v>1</v>
      </c>
      <c r="H532" s="8">
        <v>1.04</v>
      </c>
      <c r="I532" s="4">
        <v>0</v>
      </c>
    </row>
    <row r="533" spans="1:9" x14ac:dyDescent="0.2">
      <c r="A533" s="2">
        <v>12</v>
      </c>
      <c r="B533" s="1" t="s">
        <v>65</v>
      </c>
      <c r="C533" s="4">
        <v>7</v>
      </c>
      <c r="D533" s="8">
        <v>1.99</v>
      </c>
      <c r="E533" s="4">
        <v>2</v>
      </c>
      <c r="F533" s="8">
        <v>0.8</v>
      </c>
      <c r="G533" s="4">
        <v>5</v>
      </c>
      <c r="H533" s="8">
        <v>5.21</v>
      </c>
      <c r="I533" s="4">
        <v>0</v>
      </c>
    </row>
    <row r="534" spans="1:9" x14ac:dyDescent="0.2">
      <c r="A534" s="2">
        <v>12</v>
      </c>
      <c r="B534" s="1" t="s">
        <v>74</v>
      </c>
      <c r="C534" s="4">
        <v>7</v>
      </c>
      <c r="D534" s="8">
        <v>1.99</v>
      </c>
      <c r="E534" s="4">
        <v>5</v>
      </c>
      <c r="F534" s="8">
        <v>2</v>
      </c>
      <c r="G534" s="4">
        <v>2</v>
      </c>
      <c r="H534" s="8">
        <v>2.08</v>
      </c>
      <c r="I534" s="4">
        <v>0</v>
      </c>
    </row>
    <row r="535" spans="1:9" x14ac:dyDescent="0.2">
      <c r="A535" s="2">
        <v>12</v>
      </c>
      <c r="B535" s="1" t="s">
        <v>75</v>
      </c>
      <c r="C535" s="4">
        <v>7</v>
      </c>
      <c r="D535" s="8">
        <v>1.99</v>
      </c>
      <c r="E535" s="4">
        <v>1</v>
      </c>
      <c r="F535" s="8">
        <v>0.4</v>
      </c>
      <c r="G535" s="4">
        <v>6</v>
      </c>
      <c r="H535" s="8">
        <v>6.25</v>
      </c>
      <c r="I535" s="4">
        <v>0</v>
      </c>
    </row>
    <row r="536" spans="1:9" x14ac:dyDescent="0.2">
      <c r="A536" s="2">
        <v>12</v>
      </c>
      <c r="B536" s="1" t="s">
        <v>91</v>
      </c>
      <c r="C536" s="4">
        <v>7</v>
      </c>
      <c r="D536" s="8">
        <v>1.99</v>
      </c>
      <c r="E536" s="4">
        <v>5</v>
      </c>
      <c r="F536" s="8">
        <v>2</v>
      </c>
      <c r="G536" s="4">
        <v>1</v>
      </c>
      <c r="H536" s="8">
        <v>1.04</v>
      </c>
      <c r="I536" s="4">
        <v>0</v>
      </c>
    </row>
    <row r="537" spans="1:9" x14ac:dyDescent="0.2">
      <c r="A537" s="2">
        <v>16</v>
      </c>
      <c r="B537" s="1" t="s">
        <v>79</v>
      </c>
      <c r="C537" s="4">
        <v>6</v>
      </c>
      <c r="D537" s="8">
        <v>1.7</v>
      </c>
      <c r="E537" s="4">
        <v>5</v>
      </c>
      <c r="F537" s="8">
        <v>2</v>
      </c>
      <c r="G537" s="4">
        <v>1</v>
      </c>
      <c r="H537" s="8">
        <v>1.04</v>
      </c>
      <c r="I537" s="4">
        <v>0</v>
      </c>
    </row>
    <row r="538" spans="1:9" x14ac:dyDescent="0.2">
      <c r="A538" s="2">
        <v>17</v>
      </c>
      <c r="B538" s="1" t="s">
        <v>108</v>
      </c>
      <c r="C538" s="4">
        <v>5</v>
      </c>
      <c r="D538" s="8">
        <v>1.42</v>
      </c>
      <c r="E538" s="4">
        <v>3</v>
      </c>
      <c r="F538" s="8">
        <v>1.2</v>
      </c>
      <c r="G538" s="4">
        <v>2</v>
      </c>
      <c r="H538" s="8">
        <v>2.08</v>
      </c>
      <c r="I538" s="4">
        <v>0</v>
      </c>
    </row>
    <row r="539" spans="1:9" x14ac:dyDescent="0.2">
      <c r="A539" s="2">
        <v>17</v>
      </c>
      <c r="B539" s="1" t="s">
        <v>105</v>
      </c>
      <c r="C539" s="4">
        <v>5</v>
      </c>
      <c r="D539" s="8">
        <v>1.42</v>
      </c>
      <c r="E539" s="4">
        <v>3</v>
      </c>
      <c r="F539" s="8">
        <v>1.2</v>
      </c>
      <c r="G539" s="4">
        <v>2</v>
      </c>
      <c r="H539" s="8">
        <v>2.08</v>
      </c>
      <c r="I539" s="4">
        <v>0</v>
      </c>
    </row>
    <row r="540" spans="1:9" x14ac:dyDescent="0.2">
      <c r="A540" s="2">
        <v>17</v>
      </c>
      <c r="B540" s="1" t="s">
        <v>89</v>
      </c>
      <c r="C540" s="4">
        <v>5</v>
      </c>
      <c r="D540" s="8">
        <v>1.42</v>
      </c>
      <c r="E540" s="4">
        <v>2</v>
      </c>
      <c r="F540" s="8">
        <v>0.8</v>
      </c>
      <c r="G540" s="4">
        <v>2</v>
      </c>
      <c r="H540" s="8">
        <v>2.08</v>
      </c>
      <c r="I540" s="4">
        <v>1</v>
      </c>
    </row>
    <row r="541" spans="1:9" x14ac:dyDescent="0.2">
      <c r="A541" s="2">
        <v>20</v>
      </c>
      <c r="B541" s="1" t="s">
        <v>96</v>
      </c>
      <c r="C541" s="4">
        <v>4</v>
      </c>
      <c r="D541" s="8">
        <v>1.1399999999999999</v>
      </c>
      <c r="E541" s="4">
        <v>4</v>
      </c>
      <c r="F541" s="8">
        <v>1.6</v>
      </c>
      <c r="G541" s="4">
        <v>0</v>
      </c>
      <c r="H541" s="8">
        <v>0</v>
      </c>
      <c r="I541" s="4">
        <v>0</v>
      </c>
    </row>
    <row r="542" spans="1:9" x14ac:dyDescent="0.2">
      <c r="A542" s="1"/>
      <c r="C542" s="4"/>
      <c r="D542" s="8"/>
      <c r="E542" s="4"/>
      <c r="F542" s="8"/>
      <c r="G542" s="4"/>
      <c r="H542" s="8"/>
      <c r="I542" s="4"/>
    </row>
    <row r="543" spans="1:9" x14ac:dyDescent="0.2">
      <c r="A543" s="1" t="s">
        <v>23</v>
      </c>
      <c r="C543" s="4"/>
      <c r="D543" s="8"/>
      <c r="E543" s="4"/>
      <c r="F543" s="8"/>
      <c r="G543" s="4"/>
      <c r="H543" s="8"/>
      <c r="I543" s="4"/>
    </row>
    <row r="544" spans="1:9" x14ac:dyDescent="0.2">
      <c r="A544" s="2">
        <v>1</v>
      </c>
      <c r="B544" s="1" t="s">
        <v>73</v>
      </c>
      <c r="C544" s="4">
        <v>92</v>
      </c>
      <c r="D544" s="8">
        <v>13.12</v>
      </c>
      <c r="E544" s="4">
        <v>35</v>
      </c>
      <c r="F544" s="8">
        <v>9.41</v>
      </c>
      <c r="G544" s="4">
        <v>56</v>
      </c>
      <c r="H544" s="8">
        <v>18.239999999999998</v>
      </c>
      <c r="I544" s="4">
        <v>0</v>
      </c>
    </row>
    <row r="545" spans="1:9" x14ac:dyDescent="0.2">
      <c r="A545" s="2">
        <v>2</v>
      </c>
      <c r="B545" s="1" t="s">
        <v>78</v>
      </c>
      <c r="C545" s="4">
        <v>91</v>
      </c>
      <c r="D545" s="8">
        <v>12.98</v>
      </c>
      <c r="E545" s="4">
        <v>76</v>
      </c>
      <c r="F545" s="8">
        <v>20.43</v>
      </c>
      <c r="G545" s="4">
        <v>15</v>
      </c>
      <c r="H545" s="8">
        <v>4.8899999999999997</v>
      </c>
      <c r="I545" s="4">
        <v>0</v>
      </c>
    </row>
    <row r="546" spans="1:9" x14ac:dyDescent="0.2">
      <c r="A546" s="2">
        <v>3</v>
      </c>
      <c r="B546" s="1" t="s">
        <v>77</v>
      </c>
      <c r="C546" s="4">
        <v>90</v>
      </c>
      <c r="D546" s="8">
        <v>12.84</v>
      </c>
      <c r="E546" s="4">
        <v>58</v>
      </c>
      <c r="F546" s="8">
        <v>15.59</v>
      </c>
      <c r="G546" s="4">
        <v>32</v>
      </c>
      <c r="H546" s="8">
        <v>10.42</v>
      </c>
      <c r="I546" s="4">
        <v>0</v>
      </c>
    </row>
    <row r="547" spans="1:9" x14ac:dyDescent="0.2">
      <c r="A547" s="2">
        <v>4</v>
      </c>
      <c r="B547" s="1" t="s">
        <v>71</v>
      </c>
      <c r="C547" s="4">
        <v>57</v>
      </c>
      <c r="D547" s="8">
        <v>8.1300000000000008</v>
      </c>
      <c r="E547" s="4">
        <v>32</v>
      </c>
      <c r="F547" s="8">
        <v>8.6</v>
      </c>
      <c r="G547" s="4">
        <v>25</v>
      </c>
      <c r="H547" s="8">
        <v>8.14</v>
      </c>
      <c r="I547" s="4">
        <v>0</v>
      </c>
    </row>
    <row r="548" spans="1:9" x14ac:dyDescent="0.2">
      <c r="A548" s="2">
        <v>5</v>
      </c>
      <c r="B548" s="1" t="s">
        <v>81</v>
      </c>
      <c r="C548" s="4">
        <v>44</v>
      </c>
      <c r="D548" s="8">
        <v>6.28</v>
      </c>
      <c r="E548" s="4">
        <v>27</v>
      </c>
      <c r="F548" s="8">
        <v>7.26</v>
      </c>
      <c r="G548" s="4">
        <v>6</v>
      </c>
      <c r="H548" s="8">
        <v>1.95</v>
      </c>
      <c r="I548" s="4">
        <v>0</v>
      </c>
    </row>
    <row r="549" spans="1:9" x14ac:dyDescent="0.2">
      <c r="A549" s="2">
        <v>6</v>
      </c>
      <c r="B549" s="1" t="s">
        <v>68</v>
      </c>
      <c r="C549" s="4">
        <v>34</v>
      </c>
      <c r="D549" s="8">
        <v>4.8499999999999996</v>
      </c>
      <c r="E549" s="4">
        <v>19</v>
      </c>
      <c r="F549" s="8">
        <v>5.1100000000000003</v>
      </c>
      <c r="G549" s="4">
        <v>15</v>
      </c>
      <c r="H549" s="8">
        <v>4.8899999999999997</v>
      </c>
      <c r="I549" s="4">
        <v>0</v>
      </c>
    </row>
    <row r="550" spans="1:9" x14ac:dyDescent="0.2">
      <c r="A550" s="2">
        <v>7</v>
      </c>
      <c r="B550" s="1" t="s">
        <v>69</v>
      </c>
      <c r="C550" s="4">
        <v>30</v>
      </c>
      <c r="D550" s="8">
        <v>4.28</v>
      </c>
      <c r="E550" s="4">
        <v>18</v>
      </c>
      <c r="F550" s="8">
        <v>4.84</v>
      </c>
      <c r="G550" s="4">
        <v>12</v>
      </c>
      <c r="H550" s="8">
        <v>3.91</v>
      </c>
      <c r="I550" s="4">
        <v>0</v>
      </c>
    </row>
    <row r="551" spans="1:9" x14ac:dyDescent="0.2">
      <c r="A551" s="2">
        <v>8</v>
      </c>
      <c r="B551" s="1" t="s">
        <v>65</v>
      </c>
      <c r="C551" s="4">
        <v>23</v>
      </c>
      <c r="D551" s="8">
        <v>3.28</v>
      </c>
      <c r="E551" s="4">
        <v>3</v>
      </c>
      <c r="F551" s="8">
        <v>0.81</v>
      </c>
      <c r="G551" s="4">
        <v>20</v>
      </c>
      <c r="H551" s="8">
        <v>6.51</v>
      </c>
      <c r="I551" s="4">
        <v>0</v>
      </c>
    </row>
    <row r="552" spans="1:9" x14ac:dyDescent="0.2">
      <c r="A552" s="2">
        <v>9</v>
      </c>
      <c r="B552" s="1" t="s">
        <v>70</v>
      </c>
      <c r="C552" s="4">
        <v>19</v>
      </c>
      <c r="D552" s="8">
        <v>2.71</v>
      </c>
      <c r="E552" s="4">
        <v>11</v>
      </c>
      <c r="F552" s="8">
        <v>2.96</v>
      </c>
      <c r="G552" s="4">
        <v>7</v>
      </c>
      <c r="H552" s="8">
        <v>2.2799999999999998</v>
      </c>
      <c r="I552" s="4">
        <v>1</v>
      </c>
    </row>
    <row r="553" spans="1:9" x14ac:dyDescent="0.2">
      <c r="A553" s="2">
        <v>10</v>
      </c>
      <c r="B553" s="1" t="s">
        <v>75</v>
      </c>
      <c r="C553" s="4">
        <v>18</v>
      </c>
      <c r="D553" s="8">
        <v>2.57</v>
      </c>
      <c r="E553" s="4">
        <v>6</v>
      </c>
      <c r="F553" s="8">
        <v>1.61</v>
      </c>
      <c r="G553" s="4">
        <v>11</v>
      </c>
      <c r="H553" s="8">
        <v>3.58</v>
      </c>
      <c r="I553" s="4">
        <v>0</v>
      </c>
    </row>
    <row r="554" spans="1:9" x14ac:dyDescent="0.2">
      <c r="A554" s="2">
        <v>11</v>
      </c>
      <c r="B554" s="1" t="s">
        <v>72</v>
      </c>
      <c r="C554" s="4">
        <v>17</v>
      </c>
      <c r="D554" s="8">
        <v>2.4300000000000002</v>
      </c>
      <c r="E554" s="4">
        <v>4</v>
      </c>
      <c r="F554" s="8">
        <v>1.08</v>
      </c>
      <c r="G554" s="4">
        <v>13</v>
      </c>
      <c r="H554" s="8">
        <v>4.2300000000000004</v>
      </c>
      <c r="I554" s="4">
        <v>0</v>
      </c>
    </row>
    <row r="555" spans="1:9" x14ac:dyDescent="0.2">
      <c r="A555" s="2">
        <v>12</v>
      </c>
      <c r="B555" s="1" t="s">
        <v>67</v>
      </c>
      <c r="C555" s="4">
        <v>16</v>
      </c>
      <c r="D555" s="8">
        <v>2.2799999999999998</v>
      </c>
      <c r="E555" s="4">
        <v>6</v>
      </c>
      <c r="F555" s="8">
        <v>1.61</v>
      </c>
      <c r="G555" s="4">
        <v>10</v>
      </c>
      <c r="H555" s="8">
        <v>3.26</v>
      </c>
      <c r="I555" s="4">
        <v>0</v>
      </c>
    </row>
    <row r="556" spans="1:9" x14ac:dyDescent="0.2">
      <c r="A556" s="2">
        <v>12</v>
      </c>
      <c r="B556" s="1" t="s">
        <v>76</v>
      </c>
      <c r="C556" s="4">
        <v>16</v>
      </c>
      <c r="D556" s="8">
        <v>2.2799999999999998</v>
      </c>
      <c r="E556" s="4">
        <v>6</v>
      </c>
      <c r="F556" s="8">
        <v>1.61</v>
      </c>
      <c r="G556" s="4">
        <v>10</v>
      </c>
      <c r="H556" s="8">
        <v>3.26</v>
      </c>
      <c r="I556" s="4">
        <v>0</v>
      </c>
    </row>
    <row r="557" spans="1:9" x14ac:dyDescent="0.2">
      <c r="A557" s="2">
        <v>14</v>
      </c>
      <c r="B557" s="1" t="s">
        <v>66</v>
      </c>
      <c r="C557" s="4">
        <v>15</v>
      </c>
      <c r="D557" s="8">
        <v>2.14</v>
      </c>
      <c r="E557" s="4">
        <v>6</v>
      </c>
      <c r="F557" s="8">
        <v>1.61</v>
      </c>
      <c r="G557" s="4">
        <v>9</v>
      </c>
      <c r="H557" s="8">
        <v>2.93</v>
      </c>
      <c r="I557" s="4">
        <v>0</v>
      </c>
    </row>
    <row r="558" spans="1:9" x14ac:dyDescent="0.2">
      <c r="A558" s="2">
        <v>14</v>
      </c>
      <c r="B558" s="1" t="s">
        <v>83</v>
      </c>
      <c r="C558" s="4">
        <v>15</v>
      </c>
      <c r="D558" s="8">
        <v>2.14</v>
      </c>
      <c r="E558" s="4">
        <v>3</v>
      </c>
      <c r="F558" s="8">
        <v>0.81</v>
      </c>
      <c r="G558" s="4">
        <v>7</v>
      </c>
      <c r="H558" s="8">
        <v>2.2799999999999998</v>
      </c>
      <c r="I558" s="4">
        <v>0</v>
      </c>
    </row>
    <row r="559" spans="1:9" x14ac:dyDescent="0.2">
      <c r="A559" s="2">
        <v>16</v>
      </c>
      <c r="B559" s="1" t="s">
        <v>80</v>
      </c>
      <c r="C559" s="4">
        <v>13</v>
      </c>
      <c r="D559" s="8">
        <v>1.85</v>
      </c>
      <c r="E559" s="4">
        <v>5</v>
      </c>
      <c r="F559" s="8">
        <v>1.34</v>
      </c>
      <c r="G559" s="4">
        <v>6</v>
      </c>
      <c r="H559" s="8">
        <v>1.95</v>
      </c>
      <c r="I559" s="4">
        <v>1</v>
      </c>
    </row>
    <row r="560" spans="1:9" x14ac:dyDescent="0.2">
      <c r="A560" s="2">
        <v>16</v>
      </c>
      <c r="B560" s="1" t="s">
        <v>82</v>
      </c>
      <c r="C560" s="4">
        <v>13</v>
      </c>
      <c r="D560" s="8">
        <v>1.85</v>
      </c>
      <c r="E560" s="4">
        <v>11</v>
      </c>
      <c r="F560" s="8">
        <v>2.96</v>
      </c>
      <c r="G560" s="4">
        <v>2</v>
      </c>
      <c r="H560" s="8">
        <v>0.65</v>
      </c>
      <c r="I560" s="4">
        <v>0</v>
      </c>
    </row>
    <row r="561" spans="1:9" x14ac:dyDescent="0.2">
      <c r="A561" s="2">
        <v>18</v>
      </c>
      <c r="B561" s="1" t="s">
        <v>74</v>
      </c>
      <c r="C561" s="4">
        <v>12</v>
      </c>
      <c r="D561" s="8">
        <v>1.71</v>
      </c>
      <c r="E561" s="4">
        <v>10</v>
      </c>
      <c r="F561" s="8">
        <v>2.69</v>
      </c>
      <c r="G561" s="4">
        <v>2</v>
      </c>
      <c r="H561" s="8">
        <v>0.65</v>
      </c>
      <c r="I561" s="4">
        <v>0</v>
      </c>
    </row>
    <row r="562" spans="1:9" x14ac:dyDescent="0.2">
      <c r="A562" s="2">
        <v>19</v>
      </c>
      <c r="B562" s="1" t="s">
        <v>79</v>
      </c>
      <c r="C562" s="4">
        <v>11</v>
      </c>
      <c r="D562" s="8">
        <v>1.57</v>
      </c>
      <c r="E562" s="4">
        <v>4</v>
      </c>
      <c r="F562" s="8">
        <v>1.08</v>
      </c>
      <c r="G562" s="4">
        <v>6</v>
      </c>
      <c r="H562" s="8">
        <v>1.95</v>
      </c>
      <c r="I562" s="4">
        <v>1</v>
      </c>
    </row>
    <row r="563" spans="1:9" x14ac:dyDescent="0.2">
      <c r="A563" s="2">
        <v>20</v>
      </c>
      <c r="B563" s="1" t="s">
        <v>86</v>
      </c>
      <c r="C563" s="4">
        <v>9</v>
      </c>
      <c r="D563" s="8">
        <v>1.28</v>
      </c>
      <c r="E563" s="4">
        <v>1</v>
      </c>
      <c r="F563" s="8">
        <v>0.27</v>
      </c>
      <c r="G563" s="4">
        <v>8</v>
      </c>
      <c r="H563" s="8">
        <v>2.61</v>
      </c>
      <c r="I563" s="4">
        <v>0</v>
      </c>
    </row>
    <row r="564" spans="1:9" x14ac:dyDescent="0.2">
      <c r="A564" s="2">
        <v>20</v>
      </c>
      <c r="B564" s="1" t="s">
        <v>84</v>
      </c>
      <c r="C564" s="4">
        <v>9</v>
      </c>
      <c r="D564" s="8">
        <v>1.28</v>
      </c>
      <c r="E564" s="4">
        <v>8</v>
      </c>
      <c r="F564" s="8">
        <v>2.15</v>
      </c>
      <c r="G564" s="4">
        <v>1</v>
      </c>
      <c r="H564" s="8">
        <v>0.33</v>
      </c>
      <c r="I564" s="4">
        <v>0</v>
      </c>
    </row>
    <row r="565" spans="1:9" x14ac:dyDescent="0.2">
      <c r="A565" s="1"/>
      <c r="C565" s="4"/>
      <c r="D565" s="8"/>
      <c r="E565" s="4"/>
      <c r="F565" s="8"/>
      <c r="G565" s="4"/>
      <c r="H565" s="8"/>
      <c r="I565" s="4"/>
    </row>
    <row r="566" spans="1:9" x14ac:dyDescent="0.2">
      <c r="A566" s="1" t="s">
        <v>24</v>
      </c>
      <c r="C566" s="4"/>
      <c r="D566" s="8"/>
      <c r="E566" s="4"/>
      <c r="F566" s="8"/>
      <c r="G566" s="4"/>
      <c r="H566" s="8"/>
      <c r="I566" s="4"/>
    </row>
    <row r="567" spans="1:9" x14ac:dyDescent="0.2">
      <c r="A567" s="2">
        <v>1</v>
      </c>
      <c r="B567" s="1" t="s">
        <v>78</v>
      </c>
      <c r="C567" s="4">
        <v>46</v>
      </c>
      <c r="D567" s="8">
        <v>11.62</v>
      </c>
      <c r="E567" s="4">
        <v>41</v>
      </c>
      <c r="F567" s="8">
        <v>16.27</v>
      </c>
      <c r="G567" s="4">
        <v>5</v>
      </c>
      <c r="H567" s="8">
        <v>3.6</v>
      </c>
      <c r="I567" s="4">
        <v>0</v>
      </c>
    </row>
    <row r="568" spans="1:9" x14ac:dyDescent="0.2">
      <c r="A568" s="2">
        <v>2</v>
      </c>
      <c r="B568" s="1" t="s">
        <v>77</v>
      </c>
      <c r="C568" s="4">
        <v>39</v>
      </c>
      <c r="D568" s="8">
        <v>9.85</v>
      </c>
      <c r="E568" s="4">
        <v>31</v>
      </c>
      <c r="F568" s="8">
        <v>12.3</v>
      </c>
      <c r="G568" s="4">
        <v>8</v>
      </c>
      <c r="H568" s="8">
        <v>5.76</v>
      </c>
      <c r="I568" s="4">
        <v>0</v>
      </c>
    </row>
    <row r="569" spans="1:9" x14ac:dyDescent="0.2">
      <c r="A569" s="2">
        <v>3</v>
      </c>
      <c r="B569" s="1" t="s">
        <v>71</v>
      </c>
      <c r="C569" s="4">
        <v>37</v>
      </c>
      <c r="D569" s="8">
        <v>9.34</v>
      </c>
      <c r="E569" s="4">
        <v>20</v>
      </c>
      <c r="F569" s="8">
        <v>7.94</v>
      </c>
      <c r="G569" s="4">
        <v>17</v>
      </c>
      <c r="H569" s="8">
        <v>12.23</v>
      </c>
      <c r="I569" s="4">
        <v>0</v>
      </c>
    </row>
    <row r="570" spans="1:9" x14ac:dyDescent="0.2">
      <c r="A570" s="2">
        <v>4</v>
      </c>
      <c r="B570" s="1" t="s">
        <v>73</v>
      </c>
      <c r="C570" s="4">
        <v>32</v>
      </c>
      <c r="D570" s="8">
        <v>8.08</v>
      </c>
      <c r="E570" s="4">
        <v>10</v>
      </c>
      <c r="F570" s="8">
        <v>3.97</v>
      </c>
      <c r="G570" s="4">
        <v>22</v>
      </c>
      <c r="H570" s="8">
        <v>15.83</v>
      </c>
      <c r="I570" s="4">
        <v>0</v>
      </c>
    </row>
    <row r="571" spans="1:9" x14ac:dyDescent="0.2">
      <c r="A571" s="2">
        <v>5</v>
      </c>
      <c r="B571" s="1" t="s">
        <v>68</v>
      </c>
      <c r="C571" s="4">
        <v>26</v>
      </c>
      <c r="D571" s="8">
        <v>6.57</v>
      </c>
      <c r="E571" s="4">
        <v>5</v>
      </c>
      <c r="F571" s="8">
        <v>1.98</v>
      </c>
      <c r="G571" s="4">
        <v>21</v>
      </c>
      <c r="H571" s="8">
        <v>15.11</v>
      </c>
      <c r="I571" s="4">
        <v>0</v>
      </c>
    </row>
    <row r="572" spans="1:9" x14ac:dyDescent="0.2">
      <c r="A572" s="2">
        <v>6</v>
      </c>
      <c r="B572" s="1" t="s">
        <v>69</v>
      </c>
      <c r="C572" s="4">
        <v>23</v>
      </c>
      <c r="D572" s="8">
        <v>5.81</v>
      </c>
      <c r="E572" s="4">
        <v>21</v>
      </c>
      <c r="F572" s="8">
        <v>8.33</v>
      </c>
      <c r="G572" s="4">
        <v>2</v>
      </c>
      <c r="H572" s="8">
        <v>1.44</v>
      </c>
      <c r="I572" s="4">
        <v>0</v>
      </c>
    </row>
    <row r="573" spans="1:9" x14ac:dyDescent="0.2">
      <c r="A573" s="2">
        <v>7</v>
      </c>
      <c r="B573" s="1" t="s">
        <v>70</v>
      </c>
      <c r="C573" s="4">
        <v>22</v>
      </c>
      <c r="D573" s="8">
        <v>5.56</v>
      </c>
      <c r="E573" s="4">
        <v>20</v>
      </c>
      <c r="F573" s="8">
        <v>7.94</v>
      </c>
      <c r="G573" s="4">
        <v>2</v>
      </c>
      <c r="H573" s="8">
        <v>1.44</v>
      </c>
      <c r="I573" s="4">
        <v>0</v>
      </c>
    </row>
    <row r="574" spans="1:9" x14ac:dyDescent="0.2">
      <c r="A574" s="2">
        <v>8</v>
      </c>
      <c r="B574" s="1" t="s">
        <v>81</v>
      </c>
      <c r="C574" s="4">
        <v>18</v>
      </c>
      <c r="D574" s="8">
        <v>4.55</v>
      </c>
      <c r="E574" s="4">
        <v>17</v>
      </c>
      <c r="F574" s="8">
        <v>6.75</v>
      </c>
      <c r="G574" s="4">
        <v>1</v>
      </c>
      <c r="H574" s="8">
        <v>0.72</v>
      </c>
      <c r="I574" s="4">
        <v>0</v>
      </c>
    </row>
    <row r="575" spans="1:9" x14ac:dyDescent="0.2">
      <c r="A575" s="2">
        <v>9</v>
      </c>
      <c r="B575" s="1" t="s">
        <v>84</v>
      </c>
      <c r="C575" s="4">
        <v>14</v>
      </c>
      <c r="D575" s="8">
        <v>3.54</v>
      </c>
      <c r="E575" s="4">
        <v>12</v>
      </c>
      <c r="F575" s="8">
        <v>4.76</v>
      </c>
      <c r="G575" s="4">
        <v>2</v>
      </c>
      <c r="H575" s="8">
        <v>1.44</v>
      </c>
      <c r="I575" s="4">
        <v>0</v>
      </c>
    </row>
    <row r="576" spans="1:9" x14ac:dyDescent="0.2">
      <c r="A576" s="2">
        <v>10</v>
      </c>
      <c r="B576" s="1" t="s">
        <v>67</v>
      </c>
      <c r="C576" s="4">
        <v>13</v>
      </c>
      <c r="D576" s="8">
        <v>3.28</v>
      </c>
      <c r="E576" s="4">
        <v>8</v>
      </c>
      <c r="F576" s="8">
        <v>3.17</v>
      </c>
      <c r="G576" s="4">
        <v>5</v>
      </c>
      <c r="H576" s="8">
        <v>3.6</v>
      </c>
      <c r="I576" s="4">
        <v>0</v>
      </c>
    </row>
    <row r="577" spans="1:9" x14ac:dyDescent="0.2">
      <c r="A577" s="2">
        <v>10</v>
      </c>
      <c r="B577" s="1" t="s">
        <v>82</v>
      </c>
      <c r="C577" s="4">
        <v>13</v>
      </c>
      <c r="D577" s="8">
        <v>3.28</v>
      </c>
      <c r="E577" s="4">
        <v>11</v>
      </c>
      <c r="F577" s="8">
        <v>4.37</v>
      </c>
      <c r="G577" s="4">
        <v>2</v>
      </c>
      <c r="H577" s="8">
        <v>1.44</v>
      </c>
      <c r="I577" s="4">
        <v>0</v>
      </c>
    </row>
    <row r="578" spans="1:9" x14ac:dyDescent="0.2">
      <c r="A578" s="2">
        <v>12</v>
      </c>
      <c r="B578" s="1" t="s">
        <v>65</v>
      </c>
      <c r="C578" s="4">
        <v>11</v>
      </c>
      <c r="D578" s="8">
        <v>2.78</v>
      </c>
      <c r="E578" s="4">
        <v>4</v>
      </c>
      <c r="F578" s="8">
        <v>1.59</v>
      </c>
      <c r="G578" s="4">
        <v>7</v>
      </c>
      <c r="H578" s="8">
        <v>5.04</v>
      </c>
      <c r="I578" s="4">
        <v>0</v>
      </c>
    </row>
    <row r="579" spans="1:9" x14ac:dyDescent="0.2">
      <c r="A579" s="2">
        <v>13</v>
      </c>
      <c r="B579" s="1" t="s">
        <v>72</v>
      </c>
      <c r="C579" s="4">
        <v>10</v>
      </c>
      <c r="D579" s="8">
        <v>2.5299999999999998</v>
      </c>
      <c r="E579" s="4">
        <v>1</v>
      </c>
      <c r="F579" s="8">
        <v>0.4</v>
      </c>
      <c r="G579" s="4">
        <v>9</v>
      </c>
      <c r="H579" s="8">
        <v>6.47</v>
      </c>
      <c r="I579" s="4">
        <v>0</v>
      </c>
    </row>
    <row r="580" spans="1:9" x14ac:dyDescent="0.2">
      <c r="A580" s="2">
        <v>13</v>
      </c>
      <c r="B580" s="1" t="s">
        <v>75</v>
      </c>
      <c r="C580" s="4">
        <v>10</v>
      </c>
      <c r="D580" s="8">
        <v>2.5299999999999998</v>
      </c>
      <c r="E580" s="4">
        <v>7</v>
      </c>
      <c r="F580" s="8">
        <v>2.78</v>
      </c>
      <c r="G580" s="4">
        <v>3</v>
      </c>
      <c r="H580" s="8">
        <v>2.16</v>
      </c>
      <c r="I580" s="4">
        <v>0</v>
      </c>
    </row>
    <row r="581" spans="1:9" x14ac:dyDescent="0.2">
      <c r="A581" s="2">
        <v>15</v>
      </c>
      <c r="B581" s="1" t="s">
        <v>74</v>
      </c>
      <c r="C581" s="4">
        <v>9</v>
      </c>
      <c r="D581" s="8">
        <v>2.27</v>
      </c>
      <c r="E581" s="4">
        <v>7</v>
      </c>
      <c r="F581" s="8">
        <v>2.78</v>
      </c>
      <c r="G581" s="4">
        <v>2</v>
      </c>
      <c r="H581" s="8">
        <v>1.44</v>
      </c>
      <c r="I581" s="4">
        <v>0</v>
      </c>
    </row>
    <row r="582" spans="1:9" x14ac:dyDescent="0.2">
      <c r="A582" s="2">
        <v>16</v>
      </c>
      <c r="B582" s="1" t="s">
        <v>96</v>
      </c>
      <c r="C582" s="4">
        <v>7</v>
      </c>
      <c r="D582" s="8">
        <v>1.77</v>
      </c>
      <c r="E582" s="4">
        <v>6</v>
      </c>
      <c r="F582" s="8">
        <v>2.38</v>
      </c>
      <c r="G582" s="4">
        <v>1</v>
      </c>
      <c r="H582" s="8">
        <v>0.72</v>
      </c>
      <c r="I582" s="4">
        <v>0</v>
      </c>
    </row>
    <row r="583" spans="1:9" x14ac:dyDescent="0.2">
      <c r="A583" s="2">
        <v>16</v>
      </c>
      <c r="B583" s="1" t="s">
        <v>83</v>
      </c>
      <c r="C583" s="4">
        <v>7</v>
      </c>
      <c r="D583" s="8">
        <v>1.77</v>
      </c>
      <c r="E583" s="4">
        <v>2</v>
      </c>
      <c r="F583" s="8">
        <v>0.79</v>
      </c>
      <c r="G583" s="4">
        <v>2</v>
      </c>
      <c r="H583" s="8">
        <v>1.44</v>
      </c>
      <c r="I583" s="4">
        <v>0</v>
      </c>
    </row>
    <row r="584" spans="1:9" x14ac:dyDescent="0.2">
      <c r="A584" s="2">
        <v>18</v>
      </c>
      <c r="B584" s="1" t="s">
        <v>66</v>
      </c>
      <c r="C584" s="4">
        <v>6</v>
      </c>
      <c r="D584" s="8">
        <v>1.52</v>
      </c>
      <c r="E584" s="4">
        <v>3</v>
      </c>
      <c r="F584" s="8">
        <v>1.19</v>
      </c>
      <c r="G584" s="4">
        <v>3</v>
      </c>
      <c r="H584" s="8">
        <v>2.16</v>
      </c>
      <c r="I584" s="4">
        <v>0</v>
      </c>
    </row>
    <row r="585" spans="1:9" x14ac:dyDescent="0.2">
      <c r="A585" s="2">
        <v>19</v>
      </c>
      <c r="B585" s="1" t="s">
        <v>95</v>
      </c>
      <c r="C585" s="4">
        <v>5</v>
      </c>
      <c r="D585" s="8">
        <v>1.26</v>
      </c>
      <c r="E585" s="4">
        <v>5</v>
      </c>
      <c r="F585" s="8">
        <v>1.98</v>
      </c>
      <c r="G585" s="4">
        <v>0</v>
      </c>
      <c r="H585" s="8">
        <v>0</v>
      </c>
      <c r="I585" s="4">
        <v>0</v>
      </c>
    </row>
    <row r="586" spans="1:9" x14ac:dyDescent="0.2">
      <c r="A586" s="2">
        <v>19</v>
      </c>
      <c r="B586" s="1" t="s">
        <v>109</v>
      </c>
      <c r="C586" s="4">
        <v>5</v>
      </c>
      <c r="D586" s="8">
        <v>1.26</v>
      </c>
      <c r="E586" s="4">
        <v>3</v>
      </c>
      <c r="F586" s="8">
        <v>1.19</v>
      </c>
      <c r="G586" s="4">
        <v>2</v>
      </c>
      <c r="H586" s="8">
        <v>1.44</v>
      </c>
      <c r="I586" s="4">
        <v>0</v>
      </c>
    </row>
    <row r="587" spans="1:9" x14ac:dyDescent="0.2">
      <c r="A587" s="2">
        <v>19</v>
      </c>
      <c r="B587" s="1" t="s">
        <v>79</v>
      </c>
      <c r="C587" s="4">
        <v>5</v>
      </c>
      <c r="D587" s="8">
        <v>1.26</v>
      </c>
      <c r="E587" s="4">
        <v>2</v>
      </c>
      <c r="F587" s="8">
        <v>0.79</v>
      </c>
      <c r="G587" s="4">
        <v>3</v>
      </c>
      <c r="H587" s="8">
        <v>2.16</v>
      </c>
      <c r="I587" s="4">
        <v>0</v>
      </c>
    </row>
    <row r="588" spans="1:9" x14ac:dyDescent="0.2">
      <c r="A588" s="1"/>
      <c r="C588" s="4"/>
      <c r="D588" s="8"/>
      <c r="E588" s="4"/>
      <c r="F588" s="8"/>
      <c r="G588" s="4"/>
      <c r="H588" s="8"/>
      <c r="I588" s="4"/>
    </row>
    <row r="589" spans="1:9" x14ac:dyDescent="0.2">
      <c r="A589" s="1" t="s">
        <v>25</v>
      </c>
      <c r="C589" s="4"/>
      <c r="D589" s="8"/>
      <c r="E589" s="4"/>
      <c r="F589" s="8"/>
      <c r="G589" s="4"/>
      <c r="H589" s="8"/>
      <c r="I589" s="4"/>
    </row>
    <row r="590" spans="1:9" x14ac:dyDescent="0.2">
      <c r="A590" s="2">
        <v>1</v>
      </c>
      <c r="B590" s="1" t="s">
        <v>66</v>
      </c>
      <c r="C590" s="4">
        <v>39</v>
      </c>
      <c r="D590" s="8">
        <v>11.05</v>
      </c>
      <c r="E590" s="4">
        <v>18</v>
      </c>
      <c r="F590" s="8">
        <v>8.0399999999999991</v>
      </c>
      <c r="G590" s="4">
        <v>21</v>
      </c>
      <c r="H590" s="8">
        <v>16.940000000000001</v>
      </c>
      <c r="I590" s="4">
        <v>0</v>
      </c>
    </row>
    <row r="591" spans="1:9" x14ac:dyDescent="0.2">
      <c r="A591" s="2">
        <v>2</v>
      </c>
      <c r="B591" s="1" t="s">
        <v>84</v>
      </c>
      <c r="C591" s="4">
        <v>34</v>
      </c>
      <c r="D591" s="8">
        <v>9.6300000000000008</v>
      </c>
      <c r="E591" s="4">
        <v>34</v>
      </c>
      <c r="F591" s="8">
        <v>15.18</v>
      </c>
      <c r="G591" s="4">
        <v>0</v>
      </c>
      <c r="H591" s="8">
        <v>0</v>
      </c>
      <c r="I591" s="4">
        <v>0</v>
      </c>
    </row>
    <row r="592" spans="1:9" x14ac:dyDescent="0.2">
      <c r="A592" s="2">
        <v>3</v>
      </c>
      <c r="B592" s="1" t="s">
        <v>78</v>
      </c>
      <c r="C592" s="4">
        <v>29</v>
      </c>
      <c r="D592" s="8">
        <v>8.2200000000000006</v>
      </c>
      <c r="E592" s="4">
        <v>24</v>
      </c>
      <c r="F592" s="8">
        <v>10.71</v>
      </c>
      <c r="G592" s="4">
        <v>5</v>
      </c>
      <c r="H592" s="8">
        <v>4.03</v>
      </c>
      <c r="I592" s="4">
        <v>0</v>
      </c>
    </row>
    <row r="593" spans="1:9" x14ac:dyDescent="0.2">
      <c r="A593" s="2">
        <v>4</v>
      </c>
      <c r="B593" s="1" t="s">
        <v>73</v>
      </c>
      <c r="C593" s="4">
        <v>26</v>
      </c>
      <c r="D593" s="8">
        <v>7.37</v>
      </c>
      <c r="E593" s="4">
        <v>18</v>
      </c>
      <c r="F593" s="8">
        <v>8.0399999999999991</v>
      </c>
      <c r="G593" s="4">
        <v>8</v>
      </c>
      <c r="H593" s="8">
        <v>6.45</v>
      </c>
      <c r="I593" s="4">
        <v>0</v>
      </c>
    </row>
    <row r="594" spans="1:9" x14ac:dyDescent="0.2">
      <c r="A594" s="2">
        <v>5</v>
      </c>
      <c r="B594" s="1" t="s">
        <v>71</v>
      </c>
      <c r="C594" s="4">
        <v>24</v>
      </c>
      <c r="D594" s="8">
        <v>6.8</v>
      </c>
      <c r="E594" s="4">
        <v>19</v>
      </c>
      <c r="F594" s="8">
        <v>8.48</v>
      </c>
      <c r="G594" s="4">
        <v>5</v>
      </c>
      <c r="H594" s="8">
        <v>4.03</v>
      </c>
      <c r="I594" s="4">
        <v>0</v>
      </c>
    </row>
    <row r="595" spans="1:9" x14ac:dyDescent="0.2">
      <c r="A595" s="2">
        <v>6</v>
      </c>
      <c r="B595" s="1" t="s">
        <v>65</v>
      </c>
      <c r="C595" s="4">
        <v>21</v>
      </c>
      <c r="D595" s="8">
        <v>5.95</v>
      </c>
      <c r="E595" s="4">
        <v>6</v>
      </c>
      <c r="F595" s="8">
        <v>2.68</v>
      </c>
      <c r="G595" s="4">
        <v>15</v>
      </c>
      <c r="H595" s="8">
        <v>12.1</v>
      </c>
      <c r="I595" s="4">
        <v>0</v>
      </c>
    </row>
    <row r="596" spans="1:9" x14ac:dyDescent="0.2">
      <c r="A596" s="2">
        <v>6</v>
      </c>
      <c r="B596" s="1" t="s">
        <v>67</v>
      </c>
      <c r="C596" s="4">
        <v>21</v>
      </c>
      <c r="D596" s="8">
        <v>5.95</v>
      </c>
      <c r="E596" s="4">
        <v>6</v>
      </c>
      <c r="F596" s="8">
        <v>2.68</v>
      </c>
      <c r="G596" s="4">
        <v>15</v>
      </c>
      <c r="H596" s="8">
        <v>12.1</v>
      </c>
      <c r="I596" s="4">
        <v>0</v>
      </c>
    </row>
    <row r="597" spans="1:9" x14ac:dyDescent="0.2">
      <c r="A597" s="2">
        <v>8</v>
      </c>
      <c r="B597" s="1" t="s">
        <v>69</v>
      </c>
      <c r="C597" s="4">
        <v>16</v>
      </c>
      <c r="D597" s="8">
        <v>4.53</v>
      </c>
      <c r="E597" s="4">
        <v>11</v>
      </c>
      <c r="F597" s="8">
        <v>4.91</v>
      </c>
      <c r="G597" s="4">
        <v>5</v>
      </c>
      <c r="H597" s="8">
        <v>4.03</v>
      </c>
      <c r="I597" s="4">
        <v>0</v>
      </c>
    </row>
    <row r="598" spans="1:9" x14ac:dyDescent="0.2">
      <c r="A598" s="2">
        <v>9</v>
      </c>
      <c r="B598" s="1" t="s">
        <v>81</v>
      </c>
      <c r="C598" s="4">
        <v>15</v>
      </c>
      <c r="D598" s="8">
        <v>4.25</v>
      </c>
      <c r="E598" s="4">
        <v>14</v>
      </c>
      <c r="F598" s="8">
        <v>6.25</v>
      </c>
      <c r="G598" s="4">
        <v>1</v>
      </c>
      <c r="H598" s="8">
        <v>0.81</v>
      </c>
      <c r="I598" s="4">
        <v>0</v>
      </c>
    </row>
    <row r="599" spans="1:9" x14ac:dyDescent="0.2">
      <c r="A599" s="2">
        <v>10</v>
      </c>
      <c r="B599" s="1" t="s">
        <v>70</v>
      </c>
      <c r="C599" s="4">
        <v>14</v>
      </c>
      <c r="D599" s="8">
        <v>3.97</v>
      </c>
      <c r="E599" s="4">
        <v>12</v>
      </c>
      <c r="F599" s="8">
        <v>5.36</v>
      </c>
      <c r="G599" s="4">
        <v>2</v>
      </c>
      <c r="H599" s="8">
        <v>1.61</v>
      </c>
      <c r="I599" s="4">
        <v>0</v>
      </c>
    </row>
    <row r="600" spans="1:9" x14ac:dyDescent="0.2">
      <c r="A600" s="2">
        <v>11</v>
      </c>
      <c r="B600" s="1" t="s">
        <v>77</v>
      </c>
      <c r="C600" s="4">
        <v>12</v>
      </c>
      <c r="D600" s="8">
        <v>3.4</v>
      </c>
      <c r="E600" s="4">
        <v>12</v>
      </c>
      <c r="F600" s="8">
        <v>5.36</v>
      </c>
      <c r="G600" s="4">
        <v>0</v>
      </c>
      <c r="H600" s="8">
        <v>0</v>
      </c>
      <c r="I600" s="4">
        <v>0</v>
      </c>
    </row>
    <row r="601" spans="1:9" x14ac:dyDescent="0.2">
      <c r="A601" s="2">
        <v>12</v>
      </c>
      <c r="B601" s="1" t="s">
        <v>83</v>
      </c>
      <c r="C601" s="4">
        <v>10</v>
      </c>
      <c r="D601" s="8">
        <v>2.83</v>
      </c>
      <c r="E601" s="4">
        <v>3</v>
      </c>
      <c r="F601" s="8">
        <v>1.34</v>
      </c>
      <c r="G601" s="4">
        <v>5</v>
      </c>
      <c r="H601" s="8">
        <v>4.03</v>
      </c>
      <c r="I601" s="4">
        <v>0</v>
      </c>
    </row>
    <row r="602" spans="1:9" x14ac:dyDescent="0.2">
      <c r="A602" s="2">
        <v>13</v>
      </c>
      <c r="B602" s="1" t="s">
        <v>75</v>
      </c>
      <c r="C602" s="4">
        <v>8</v>
      </c>
      <c r="D602" s="8">
        <v>2.27</v>
      </c>
      <c r="E602" s="4">
        <v>5</v>
      </c>
      <c r="F602" s="8">
        <v>2.23</v>
      </c>
      <c r="G602" s="4">
        <v>3</v>
      </c>
      <c r="H602" s="8">
        <v>2.42</v>
      </c>
      <c r="I602" s="4">
        <v>0</v>
      </c>
    </row>
    <row r="603" spans="1:9" x14ac:dyDescent="0.2">
      <c r="A603" s="2">
        <v>14</v>
      </c>
      <c r="B603" s="1" t="s">
        <v>85</v>
      </c>
      <c r="C603" s="4">
        <v>7</v>
      </c>
      <c r="D603" s="8">
        <v>1.98</v>
      </c>
      <c r="E603" s="4">
        <v>3</v>
      </c>
      <c r="F603" s="8">
        <v>1.34</v>
      </c>
      <c r="G603" s="4">
        <v>4</v>
      </c>
      <c r="H603" s="8">
        <v>3.23</v>
      </c>
      <c r="I603" s="4">
        <v>0</v>
      </c>
    </row>
    <row r="604" spans="1:9" x14ac:dyDescent="0.2">
      <c r="A604" s="2">
        <v>14</v>
      </c>
      <c r="B604" s="1" t="s">
        <v>74</v>
      </c>
      <c r="C604" s="4">
        <v>7</v>
      </c>
      <c r="D604" s="8">
        <v>1.98</v>
      </c>
      <c r="E604" s="4">
        <v>6</v>
      </c>
      <c r="F604" s="8">
        <v>2.68</v>
      </c>
      <c r="G604" s="4">
        <v>1</v>
      </c>
      <c r="H604" s="8">
        <v>0.81</v>
      </c>
      <c r="I604" s="4">
        <v>0</v>
      </c>
    </row>
    <row r="605" spans="1:9" x14ac:dyDescent="0.2">
      <c r="A605" s="2">
        <v>16</v>
      </c>
      <c r="B605" s="1" t="s">
        <v>92</v>
      </c>
      <c r="C605" s="4">
        <v>6</v>
      </c>
      <c r="D605" s="8">
        <v>1.7</v>
      </c>
      <c r="E605" s="4">
        <v>2</v>
      </c>
      <c r="F605" s="8">
        <v>0.89</v>
      </c>
      <c r="G605" s="4">
        <v>4</v>
      </c>
      <c r="H605" s="8">
        <v>3.23</v>
      </c>
      <c r="I605" s="4">
        <v>0</v>
      </c>
    </row>
    <row r="606" spans="1:9" x14ac:dyDescent="0.2">
      <c r="A606" s="2">
        <v>17</v>
      </c>
      <c r="B606" s="1" t="s">
        <v>96</v>
      </c>
      <c r="C606" s="4">
        <v>5</v>
      </c>
      <c r="D606" s="8">
        <v>1.42</v>
      </c>
      <c r="E606" s="4">
        <v>5</v>
      </c>
      <c r="F606" s="8">
        <v>2.23</v>
      </c>
      <c r="G606" s="4">
        <v>0</v>
      </c>
      <c r="H606" s="8">
        <v>0</v>
      </c>
      <c r="I606" s="4">
        <v>0</v>
      </c>
    </row>
    <row r="607" spans="1:9" x14ac:dyDescent="0.2">
      <c r="A607" s="2">
        <v>17</v>
      </c>
      <c r="B607" s="1" t="s">
        <v>89</v>
      </c>
      <c r="C607" s="4">
        <v>5</v>
      </c>
      <c r="D607" s="8">
        <v>1.42</v>
      </c>
      <c r="E607" s="4">
        <v>1</v>
      </c>
      <c r="F607" s="8">
        <v>0.45</v>
      </c>
      <c r="G607" s="4">
        <v>4</v>
      </c>
      <c r="H607" s="8">
        <v>3.23</v>
      </c>
      <c r="I607" s="4">
        <v>0</v>
      </c>
    </row>
    <row r="608" spans="1:9" x14ac:dyDescent="0.2">
      <c r="A608" s="2">
        <v>17</v>
      </c>
      <c r="B608" s="1" t="s">
        <v>90</v>
      </c>
      <c r="C608" s="4">
        <v>5</v>
      </c>
      <c r="D608" s="8">
        <v>1.42</v>
      </c>
      <c r="E608" s="4">
        <v>0</v>
      </c>
      <c r="F608" s="8">
        <v>0</v>
      </c>
      <c r="G608" s="4">
        <v>5</v>
      </c>
      <c r="H608" s="8">
        <v>4.03</v>
      </c>
      <c r="I608" s="4">
        <v>0</v>
      </c>
    </row>
    <row r="609" spans="1:9" x14ac:dyDescent="0.2">
      <c r="A609" s="2">
        <v>17</v>
      </c>
      <c r="B609" s="1" t="s">
        <v>82</v>
      </c>
      <c r="C609" s="4">
        <v>5</v>
      </c>
      <c r="D609" s="8">
        <v>1.42</v>
      </c>
      <c r="E609" s="4">
        <v>4</v>
      </c>
      <c r="F609" s="8">
        <v>1.79</v>
      </c>
      <c r="G609" s="4">
        <v>1</v>
      </c>
      <c r="H609" s="8">
        <v>0.81</v>
      </c>
      <c r="I609" s="4">
        <v>0</v>
      </c>
    </row>
    <row r="610" spans="1:9" x14ac:dyDescent="0.2">
      <c r="A610" s="1"/>
      <c r="C610" s="4"/>
      <c r="D610" s="8"/>
      <c r="E610" s="4"/>
      <c r="F610" s="8"/>
      <c r="G610" s="4"/>
      <c r="H610" s="8"/>
      <c r="I610" s="4"/>
    </row>
    <row r="611" spans="1:9" x14ac:dyDescent="0.2">
      <c r="A611" s="1" t="s">
        <v>26</v>
      </c>
      <c r="C611" s="4"/>
      <c r="D611" s="8"/>
      <c r="E611" s="4"/>
      <c r="F611" s="8"/>
      <c r="G611" s="4"/>
      <c r="H611" s="8"/>
      <c r="I611" s="4"/>
    </row>
    <row r="612" spans="1:9" x14ac:dyDescent="0.2">
      <c r="A612" s="2">
        <v>1</v>
      </c>
      <c r="B612" s="1" t="s">
        <v>77</v>
      </c>
      <c r="C612" s="4">
        <v>68</v>
      </c>
      <c r="D612" s="8">
        <v>9.01</v>
      </c>
      <c r="E612" s="4">
        <v>62</v>
      </c>
      <c r="F612" s="8">
        <v>13.57</v>
      </c>
      <c r="G612" s="4">
        <v>6</v>
      </c>
      <c r="H612" s="8">
        <v>2.1</v>
      </c>
      <c r="I612" s="4">
        <v>0</v>
      </c>
    </row>
    <row r="613" spans="1:9" x14ac:dyDescent="0.2">
      <c r="A613" s="2">
        <v>2</v>
      </c>
      <c r="B613" s="1" t="s">
        <v>78</v>
      </c>
      <c r="C613" s="4">
        <v>67</v>
      </c>
      <c r="D613" s="8">
        <v>8.8699999999999992</v>
      </c>
      <c r="E613" s="4">
        <v>61</v>
      </c>
      <c r="F613" s="8">
        <v>13.35</v>
      </c>
      <c r="G613" s="4">
        <v>6</v>
      </c>
      <c r="H613" s="8">
        <v>2.1</v>
      </c>
      <c r="I613" s="4">
        <v>0</v>
      </c>
    </row>
    <row r="614" spans="1:9" x14ac:dyDescent="0.2">
      <c r="A614" s="2">
        <v>3</v>
      </c>
      <c r="B614" s="1" t="s">
        <v>81</v>
      </c>
      <c r="C614" s="4">
        <v>55</v>
      </c>
      <c r="D614" s="8">
        <v>7.28</v>
      </c>
      <c r="E614" s="4">
        <v>53</v>
      </c>
      <c r="F614" s="8">
        <v>11.6</v>
      </c>
      <c r="G614" s="4">
        <v>1</v>
      </c>
      <c r="H614" s="8">
        <v>0.35</v>
      </c>
      <c r="I614" s="4">
        <v>0</v>
      </c>
    </row>
    <row r="615" spans="1:9" x14ac:dyDescent="0.2">
      <c r="A615" s="2">
        <v>4</v>
      </c>
      <c r="B615" s="1" t="s">
        <v>66</v>
      </c>
      <c r="C615" s="4">
        <v>50</v>
      </c>
      <c r="D615" s="8">
        <v>6.62</v>
      </c>
      <c r="E615" s="4">
        <v>27</v>
      </c>
      <c r="F615" s="8">
        <v>5.91</v>
      </c>
      <c r="G615" s="4">
        <v>23</v>
      </c>
      <c r="H615" s="8">
        <v>8.0399999999999991</v>
      </c>
      <c r="I615" s="4">
        <v>0</v>
      </c>
    </row>
    <row r="616" spans="1:9" x14ac:dyDescent="0.2">
      <c r="A616" s="2">
        <v>5</v>
      </c>
      <c r="B616" s="1" t="s">
        <v>70</v>
      </c>
      <c r="C616" s="4">
        <v>48</v>
      </c>
      <c r="D616" s="8">
        <v>6.36</v>
      </c>
      <c r="E616" s="4">
        <v>36</v>
      </c>
      <c r="F616" s="8">
        <v>7.88</v>
      </c>
      <c r="G616" s="4">
        <v>12</v>
      </c>
      <c r="H616" s="8">
        <v>4.2</v>
      </c>
      <c r="I616" s="4">
        <v>0</v>
      </c>
    </row>
    <row r="617" spans="1:9" x14ac:dyDescent="0.2">
      <c r="A617" s="2">
        <v>5</v>
      </c>
      <c r="B617" s="1" t="s">
        <v>71</v>
      </c>
      <c r="C617" s="4">
        <v>48</v>
      </c>
      <c r="D617" s="8">
        <v>6.36</v>
      </c>
      <c r="E617" s="4">
        <v>35</v>
      </c>
      <c r="F617" s="8">
        <v>7.66</v>
      </c>
      <c r="G617" s="4">
        <v>13</v>
      </c>
      <c r="H617" s="8">
        <v>4.55</v>
      </c>
      <c r="I617" s="4">
        <v>0</v>
      </c>
    </row>
    <row r="618" spans="1:9" x14ac:dyDescent="0.2">
      <c r="A618" s="2">
        <v>7</v>
      </c>
      <c r="B618" s="1" t="s">
        <v>73</v>
      </c>
      <c r="C618" s="4">
        <v>39</v>
      </c>
      <c r="D618" s="8">
        <v>5.17</v>
      </c>
      <c r="E618" s="4">
        <v>13</v>
      </c>
      <c r="F618" s="8">
        <v>2.84</v>
      </c>
      <c r="G618" s="4">
        <v>26</v>
      </c>
      <c r="H618" s="8">
        <v>9.09</v>
      </c>
      <c r="I618" s="4">
        <v>0</v>
      </c>
    </row>
    <row r="619" spans="1:9" x14ac:dyDescent="0.2">
      <c r="A619" s="2">
        <v>8</v>
      </c>
      <c r="B619" s="1" t="s">
        <v>67</v>
      </c>
      <c r="C619" s="4">
        <v>36</v>
      </c>
      <c r="D619" s="8">
        <v>4.7699999999999996</v>
      </c>
      <c r="E619" s="4">
        <v>16</v>
      </c>
      <c r="F619" s="8">
        <v>3.5</v>
      </c>
      <c r="G619" s="4">
        <v>20</v>
      </c>
      <c r="H619" s="8">
        <v>6.99</v>
      </c>
      <c r="I619" s="4">
        <v>0</v>
      </c>
    </row>
    <row r="620" spans="1:9" x14ac:dyDescent="0.2">
      <c r="A620" s="2">
        <v>9</v>
      </c>
      <c r="B620" s="1" t="s">
        <v>65</v>
      </c>
      <c r="C620" s="4">
        <v>35</v>
      </c>
      <c r="D620" s="8">
        <v>4.6399999999999997</v>
      </c>
      <c r="E620" s="4">
        <v>10</v>
      </c>
      <c r="F620" s="8">
        <v>2.19</v>
      </c>
      <c r="G620" s="4">
        <v>25</v>
      </c>
      <c r="H620" s="8">
        <v>8.74</v>
      </c>
      <c r="I620" s="4">
        <v>0</v>
      </c>
    </row>
    <row r="621" spans="1:9" x14ac:dyDescent="0.2">
      <c r="A621" s="2">
        <v>10</v>
      </c>
      <c r="B621" s="1" t="s">
        <v>84</v>
      </c>
      <c r="C621" s="4">
        <v>27</v>
      </c>
      <c r="D621" s="8">
        <v>3.58</v>
      </c>
      <c r="E621" s="4">
        <v>26</v>
      </c>
      <c r="F621" s="8">
        <v>5.69</v>
      </c>
      <c r="G621" s="4">
        <v>1</v>
      </c>
      <c r="H621" s="8">
        <v>0.35</v>
      </c>
      <c r="I621" s="4">
        <v>0</v>
      </c>
    </row>
    <row r="622" spans="1:9" x14ac:dyDescent="0.2">
      <c r="A622" s="2">
        <v>11</v>
      </c>
      <c r="B622" s="1" t="s">
        <v>69</v>
      </c>
      <c r="C622" s="4">
        <v>24</v>
      </c>
      <c r="D622" s="8">
        <v>3.18</v>
      </c>
      <c r="E622" s="4">
        <v>18</v>
      </c>
      <c r="F622" s="8">
        <v>3.94</v>
      </c>
      <c r="G622" s="4">
        <v>6</v>
      </c>
      <c r="H622" s="8">
        <v>2.1</v>
      </c>
      <c r="I622" s="4">
        <v>0</v>
      </c>
    </row>
    <row r="623" spans="1:9" x14ac:dyDescent="0.2">
      <c r="A623" s="2">
        <v>12</v>
      </c>
      <c r="B623" s="1" t="s">
        <v>92</v>
      </c>
      <c r="C623" s="4">
        <v>23</v>
      </c>
      <c r="D623" s="8">
        <v>3.05</v>
      </c>
      <c r="E623" s="4">
        <v>13</v>
      </c>
      <c r="F623" s="8">
        <v>2.84</v>
      </c>
      <c r="G623" s="4">
        <v>10</v>
      </c>
      <c r="H623" s="8">
        <v>3.5</v>
      </c>
      <c r="I623" s="4">
        <v>0</v>
      </c>
    </row>
    <row r="624" spans="1:9" x14ac:dyDescent="0.2">
      <c r="A624" s="2">
        <v>13</v>
      </c>
      <c r="B624" s="1" t="s">
        <v>83</v>
      </c>
      <c r="C624" s="4">
        <v>16</v>
      </c>
      <c r="D624" s="8">
        <v>2.12</v>
      </c>
      <c r="E624" s="4">
        <v>3</v>
      </c>
      <c r="F624" s="8">
        <v>0.66</v>
      </c>
      <c r="G624" s="4">
        <v>9</v>
      </c>
      <c r="H624" s="8">
        <v>3.15</v>
      </c>
      <c r="I624" s="4">
        <v>0</v>
      </c>
    </row>
    <row r="625" spans="1:9" x14ac:dyDescent="0.2">
      <c r="A625" s="2">
        <v>14</v>
      </c>
      <c r="B625" s="1" t="s">
        <v>74</v>
      </c>
      <c r="C625" s="4">
        <v>15</v>
      </c>
      <c r="D625" s="8">
        <v>1.99</v>
      </c>
      <c r="E625" s="4">
        <v>11</v>
      </c>
      <c r="F625" s="8">
        <v>2.41</v>
      </c>
      <c r="G625" s="4">
        <v>4</v>
      </c>
      <c r="H625" s="8">
        <v>1.4</v>
      </c>
      <c r="I625" s="4">
        <v>0</v>
      </c>
    </row>
    <row r="626" spans="1:9" x14ac:dyDescent="0.2">
      <c r="A626" s="2">
        <v>15</v>
      </c>
      <c r="B626" s="1" t="s">
        <v>72</v>
      </c>
      <c r="C626" s="4">
        <v>13</v>
      </c>
      <c r="D626" s="8">
        <v>1.72</v>
      </c>
      <c r="E626" s="4">
        <v>2</v>
      </c>
      <c r="F626" s="8">
        <v>0.44</v>
      </c>
      <c r="G626" s="4">
        <v>11</v>
      </c>
      <c r="H626" s="8">
        <v>3.85</v>
      </c>
      <c r="I626" s="4">
        <v>0</v>
      </c>
    </row>
    <row r="627" spans="1:9" x14ac:dyDescent="0.2">
      <c r="A627" s="2">
        <v>16</v>
      </c>
      <c r="B627" s="1" t="s">
        <v>82</v>
      </c>
      <c r="C627" s="4">
        <v>12</v>
      </c>
      <c r="D627" s="8">
        <v>1.59</v>
      </c>
      <c r="E627" s="4">
        <v>10</v>
      </c>
      <c r="F627" s="8">
        <v>2.19</v>
      </c>
      <c r="G627" s="4">
        <v>2</v>
      </c>
      <c r="H627" s="8">
        <v>0.7</v>
      </c>
      <c r="I627" s="4">
        <v>0</v>
      </c>
    </row>
    <row r="628" spans="1:9" x14ac:dyDescent="0.2">
      <c r="A628" s="2">
        <v>16</v>
      </c>
      <c r="B628" s="1" t="s">
        <v>110</v>
      </c>
      <c r="C628" s="4">
        <v>12</v>
      </c>
      <c r="D628" s="8">
        <v>1.59</v>
      </c>
      <c r="E628" s="4">
        <v>8</v>
      </c>
      <c r="F628" s="8">
        <v>1.75</v>
      </c>
      <c r="G628" s="4">
        <v>4</v>
      </c>
      <c r="H628" s="8">
        <v>1.4</v>
      </c>
      <c r="I628" s="4">
        <v>0</v>
      </c>
    </row>
    <row r="629" spans="1:9" x14ac:dyDescent="0.2">
      <c r="A629" s="2">
        <v>18</v>
      </c>
      <c r="B629" s="1" t="s">
        <v>75</v>
      </c>
      <c r="C629" s="4">
        <v>11</v>
      </c>
      <c r="D629" s="8">
        <v>1.46</v>
      </c>
      <c r="E629" s="4">
        <v>4</v>
      </c>
      <c r="F629" s="8">
        <v>0.88</v>
      </c>
      <c r="G629" s="4">
        <v>7</v>
      </c>
      <c r="H629" s="8">
        <v>2.4500000000000002</v>
      </c>
      <c r="I629" s="4">
        <v>0</v>
      </c>
    </row>
    <row r="630" spans="1:9" x14ac:dyDescent="0.2">
      <c r="A630" s="2">
        <v>19</v>
      </c>
      <c r="B630" s="1" t="s">
        <v>90</v>
      </c>
      <c r="C630" s="4">
        <v>10</v>
      </c>
      <c r="D630" s="8">
        <v>1.32</v>
      </c>
      <c r="E630" s="4">
        <v>3</v>
      </c>
      <c r="F630" s="8">
        <v>0.66</v>
      </c>
      <c r="G630" s="4">
        <v>7</v>
      </c>
      <c r="H630" s="8">
        <v>2.4500000000000002</v>
      </c>
      <c r="I630" s="4">
        <v>0</v>
      </c>
    </row>
    <row r="631" spans="1:9" x14ac:dyDescent="0.2">
      <c r="A631" s="2">
        <v>19</v>
      </c>
      <c r="B631" s="1" t="s">
        <v>68</v>
      </c>
      <c r="C631" s="4">
        <v>10</v>
      </c>
      <c r="D631" s="8">
        <v>1.32</v>
      </c>
      <c r="E631" s="4">
        <v>3</v>
      </c>
      <c r="F631" s="8">
        <v>0.66</v>
      </c>
      <c r="G631" s="4">
        <v>7</v>
      </c>
      <c r="H631" s="8">
        <v>2.4500000000000002</v>
      </c>
      <c r="I631" s="4">
        <v>0</v>
      </c>
    </row>
    <row r="632" spans="1:9" x14ac:dyDescent="0.2">
      <c r="A632" s="1"/>
      <c r="C632" s="4"/>
      <c r="D632" s="8"/>
      <c r="E632" s="4"/>
      <c r="F632" s="8"/>
      <c r="G632" s="4"/>
      <c r="H632" s="8"/>
      <c r="I632" s="4"/>
    </row>
    <row r="633" spans="1:9" x14ac:dyDescent="0.2">
      <c r="A633" s="1" t="s">
        <v>27</v>
      </c>
      <c r="C633" s="4"/>
      <c r="D633" s="8"/>
      <c r="E633" s="4"/>
      <c r="F633" s="8"/>
      <c r="G633" s="4"/>
      <c r="H633" s="8"/>
      <c r="I633" s="4"/>
    </row>
    <row r="634" spans="1:9" x14ac:dyDescent="0.2">
      <c r="A634" s="2">
        <v>1</v>
      </c>
      <c r="B634" s="1" t="s">
        <v>77</v>
      </c>
      <c r="C634" s="4">
        <v>63</v>
      </c>
      <c r="D634" s="8">
        <v>15</v>
      </c>
      <c r="E634" s="4">
        <v>62</v>
      </c>
      <c r="F634" s="8">
        <v>22.55</v>
      </c>
      <c r="G634" s="4">
        <v>1</v>
      </c>
      <c r="H634" s="8">
        <v>0.72</v>
      </c>
      <c r="I634" s="4">
        <v>0</v>
      </c>
    </row>
    <row r="635" spans="1:9" x14ac:dyDescent="0.2">
      <c r="A635" s="2">
        <v>2</v>
      </c>
      <c r="B635" s="1" t="s">
        <v>78</v>
      </c>
      <c r="C635" s="4">
        <v>43</v>
      </c>
      <c r="D635" s="8">
        <v>10.24</v>
      </c>
      <c r="E635" s="4">
        <v>38</v>
      </c>
      <c r="F635" s="8">
        <v>13.82</v>
      </c>
      <c r="G635" s="4">
        <v>5</v>
      </c>
      <c r="H635" s="8">
        <v>3.6</v>
      </c>
      <c r="I635" s="4">
        <v>0</v>
      </c>
    </row>
    <row r="636" spans="1:9" x14ac:dyDescent="0.2">
      <c r="A636" s="2">
        <v>3</v>
      </c>
      <c r="B636" s="1" t="s">
        <v>73</v>
      </c>
      <c r="C636" s="4">
        <v>39</v>
      </c>
      <c r="D636" s="8">
        <v>9.2899999999999991</v>
      </c>
      <c r="E636" s="4">
        <v>22</v>
      </c>
      <c r="F636" s="8">
        <v>8</v>
      </c>
      <c r="G636" s="4">
        <v>17</v>
      </c>
      <c r="H636" s="8">
        <v>12.23</v>
      </c>
      <c r="I636" s="4">
        <v>0</v>
      </c>
    </row>
    <row r="637" spans="1:9" x14ac:dyDescent="0.2">
      <c r="A637" s="2">
        <v>4</v>
      </c>
      <c r="B637" s="1" t="s">
        <v>71</v>
      </c>
      <c r="C637" s="4">
        <v>36</v>
      </c>
      <c r="D637" s="8">
        <v>8.57</v>
      </c>
      <c r="E637" s="4">
        <v>23</v>
      </c>
      <c r="F637" s="8">
        <v>8.36</v>
      </c>
      <c r="G637" s="4">
        <v>13</v>
      </c>
      <c r="H637" s="8">
        <v>9.35</v>
      </c>
      <c r="I637" s="4">
        <v>0</v>
      </c>
    </row>
    <row r="638" spans="1:9" x14ac:dyDescent="0.2">
      <c r="A638" s="2">
        <v>5</v>
      </c>
      <c r="B638" s="1" t="s">
        <v>81</v>
      </c>
      <c r="C638" s="4">
        <v>31</v>
      </c>
      <c r="D638" s="8">
        <v>7.38</v>
      </c>
      <c r="E638" s="4">
        <v>26</v>
      </c>
      <c r="F638" s="8">
        <v>9.4499999999999993</v>
      </c>
      <c r="G638" s="4">
        <v>2</v>
      </c>
      <c r="H638" s="8">
        <v>1.44</v>
      </c>
      <c r="I638" s="4">
        <v>0</v>
      </c>
    </row>
    <row r="639" spans="1:9" x14ac:dyDescent="0.2">
      <c r="A639" s="2">
        <v>6</v>
      </c>
      <c r="B639" s="1" t="s">
        <v>65</v>
      </c>
      <c r="C639" s="4">
        <v>17</v>
      </c>
      <c r="D639" s="8">
        <v>4.05</v>
      </c>
      <c r="E639" s="4">
        <v>2</v>
      </c>
      <c r="F639" s="8">
        <v>0.73</v>
      </c>
      <c r="G639" s="4">
        <v>15</v>
      </c>
      <c r="H639" s="8">
        <v>10.79</v>
      </c>
      <c r="I639" s="4">
        <v>0</v>
      </c>
    </row>
    <row r="640" spans="1:9" x14ac:dyDescent="0.2">
      <c r="A640" s="2">
        <v>7</v>
      </c>
      <c r="B640" s="1" t="s">
        <v>66</v>
      </c>
      <c r="C640" s="4">
        <v>15</v>
      </c>
      <c r="D640" s="8">
        <v>3.57</v>
      </c>
      <c r="E640" s="4">
        <v>11</v>
      </c>
      <c r="F640" s="8">
        <v>4</v>
      </c>
      <c r="G640" s="4">
        <v>4</v>
      </c>
      <c r="H640" s="8">
        <v>2.88</v>
      </c>
      <c r="I640" s="4">
        <v>0</v>
      </c>
    </row>
    <row r="641" spans="1:9" x14ac:dyDescent="0.2">
      <c r="A641" s="2">
        <v>8</v>
      </c>
      <c r="B641" s="1" t="s">
        <v>70</v>
      </c>
      <c r="C641" s="4">
        <v>14</v>
      </c>
      <c r="D641" s="8">
        <v>3.33</v>
      </c>
      <c r="E641" s="4">
        <v>9</v>
      </c>
      <c r="F641" s="8">
        <v>3.27</v>
      </c>
      <c r="G641" s="4">
        <v>5</v>
      </c>
      <c r="H641" s="8">
        <v>3.6</v>
      </c>
      <c r="I641" s="4">
        <v>0</v>
      </c>
    </row>
    <row r="642" spans="1:9" x14ac:dyDescent="0.2">
      <c r="A642" s="2">
        <v>8</v>
      </c>
      <c r="B642" s="1" t="s">
        <v>84</v>
      </c>
      <c r="C642" s="4">
        <v>14</v>
      </c>
      <c r="D642" s="8">
        <v>3.33</v>
      </c>
      <c r="E642" s="4">
        <v>14</v>
      </c>
      <c r="F642" s="8">
        <v>5.09</v>
      </c>
      <c r="G642" s="4">
        <v>0</v>
      </c>
      <c r="H642" s="8">
        <v>0</v>
      </c>
      <c r="I642" s="4">
        <v>0</v>
      </c>
    </row>
    <row r="643" spans="1:9" x14ac:dyDescent="0.2">
      <c r="A643" s="2">
        <v>10</v>
      </c>
      <c r="B643" s="1" t="s">
        <v>69</v>
      </c>
      <c r="C643" s="4">
        <v>13</v>
      </c>
      <c r="D643" s="8">
        <v>3.1</v>
      </c>
      <c r="E643" s="4">
        <v>11</v>
      </c>
      <c r="F643" s="8">
        <v>4</v>
      </c>
      <c r="G643" s="4">
        <v>2</v>
      </c>
      <c r="H643" s="8">
        <v>1.44</v>
      </c>
      <c r="I643" s="4">
        <v>0</v>
      </c>
    </row>
    <row r="644" spans="1:9" x14ac:dyDescent="0.2">
      <c r="A644" s="2">
        <v>10</v>
      </c>
      <c r="B644" s="1" t="s">
        <v>83</v>
      </c>
      <c r="C644" s="4">
        <v>13</v>
      </c>
      <c r="D644" s="8">
        <v>3.1</v>
      </c>
      <c r="E644" s="4">
        <v>1</v>
      </c>
      <c r="F644" s="8">
        <v>0.36</v>
      </c>
      <c r="G644" s="4">
        <v>10</v>
      </c>
      <c r="H644" s="8">
        <v>7.19</v>
      </c>
      <c r="I644" s="4">
        <v>0</v>
      </c>
    </row>
    <row r="645" spans="1:9" x14ac:dyDescent="0.2">
      <c r="A645" s="2">
        <v>12</v>
      </c>
      <c r="B645" s="1" t="s">
        <v>74</v>
      </c>
      <c r="C645" s="4">
        <v>11</v>
      </c>
      <c r="D645" s="8">
        <v>2.62</v>
      </c>
      <c r="E645" s="4">
        <v>9</v>
      </c>
      <c r="F645" s="8">
        <v>3.27</v>
      </c>
      <c r="G645" s="4">
        <v>2</v>
      </c>
      <c r="H645" s="8">
        <v>1.44</v>
      </c>
      <c r="I645" s="4">
        <v>0</v>
      </c>
    </row>
    <row r="646" spans="1:9" x14ac:dyDescent="0.2">
      <c r="A646" s="2">
        <v>12</v>
      </c>
      <c r="B646" s="1" t="s">
        <v>82</v>
      </c>
      <c r="C646" s="4">
        <v>11</v>
      </c>
      <c r="D646" s="8">
        <v>2.62</v>
      </c>
      <c r="E646" s="4">
        <v>10</v>
      </c>
      <c r="F646" s="8">
        <v>3.64</v>
      </c>
      <c r="G646" s="4">
        <v>1</v>
      </c>
      <c r="H646" s="8">
        <v>0.72</v>
      </c>
      <c r="I646" s="4">
        <v>0</v>
      </c>
    </row>
    <row r="647" spans="1:9" x14ac:dyDescent="0.2">
      <c r="A647" s="2">
        <v>14</v>
      </c>
      <c r="B647" s="1" t="s">
        <v>85</v>
      </c>
      <c r="C647" s="4">
        <v>10</v>
      </c>
      <c r="D647" s="8">
        <v>2.38</v>
      </c>
      <c r="E647" s="4">
        <v>1</v>
      </c>
      <c r="F647" s="8">
        <v>0.36</v>
      </c>
      <c r="G647" s="4">
        <v>9</v>
      </c>
      <c r="H647" s="8">
        <v>6.47</v>
      </c>
      <c r="I647" s="4">
        <v>0</v>
      </c>
    </row>
    <row r="648" spans="1:9" x14ac:dyDescent="0.2">
      <c r="A648" s="2">
        <v>15</v>
      </c>
      <c r="B648" s="1" t="s">
        <v>67</v>
      </c>
      <c r="C648" s="4">
        <v>7</v>
      </c>
      <c r="D648" s="8">
        <v>1.67</v>
      </c>
      <c r="E648" s="4">
        <v>3</v>
      </c>
      <c r="F648" s="8">
        <v>1.0900000000000001</v>
      </c>
      <c r="G648" s="4">
        <v>4</v>
      </c>
      <c r="H648" s="8">
        <v>2.88</v>
      </c>
      <c r="I648" s="4">
        <v>0</v>
      </c>
    </row>
    <row r="649" spans="1:9" x14ac:dyDescent="0.2">
      <c r="A649" s="2">
        <v>15</v>
      </c>
      <c r="B649" s="1" t="s">
        <v>68</v>
      </c>
      <c r="C649" s="4">
        <v>7</v>
      </c>
      <c r="D649" s="8">
        <v>1.67</v>
      </c>
      <c r="E649" s="4">
        <v>6</v>
      </c>
      <c r="F649" s="8">
        <v>2.1800000000000002</v>
      </c>
      <c r="G649" s="4">
        <v>1</v>
      </c>
      <c r="H649" s="8">
        <v>0.72</v>
      </c>
      <c r="I649" s="4">
        <v>0</v>
      </c>
    </row>
    <row r="650" spans="1:9" x14ac:dyDescent="0.2">
      <c r="A650" s="2">
        <v>17</v>
      </c>
      <c r="B650" s="1" t="s">
        <v>106</v>
      </c>
      <c r="C650" s="4">
        <v>6</v>
      </c>
      <c r="D650" s="8">
        <v>1.43</v>
      </c>
      <c r="E650" s="4">
        <v>0</v>
      </c>
      <c r="F650" s="8">
        <v>0</v>
      </c>
      <c r="G650" s="4">
        <v>6</v>
      </c>
      <c r="H650" s="8">
        <v>4.32</v>
      </c>
      <c r="I650" s="4">
        <v>0</v>
      </c>
    </row>
    <row r="651" spans="1:9" x14ac:dyDescent="0.2">
      <c r="A651" s="2">
        <v>17</v>
      </c>
      <c r="B651" s="1" t="s">
        <v>75</v>
      </c>
      <c r="C651" s="4">
        <v>6</v>
      </c>
      <c r="D651" s="8">
        <v>1.43</v>
      </c>
      <c r="E651" s="4">
        <v>4</v>
      </c>
      <c r="F651" s="8">
        <v>1.45</v>
      </c>
      <c r="G651" s="4">
        <v>1</v>
      </c>
      <c r="H651" s="8">
        <v>0.72</v>
      </c>
      <c r="I651" s="4">
        <v>0</v>
      </c>
    </row>
    <row r="652" spans="1:9" x14ac:dyDescent="0.2">
      <c r="A652" s="2">
        <v>19</v>
      </c>
      <c r="B652" s="1" t="s">
        <v>86</v>
      </c>
      <c r="C652" s="4">
        <v>5</v>
      </c>
      <c r="D652" s="8">
        <v>1.19</v>
      </c>
      <c r="E652" s="4">
        <v>0</v>
      </c>
      <c r="F652" s="8">
        <v>0</v>
      </c>
      <c r="G652" s="4">
        <v>5</v>
      </c>
      <c r="H652" s="8">
        <v>3.6</v>
      </c>
      <c r="I652" s="4">
        <v>0</v>
      </c>
    </row>
    <row r="653" spans="1:9" x14ac:dyDescent="0.2">
      <c r="A653" s="2">
        <v>19</v>
      </c>
      <c r="B653" s="1" t="s">
        <v>91</v>
      </c>
      <c r="C653" s="4">
        <v>5</v>
      </c>
      <c r="D653" s="8">
        <v>1.19</v>
      </c>
      <c r="E653" s="4">
        <v>3</v>
      </c>
      <c r="F653" s="8">
        <v>1.0900000000000001</v>
      </c>
      <c r="G653" s="4">
        <v>2</v>
      </c>
      <c r="H653" s="8">
        <v>1.44</v>
      </c>
      <c r="I653" s="4">
        <v>0</v>
      </c>
    </row>
    <row r="654" spans="1:9" x14ac:dyDescent="0.2">
      <c r="A654" s="1"/>
      <c r="C654" s="4"/>
      <c r="D654" s="8"/>
      <c r="E654" s="4"/>
      <c r="F654" s="8"/>
      <c r="G654" s="4"/>
      <c r="H654" s="8"/>
      <c r="I654" s="4"/>
    </row>
    <row r="655" spans="1:9" x14ac:dyDescent="0.2">
      <c r="A655" s="1" t="s">
        <v>28</v>
      </c>
      <c r="C655" s="4"/>
      <c r="D655" s="8"/>
      <c r="E655" s="4"/>
      <c r="F655" s="8"/>
      <c r="G655" s="4"/>
      <c r="H655" s="8"/>
      <c r="I655" s="4"/>
    </row>
    <row r="656" spans="1:9" x14ac:dyDescent="0.2">
      <c r="A656" s="2">
        <v>1</v>
      </c>
      <c r="B656" s="1" t="s">
        <v>73</v>
      </c>
      <c r="C656" s="4">
        <v>195</v>
      </c>
      <c r="D656" s="8">
        <v>21.71</v>
      </c>
      <c r="E656" s="4">
        <v>144</v>
      </c>
      <c r="F656" s="8">
        <v>24.62</v>
      </c>
      <c r="G656" s="4">
        <v>51</v>
      </c>
      <c r="H656" s="8">
        <v>16.829999999999998</v>
      </c>
      <c r="I656" s="4">
        <v>0</v>
      </c>
    </row>
    <row r="657" spans="1:9" x14ac:dyDescent="0.2">
      <c r="A657" s="2">
        <v>2</v>
      </c>
      <c r="B657" s="1" t="s">
        <v>78</v>
      </c>
      <c r="C657" s="4">
        <v>92</v>
      </c>
      <c r="D657" s="8">
        <v>10.24</v>
      </c>
      <c r="E657" s="4">
        <v>78</v>
      </c>
      <c r="F657" s="8">
        <v>13.33</v>
      </c>
      <c r="G657" s="4">
        <v>14</v>
      </c>
      <c r="H657" s="8">
        <v>4.62</v>
      </c>
      <c r="I657" s="4">
        <v>0</v>
      </c>
    </row>
    <row r="658" spans="1:9" x14ac:dyDescent="0.2">
      <c r="A658" s="2">
        <v>3</v>
      </c>
      <c r="B658" s="1" t="s">
        <v>77</v>
      </c>
      <c r="C658" s="4">
        <v>69</v>
      </c>
      <c r="D658" s="8">
        <v>7.68</v>
      </c>
      <c r="E658" s="4">
        <v>62</v>
      </c>
      <c r="F658" s="8">
        <v>10.6</v>
      </c>
      <c r="G658" s="4">
        <v>7</v>
      </c>
      <c r="H658" s="8">
        <v>2.31</v>
      </c>
      <c r="I658" s="4">
        <v>0</v>
      </c>
    </row>
    <row r="659" spans="1:9" x14ac:dyDescent="0.2">
      <c r="A659" s="2">
        <v>4</v>
      </c>
      <c r="B659" s="1" t="s">
        <v>81</v>
      </c>
      <c r="C659" s="4">
        <v>59</v>
      </c>
      <c r="D659" s="8">
        <v>6.57</v>
      </c>
      <c r="E659" s="4">
        <v>53</v>
      </c>
      <c r="F659" s="8">
        <v>9.06</v>
      </c>
      <c r="G659" s="4">
        <v>5</v>
      </c>
      <c r="H659" s="8">
        <v>1.65</v>
      </c>
      <c r="I659" s="4">
        <v>0</v>
      </c>
    </row>
    <row r="660" spans="1:9" x14ac:dyDescent="0.2">
      <c r="A660" s="2">
        <v>5</v>
      </c>
      <c r="B660" s="1" t="s">
        <v>65</v>
      </c>
      <c r="C660" s="4">
        <v>43</v>
      </c>
      <c r="D660" s="8">
        <v>4.79</v>
      </c>
      <c r="E660" s="4">
        <v>8</v>
      </c>
      <c r="F660" s="8">
        <v>1.37</v>
      </c>
      <c r="G660" s="4">
        <v>35</v>
      </c>
      <c r="H660" s="8">
        <v>11.55</v>
      </c>
      <c r="I660" s="4">
        <v>0</v>
      </c>
    </row>
    <row r="661" spans="1:9" x14ac:dyDescent="0.2">
      <c r="A661" s="2">
        <v>6</v>
      </c>
      <c r="B661" s="1" t="s">
        <v>71</v>
      </c>
      <c r="C661" s="4">
        <v>35</v>
      </c>
      <c r="D661" s="8">
        <v>3.9</v>
      </c>
      <c r="E661" s="4">
        <v>24</v>
      </c>
      <c r="F661" s="8">
        <v>4.0999999999999996</v>
      </c>
      <c r="G661" s="4">
        <v>11</v>
      </c>
      <c r="H661" s="8">
        <v>3.63</v>
      </c>
      <c r="I661" s="4">
        <v>0</v>
      </c>
    </row>
    <row r="662" spans="1:9" x14ac:dyDescent="0.2">
      <c r="A662" s="2">
        <v>7</v>
      </c>
      <c r="B662" s="1" t="s">
        <v>67</v>
      </c>
      <c r="C662" s="4">
        <v>34</v>
      </c>
      <c r="D662" s="8">
        <v>3.79</v>
      </c>
      <c r="E662" s="4">
        <v>11</v>
      </c>
      <c r="F662" s="8">
        <v>1.88</v>
      </c>
      <c r="G662" s="4">
        <v>23</v>
      </c>
      <c r="H662" s="8">
        <v>7.59</v>
      </c>
      <c r="I662" s="4">
        <v>0</v>
      </c>
    </row>
    <row r="663" spans="1:9" x14ac:dyDescent="0.2">
      <c r="A663" s="2">
        <v>8</v>
      </c>
      <c r="B663" s="1" t="s">
        <v>66</v>
      </c>
      <c r="C663" s="4">
        <v>28</v>
      </c>
      <c r="D663" s="8">
        <v>3.12</v>
      </c>
      <c r="E663" s="4">
        <v>16</v>
      </c>
      <c r="F663" s="8">
        <v>2.74</v>
      </c>
      <c r="G663" s="4">
        <v>12</v>
      </c>
      <c r="H663" s="8">
        <v>3.96</v>
      </c>
      <c r="I663" s="4">
        <v>0</v>
      </c>
    </row>
    <row r="664" spans="1:9" x14ac:dyDescent="0.2">
      <c r="A664" s="2">
        <v>9</v>
      </c>
      <c r="B664" s="1" t="s">
        <v>70</v>
      </c>
      <c r="C664" s="4">
        <v>27</v>
      </c>
      <c r="D664" s="8">
        <v>3.01</v>
      </c>
      <c r="E664" s="4">
        <v>20</v>
      </c>
      <c r="F664" s="8">
        <v>3.42</v>
      </c>
      <c r="G664" s="4">
        <v>7</v>
      </c>
      <c r="H664" s="8">
        <v>2.31</v>
      </c>
      <c r="I664" s="4">
        <v>0</v>
      </c>
    </row>
    <row r="665" spans="1:9" x14ac:dyDescent="0.2">
      <c r="A665" s="2">
        <v>10</v>
      </c>
      <c r="B665" s="1" t="s">
        <v>69</v>
      </c>
      <c r="C665" s="4">
        <v>22</v>
      </c>
      <c r="D665" s="8">
        <v>2.4500000000000002</v>
      </c>
      <c r="E665" s="4">
        <v>16</v>
      </c>
      <c r="F665" s="8">
        <v>2.74</v>
      </c>
      <c r="G665" s="4">
        <v>6</v>
      </c>
      <c r="H665" s="8">
        <v>1.98</v>
      </c>
      <c r="I665" s="4">
        <v>0</v>
      </c>
    </row>
    <row r="666" spans="1:9" x14ac:dyDescent="0.2">
      <c r="A666" s="2">
        <v>11</v>
      </c>
      <c r="B666" s="1" t="s">
        <v>98</v>
      </c>
      <c r="C666" s="4">
        <v>20</v>
      </c>
      <c r="D666" s="8">
        <v>2.23</v>
      </c>
      <c r="E666" s="4">
        <v>19</v>
      </c>
      <c r="F666" s="8">
        <v>3.25</v>
      </c>
      <c r="G666" s="4">
        <v>1</v>
      </c>
      <c r="H666" s="8">
        <v>0.33</v>
      </c>
      <c r="I666" s="4">
        <v>0</v>
      </c>
    </row>
    <row r="667" spans="1:9" x14ac:dyDescent="0.2">
      <c r="A667" s="2">
        <v>11</v>
      </c>
      <c r="B667" s="1" t="s">
        <v>74</v>
      </c>
      <c r="C667" s="4">
        <v>20</v>
      </c>
      <c r="D667" s="8">
        <v>2.23</v>
      </c>
      <c r="E667" s="4">
        <v>16</v>
      </c>
      <c r="F667" s="8">
        <v>2.74</v>
      </c>
      <c r="G667" s="4">
        <v>4</v>
      </c>
      <c r="H667" s="8">
        <v>1.32</v>
      </c>
      <c r="I667" s="4">
        <v>0</v>
      </c>
    </row>
    <row r="668" spans="1:9" x14ac:dyDescent="0.2">
      <c r="A668" s="2">
        <v>13</v>
      </c>
      <c r="B668" s="1" t="s">
        <v>108</v>
      </c>
      <c r="C668" s="4">
        <v>18</v>
      </c>
      <c r="D668" s="8">
        <v>2</v>
      </c>
      <c r="E668" s="4">
        <v>10</v>
      </c>
      <c r="F668" s="8">
        <v>1.71</v>
      </c>
      <c r="G668" s="4">
        <v>8</v>
      </c>
      <c r="H668" s="8">
        <v>2.64</v>
      </c>
      <c r="I668" s="4">
        <v>0</v>
      </c>
    </row>
    <row r="669" spans="1:9" x14ac:dyDescent="0.2">
      <c r="A669" s="2">
        <v>13</v>
      </c>
      <c r="B669" s="1" t="s">
        <v>75</v>
      </c>
      <c r="C669" s="4">
        <v>18</v>
      </c>
      <c r="D669" s="8">
        <v>2</v>
      </c>
      <c r="E669" s="4">
        <v>7</v>
      </c>
      <c r="F669" s="8">
        <v>1.2</v>
      </c>
      <c r="G669" s="4">
        <v>11</v>
      </c>
      <c r="H669" s="8">
        <v>3.63</v>
      </c>
      <c r="I669" s="4">
        <v>0</v>
      </c>
    </row>
    <row r="670" spans="1:9" x14ac:dyDescent="0.2">
      <c r="A670" s="2">
        <v>13</v>
      </c>
      <c r="B670" s="1" t="s">
        <v>82</v>
      </c>
      <c r="C670" s="4">
        <v>18</v>
      </c>
      <c r="D670" s="8">
        <v>2</v>
      </c>
      <c r="E670" s="4">
        <v>15</v>
      </c>
      <c r="F670" s="8">
        <v>2.56</v>
      </c>
      <c r="G670" s="4">
        <v>3</v>
      </c>
      <c r="H670" s="8">
        <v>0.99</v>
      </c>
      <c r="I670" s="4">
        <v>0</v>
      </c>
    </row>
    <row r="671" spans="1:9" x14ac:dyDescent="0.2">
      <c r="A671" s="2">
        <v>16</v>
      </c>
      <c r="B671" s="1" t="s">
        <v>83</v>
      </c>
      <c r="C671" s="4">
        <v>17</v>
      </c>
      <c r="D671" s="8">
        <v>1.89</v>
      </c>
      <c r="E671" s="4">
        <v>0</v>
      </c>
      <c r="F671" s="8">
        <v>0</v>
      </c>
      <c r="G671" s="4">
        <v>13</v>
      </c>
      <c r="H671" s="8">
        <v>4.29</v>
      </c>
      <c r="I671" s="4">
        <v>0</v>
      </c>
    </row>
    <row r="672" spans="1:9" x14ac:dyDescent="0.2">
      <c r="A672" s="2">
        <v>17</v>
      </c>
      <c r="B672" s="1" t="s">
        <v>92</v>
      </c>
      <c r="C672" s="4">
        <v>15</v>
      </c>
      <c r="D672" s="8">
        <v>1.67</v>
      </c>
      <c r="E672" s="4">
        <v>12</v>
      </c>
      <c r="F672" s="8">
        <v>2.0499999999999998</v>
      </c>
      <c r="G672" s="4">
        <v>3</v>
      </c>
      <c r="H672" s="8">
        <v>0.99</v>
      </c>
      <c r="I672" s="4">
        <v>0</v>
      </c>
    </row>
    <row r="673" spans="1:9" x14ac:dyDescent="0.2">
      <c r="A673" s="2">
        <v>17</v>
      </c>
      <c r="B673" s="1" t="s">
        <v>68</v>
      </c>
      <c r="C673" s="4">
        <v>15</v>
      </c>
      <c r="D673" s="8">
        <v>1.67</v>
      </c>
      <c r="E673" s="4">
        <v>9</v>
      </c>
      <c r="F673" s="8">
        <v>1.54</v>
      </c>
      <c r="G673" s="4">
        <v>6</v>
      </c>
      <c r="H673" s="8">
        <v>1.98</v>
      </c>
      <c r="I673" s="4">
        <v>0</v>
      </c>
    </row>
    <row r="674" spans="1:9" x14ac:dyDescent="0.2">
      <c r="A674" s="2">
        <v>19</v>
      </c>
      <c r="B674" s="1" t="s">
        <v>86</v>
      </c>
      <c r="C674" s="4">
        <v>13</v>
      </c>
      <c r="D674" s="8">
        <v>1.45</v>
      </c>
      <c r="E674" s="4">
        <v>0</v>
      </c>
      <c r="F674" s="8">
        <v>0</v>
      </c>
      <c r="G674" s="4">
        <v>13</v>
      </c>
      <c r="H674" s="8">
        <v>4.29</v>
      </c>
      <c r="I674" s="4">
        <v>0</v>
      </c>
    </row>
    <row r="675" spans="1:9" x14ac:dyDescent="0.2">
      <c r="A675" s="2">
        <v>19</v>
      </c>
      <c r="B675" s="1" t="s">
        <v>79</v>
      </c>
      <c r="C675" s="4">
        <v>13</v>
      </c>
      <c r="D675" s="8">
        <v>1.45</v>
      </c>
      <c r="E675" s="4">
        <v>4</v>
      </c>
      <c r="F675" s="8">
        <v>0.68</v>
      </c>
      <c r="G675" s="4">
        <v>9</v>
      </c>
      <c r="H675" s="8">
        <v>2.97</v>
      </c>
      <c r="I675" s="4">
        <v>0</v>
      </c>
    </row>
    <row r="676" spans="1:9" x14ac:dyDescent="0.2">
      <c r="A676" s="2">
        <v>19</v>
      </c>
      <c r="B676" s="1" t="s">
        <v>84</v>
      </c>
      <c r="C676" s="4">
        <v>13</v>
      </c>
      <c r="D676" s="8">
        <v>1.45</v>
      </c>
      <c r="E676" s="4">
        <v>12</v>
      </c>
      <c r="F676" s="8">
        <v>2.0499999999999998</v>
      </c>
      <c r="G676" s="4">
        <v>1</v>
      </c>
      <c r="H676" s="8">
        <v>0.33</v>
      </c>
      <c r="I676" s="4">
        <v>0</v>
      </c>
    </row>
    <row r="677" spans="1:9" x14ac:dyDescent="0.2">
      <c r="A677" s="1"/>
      <c r="C677" s="4"/>
      <c r="D677" s="8"/>
      <c r="E677" s="4"/>
      <c r="F677" s="8"/>
      <c r="G677" s="4"/>
      <c r="H677" s="8"/>
      <c r="I677" s="4"/>
    </row>
    <row r="678" spans="1:9" x14ac:dyDescent="0.2">
      <c r="A678" s="1" t="s">
        <v>29</v>
      </c>
      <c r="C678" s="4"/>
      <c r="D678" s="8"/>
      <c r="E678" s="4"/>
      <c r="F678" s="8"/>
      <c r="G678" s="4"/>
      <c r="H678" s="8"/>
      <c r="I678" s="4"/>
    </row>
    <row r="679" spans="1:9" x14ac:dyDescent="0.2">
      <c r="A679" s="2">
        <v>1</v>
      </c>
      <c r="B679" s="1" t="s">
        <v>80</v>
      </c>
      <c r="C679" s="4">
        <v>16</v>
      </c>
      <c r="D679" s="8">
        <v>22.54</v>
      </c>
      <c r="E679" s="4">
        <v>13</v>
      </c>
      <c r="F679" s="8">
        <v>24.53</v>
      </c>
      <c r="G679" s="4">
        <v>2</v>
      </c>
      <c r="H679" s="8">
        <v>16.670000000000002</v>
      </c>
      <c r="I679" s="4">
        <v>0</v>
      </c>
    </row>
    <row r="680" spans="1:9" x14ac:dyDescent="0.2">
      <c r="A680" s="2">
        <v>2</v>
      </c>
      <c r="B680" s="1" t="s">
        <v>76</v>
      </c>
      <c r="C680" s="4">
        <v>12</v>
      </c>
      <c r="D680" s="8">
        <v>16.899999999999999</v>
      </c>
      <c r="E680" s="4">
        <v>11</v>
      </c>
      <c r="F680" s="8">
        <v>20.75</v>
      </c>
      <c r="G680" s="4">
        <v>1</v>
      </c>
      <c r="H680" s="8">
        <v>8.33</v>
      </c>
      <c r="I680" s="4">
        <v>0</v>
      </c>
    </row>
    <row r="681" spans="1:9" x14ac:dyDescent="0.2">
      <c r="A681" s="2">
        <v>3</v>
      </c>
      <c r="B681" s="1" t="s">
        <v>77</v>
      </c>
      <c r="C681" s="4">
        <v>9</v>
      </c>
      <c r="D681" s="8">
        <v>12.68</v>
      </c>
      <c r="E681" s="4">
        <v>7</v>
      </c>
      <c r="F681" s="8">
        <v>13.21</v>
      </c>
      <c r="G681" s="4">
        <v>2</v>
      </c>
      <c r="H681" s="8">
        <v>16.670000000000002</v>
      </c>
      <c r="I681" s="4">
        <v>0</v>
      </c>
    </row>
    <row r="682" spans="1:9" x14ac:dyDescent="0.2">
      <c r="A682" s="2">
        <v>4</v>
      </c>
      <c r="B682" s="1" t="s">
        <v>69</v>
      </c>
      <c r="C682" s="4">
        <v>4</v>
      </c>
      <c r="D682" s="8">
        <v>5.63</v>
      </c>
      <c r="E682" s="4">
        <v>3</v>
      </c>
      <c r="F682" s="8">
        <v>5.66</v>
      </c>
      <c r="G682" s="4">
        <v>1</v>
      </c>
      <c r="H682" s="8">
        <v>8.33</v>
      </c>
      <c r="I682" s="4">
        <v>0</v>
      </c>
    </row>
    <row r="683" spans="1:9" x14ac:dyDescent="0.2">
      <c r="A683" s="2">
        <v>5</v>
      </c>
      <c r="B683" s="1" t="s">
        <v>65</v>
      </c>
      <c r="C683" s="4">
        <v>3</v>
      </c>
      <c r="D683" s="8">
        <v>4.2300000000000004</v>
      </c>
      <c r="E683" s="4">
        <v>2</v>
      </c>
      <c r="F683" s="8">
        <v>3.77</v>
      </c>
      <c r="G683" s="4">
        <v>1</v>
      </c>
      <c r="H683" s="8">
        <v>8.33</v>
      </c>
      <c r="I683" s="4">
        <v>0</v>
      </c>
    </row>
    <row r="684" spans="1:9" x14ac:dyDescent="0.2">
      <c r="A684" s="2">
        <v>5</v>
      </c>
      <c r="B684" s="1" t="s">
        <v>91</v>
      </c>
      <c r="C684" s="4">
        <v>3</v>
      </c>
      <c r="D684" s="8">
        <v>4.2300000000000004</v>
      </c>
      <c r="E684" s="4">
        <v>2</v>
      </c>
      <c r="F684" s="8">
        <v>3.77</v>
      </c>
      <c r="G684" s="4">
        <v>0</v>
      </c>
      <c r="H684" s="8">
        <v>0</v>
      </c>
      <c r="I684" s="4">
        <v>0</v>
      </c>
    </row>
    <row r="685" spans="1:9" x14ac:dyDescent="0.2">
      <c r="A685" s="2">
        <v>5</v>
      </c>
      <c r="B685" s="1" t="s">
        <v>87</v>
      </c>
      <c r="C685" s="4">
        <v>3</v>
      </c>
      <c r="D685" s="8">
        <v>4.2300000000000004</v>
      </c>
      <c r="E685" s="4">
        <v>1</v>
      </c>
      <c r="F685" s="8">
        <v>1.89</v>
      </c>
      <c r="G685" s="4">
        <v>2</v>
      </c>
      <c r="H685" s="8">
        <v>16.670000000000002</v>
      </c>
      <c r="I685" s="4">
        <v>0</v>
      </c>
    </row>
    <row r="686" spans="1:9" x14ac:dyDescent="0.2">
      <c r="A686" s="2">
        <v>8</v>
      </c>
      <c r="B686" s="1" t="s">
        <v>73</v>
      </c>
      <c r="C686" s="4">
        <v>2</v>
      </c>
      <c r="D686" s="8">
        <v>2.82</v>
      </c>
      <c r="E686" s="4">
        <v>0</v>
      </c>
      <c r="F686" s="8">
        <v>0</v>
      </c>
      <c r="G686" s="4">
        <v>2</v>
      </c>
      <c r="H686" s="8">
        <v>16.670000000000002</v>
      </c>
      <c r="I686" s="4">
        <v>0</v>
      </c>
    </row>
    <row r="687" spans="1:9" x14ac:dyDescent="0.2">
      <c r="A687" s="2">
        <v>8</v>
      </c>
      <c r="B687" s="1" t="s">
        <v>94</v>
      </c>
      <c r="C687" s="4">
        <v>2</v>
      </c>
      <c r="D687" s="8">
        <v>2.82</v>
      </c>
      <c r="E687" s="4">
        <v>2</v>
      </c>
      <c r="F687" s="8">
        <v>3.77</v>
      </c>
      <c r="G687" s="4">
        <v>0</v>
      </c>
      <c r="H687" s="8">
        <v>0</v>
      </c>
      <c r="I687" s="4">
        <v>0</v>
      </c>
    </row>
    <row r="688" spans="1:9" x14ac:dyDescent="0.2">
      <c r="A688" s="2">
        <v>8</v>
      </c>
      <c r="B688" s="1" t="s">
        <v>78</v>
      </c>
      <c r="C688" s="4">
        <v>2</v>
      </c>
      <c r="D688" s="8">
        <v>2.82</v>
      </c>
      <c r="E688" s="4">
        <v>2</v>
      </c>
      <c r="F688" s="8">
        <v>3.77</v>
      </c>
      <c r="G688" s="4">
        <v>0</v>
      </c>
      <c r="H688" s="8">
        <v>0</v>
      </c>
      <c r="I688" s="4">
        <v>0</v>
      </c>
    </row>
    <row r="689" spans="1:9" x14ac:dyDescent="0.2">
      <c r="A689" s="2">
        <v>8</v>
      </c>
      <c r="B689" s="1" t="s">
        <v>79</v>
      </c>
      <c r="C689" s="4">
        <v>2</v>
      </c>
      <c r="D689" s="8">
        <v>2.82</v>
      </c>
      <c r="E689" s="4">
        <v>2</v>
      </c>
      <c r="F689" s="8">
        <v>3.77</v>
      </c>
      <c r="G689" s="4">
        <v>0</v>
      </c>
      <c r="H689" s="8">
        <v>0</v>
      </c>
      <c r="I689" s="4">
        <v>0</v>
      </c>
    </row>
    <row r="690" spans="1:9" x14ac:dyDescent="0.2">
      <c r="A690" s="2">
        <v>8</v>
      </c>
      <c r="B690" s="1" t="s">
        <v>83</v>
      </c>
      <c r="C690" s="4">
        <v>2</v>
      </c>
      <c r="D690" s="8">
        <v>2.82</v>
      </c>
      <c r="E690" s="4">
        <v>0</v>
      </c>
      <c r="F690" s="8">
        <v>0</v>
      </c>
      <c r="G690" s="4">
        <v>0</v>
      </c>
      <c r="H690" s="8">
        <v>0</v>
      </c>
      <c r="I690" s="4">
        <v>0</v>
      </c>
    </row>
    <row r="691" spans="1:9" x14ac:dyDescent="0.2">
      <c r="A691" s="2">
        <v>13</v>
      </c>
      <c r="B691" s="1" t="s">
        <v>67</v>
      </c>
      <c r="C691" s="4">
        <v>1</v>
      </c>
      <c r="D691" s="8">
        <v>1.41</v>
      </c>
      <c r="E691" s="4">
        <v>1</v>
      </c>
      <c r="F691" s="8">
        <v>1.89</v>
      </c>
      <c r="G691" s="4">
        <v>0</v>
      </c>
      <c r="H691" s="8">
        <v>0</v>
      </c>
      <c r="I691" s="4">
        <v>0</v>
      </c>
    </row>
    <row r="692" spans="1:9" x14ac:dyDescent="0.2">
      <c r="A692" s="2">
        <v>13</v>
      </c>
      <c r="B692" s="1" t="s">
        <v>95</v>
      </c>
      <c r="C692" s="4">
        <v>1</v>
      </c>
      <c r="D692" s="8">
        <v>1.41</v>
      </c>
      <c r="E692" s="4">
        <v>1</v>
      </c>
      <c r="F692" s="8">
        <v>1.89</v>
      </c>
      <c r="G692" s="4">
        <v>0</v>
      </c>
      <c r="H692" s="8">
        <v>0</v>
      </c>
      <c r="I692" s="4">
        <v>0</v>
      </c>
    </row>
    <row r="693" spans="1:9" x14ac:dyDescent="0.2">
      <c r="A693" s="2">
        <v>13</v>
      </c>
      <c r="B693" s="1" t="s">
        <v>101</v>
      </c>
      <c r="C693" s="4">
        <v>1</v>
      </c>
      <c r="D693" s="8">
        <v>1.41</v>
      </c>
      <c r="E693" s="4">
        <v>0</v>
      </c>
      <c r="F693" s="8">
        <v>0</v>
      </c>
      <c r="G693" s="4">
        <v>0</v>
      </c>
      <c r="H693" s="8">
        <v>0</v>
      </c>
      <c r="I693" s="4">
        <v>0</v>
      </c>
    </row>
    <row r="694" spans="1:9" x14ac:dyDescent="0.2">
      <c r="A694" s="2">
        <v>13</v>
      </c>
      <c r="B694" s="1" t="s">
        <v>111</v>
      </c>
      <c r="C694" s="4">
        <v>1</v>
      </c>
      <c r="D694" s="8">
        <v>1.41</v>
      </c>
      <c r="E694" s="4">
        <v>1</v>
      </c>
      <c r="F694" s="8">
        <v>1.89</v>
      </c>
      <c r="G694" s="4">
        <v>0</v>
      </c>
      <c r="H694" s="8">
        <v>0</v>
      </c>
      <c r="I694" s="4">
        <v>0</v>
      </c>
    </row>
    <row r="695" spans="1:9" x14ac:dyDescent="0.2">
      <c r="A695" s="2">
        <v>13</v>
      </c>
      <c r="B695" s="1" t="s">
        <v>96</v>
      </c>
      <c r="C695" s="4">
        <v>1</v>
      </c>
      <c r="D695" s="8">
        <v>1.41</v>
      </c>
      <c r="E695" s="4">
        <v>1</v>
      </c>
      <c r="F695" s="8">
        <v>1.89</v>
      </c>
      <c r="G695" s="4">
        <v>0</v>
      </c>
      <c r="H695" s="8">
        <v>0</v>
      </c>
      <c r="I695" s="4">
        <v>0</v>
      </c>
    </row>
    <row r="696" spans="1:9" x14ac:dyDescent="0.2">
      <c r="A696" s="2">
        <v>13</v>
      </c>
      <c r="B696" s="1" t="s">
        <v>93</v>
      </c>
      <c r="C696" s="4">
        <v>1</v>
      </c>
      <c r="D696" s="8">
        <v>1.41</v>
      </c>
      <c r="E696" s="4">
        <v>1</v>
      </c>
      <c r="F696" s="8">
        <v>1.89</v>
      </c>
      <c r="G696" s="4">
        <v>0</v>
      </c>
      <c r="H696" s="8">
        <v>0</v>
      </c>
      <c r="I696" s="4">
        <v>0</v>
      </c>
    </row>
    <row r="697" spans="1:9" x14ac:dyDescent="0.2">
      <c r="A697" s="2">
        <v>13</v>
      </c>
      <c r="B697" s="1" t="s">
        <v>103</v>
      </c>
      <c r="C697" s="4">
        <v>1</v>
      </c>
      <c r="D697" s="8">
        <v>1.41</v>
      </c>
      <c r="E697" s="4">
        <v>0</v>
      </c>
      <c r="F697" s="8">
        <v>0</v>
      </c>
      <c r="G697" s="4">
        <v>1</v>
      </c>
      <c r="H697" s="8">
        <v>8.33</v>
      </c>
      <c r="I697" s="4">
        <v>0</v>
      </c>
    </row>
    <row r="698" spans="1:9" x14ac:dyDescent="0.2">
      <c r="A698" s="2">
        <v>13</v>
      </c>
      <c r="B698" s="1" t="s">
        <v>74</v>
      </c>
      <c r="C698" s="4">
        <v>1</v>
      </c>
      <c r="D698" s="8">
        <v>1.41</v>
      </c>
      <c r="E698" s="4">
        <v>1</v>
      </c>
      <c r="F698" s="8">
        <v>1.89</v>
      </c>
      <c r="G698" s="4">
        <v>0</v>
      </c>
      <c r="H698" s="8">
        <v>0</v>
      </c>
      <c r="I698" s="4">
        <v>0</v>
      </c>
    </row>
    <row r="699" spans="1:9" x14ac:dyDescent="0.2">
      <c r="A699" s="2">
        <v>13</v>
      </c>
      <c r="B699" s="1" t="s">
        <v>112</v>
      </c>
      <c r="C699" s="4">
        <v>1</v>
      </c>
      <c r="D699" s="8">
        <v>1.41</v>
      </c>
      <c r="E699" s="4">
        <v>1</v>
      </c>
      <c r="F699" s="8">
        <v>1.89</v>
      </c>
      <c r="G699" s="4">
        <v>0</v>
      </c>
      <c r="H699" s="8">
        <v>0</v>
      </c>
      <c r="I699" s="4">
        <v>0</v>
      </c>
    </row>
    <row r="700" spans="1:9" x14ac:dyDescent="0.2">
      <c r="A700" s="2">
        <v>13</v>
      </c>
      <c r="B700" s="1" t="s">
        <v>82</v>
      </c>
      <c r="C700" s="4">
        <v>1</v>
      </c>
      <c r="D700" s="8">
        <v>1.41</v>
      </c>
      <c r="E700" s="4">
        <v>1</v>
      </c>
      <c r="F700" s="8">
        <v>1.89</v>
      </c>
      <c r="G700" s="4">
        <v>0</v>
      </c>
      <c r="H700" s="8">
        <v>0</v>
      </c>
      <c r="I700" s="4">
        <v>0</v>
      </c>
    </row>
    <row r="701" spans="1:9" x14ac:dyDescent="0.2">
      <c r="A701" s="2">
        <v>13</v>
      </c>
      <c r="B701" s="1" t="s">
        <v>104</v>
      </c>
      <c r="C701" s="4">
        <v>1</v>
      </c>
      <c r="D701" s="8">
        <v>1.41</v>
      </c>
      <c r="E701" s="4">
        <v>0</v>
      </c>
      <c r="F701" s="8">
        <v>0</v>
      </c>
      <c r="G701" s="4">
        <v>0</v>
      </c>
      <c r="H701" s="8">
        <v>0</v>
      </c>
      <c r="I701" s="4">
        <v>0</v>
      </c>
    </row>
    <row r="702" spans="1:9" x14ac:dyDescent="0.2">
      <c r="A702" s="1"/>
      <c r="C702" s="4"/>
      <c r="D702" s="8"/>
      <c r="E702" s="4"/>
      <c r="F702" s="8"/>
      <c r="G702" s="4"/>
      <c r="H702" s="8"/>
      <c r="I702" s="4"/>
    </row>
    <row r="703" spans="1:9" x14ac:dyDescent="0.2">
      <c r="A703" s="1" t="s">
        <v>30</v>
      </c>
      <c r="C703" s="4"/>
      <c r="D703" s="8"/>
      <c r="E703" s="4"/>
      <c r="F703" s="8"/>
      <c r="G703" s="4"/>
      <c r="H703" s="8"/>
      <c r="I703" s="4"/>
    </row>
    <row r="704" spans="1:9" x14ac:dyDescent="0.2">
      <c r="A704" s="2">
        <v>1</v>
      </c>
      <c r="B704" s="1" t="s">
        <v>76</v>
      </c>
      <c r="C704" s="4">
        <v>51</v>
      </c>
      <c r="D704" s="8">
        <v>34</v>
      </c>
      <c r="E704" s="4">
        <v>44</v>
      </c>
      <c r="F704" s="8">
        <v>34.92</v>
      </c>
      <c r="G704" s="4">
        <v>7</v>
      </c>
      <c r="H704" s="8">
        <v>36.840000000000003</v>
      </c>
      <c r="I704" s="4">
        <v>0</v>
      </c>
    </row>
    <row r="705" spans="1:9" x14ac:dyDescent="0.2">
      <c r="A705" s="2">
        <v>2</v>
      </c>
      <c r="B705" s="1" t="s">
        <v>80</v>
      </c>
      <c r="C705" s="4">
        <v>36</v>
      </c>
      <c r="D705" s="8">
        <v>24</v>
      </c>
      <c r="E705" s="4">
        <v>31</v>
      </c>
      <c r="F705" s="8">
        <v>24.6</v>
      </c>
      <c r="G705" s="4">
        <v>4</v>
      </c>
      <c r="H705" s="8">
        <v>21.05</v>
      </c>
      <c r="I705" s="4">
        <v>0</v>
      </c>
    </row>
    <row r="706" spans="1:9" x14ac:dyDescent="0.2">
      <c r="A706" s="2">
        <v>3</v>
      </c>
      <c r="B706" s="1" t="s">
        <v>77</v>
      </c>
      <c r="C706" s="4">
        <v>22</v>
      </c>
      <c r="D706" s="8">
        <v>14.67</v>
      </c>
      <c r="E706" s="4">
        <v>21</v>
      </c>
      <c r="F706" s="8">
        <v>16.670000000000002</v>
      </c>
      <c r="G706" s="4">
        <v>1</v>
      </c>
      <c r="H706" s="8">
        <v>5.26</v>
      </c>
      <c r="I706" s="4">
        <v>0</v>
      </c>
    </row>
    <row r="707" spans="1:9" x14ac:dyDescent="0.2">
      <c r="A707" s="2">
        <v>4</v>
      </c>
      <c r="B707" s="1" t="s">
        <v>69</v>
      </c>
      <c r="C707" s="4">
        <v>8</v>
      </c>
      <c r="D707" s="8">
        <v>5.33</v>
      </c>
      <c r="E707" s="4">
        <v>7</v>
      </c>
      <c r="F707" s="8">
        <v>5.56</v>
      </c>
      <c r="G707" s="4">
        <v>1</v>
      </c>
      <c r="H707" s="8">
        <v>5.26</v>
      </c>
      <c r="I707" s="4">
        <v>0</v>
      </c>
    </row>
    <row r="708" spans="1:9" x14ac:dyDescent="0.2">
      <c r="A708" s="2">
        <v>4</v>
      </c>
      <c r="B708" s="1" t="s">
        <v>94</v>
      </c>
      <c r="C708" s="4">
        <v>8</v>
      </c>
      <c r="D708" s="8">
        <v>5.33</v>
      </c>
      <c r="E708" s="4">
        <v>8</v>
      </c>
      <c r="F708" s="8">
        <v>6.35</v>
      </c>
      <c r="G708" s="4">
        <v>0</v>
      </c>
      <c r="H708" s="8">
        <v>0</v>
      </c>
      <c r="I708" s="4">
        <v>0</v>
      </c>
    </row>
    <row r="709" spans="1:9" x14ac:dyDescent="0.2">
      <c r="A709" s="2">
        <v>6</v>
      </c>
      <c r="B709" s="1" t="s">
        <v>71</v>
      </c>
      <c r="C709" s="4">
        <v>4</v>
      </c>
      <c r="D709" s="8">
        <v>2.67</v>
      </c>
      <c r="E709" s="4">
        <v>2</v>
      </c>
      <c r="F709" s="8">
        <v>1.59</v>
      </c>
      <c r="G709" s="4">
        <v>2</v>
      </c>
      <c r="H709" s="8">
        <v>10.53</v>
      </c>
      <c r="I709" s="4">
        <v>0</v>
      </c>
    </row>
    <row r="710" spans="1:9" x14ac:dyDescent="0.2">
      <c r="A710" s="2">
        <v>7</v>
      </c>
      <c r="B710" s="1" t="s">
        <v>81</v>
      </c>
      <c r="C710" s="4">
        <v>3</v>
      </c>
      <c r="D710" s="8">
        <v>2</v>
      </c>
      <c r="E710" s="4">
        <v>3</v>
      </c>
      <c r="F710" s="8">
        <v>2.38</v>
      </c>
      <c r="G710" s="4">
        <v>0</v>
      </c>
      <c r="H710" s="8">
        <v>0</v>
      </c>
      <c r="I710" s="4">
        <v>0</v>
      </c>
    </row>
    <row r="711" spans="1:9" x14ac:dyDescent="0.2">
      <c r="A711" s="2">
        <v>8</v>
      </c>
      <c r="B711" s="1" t="s">
        <v>66</v>
      </c>
      <c r="C711" s="4">
        <v>2</v>
      </c>
      <c r="D711" s="8">
        <v>1.33</v>
      </c>
      <c r="E711" s="4">
        <v>2</v>
      </c>
      <c r="F711" s="8">
        <v>1.59</v>
      </c>
      <c r="G711" s="4">
        <v>0</v>
      </c>
      <c r="H711" s="8">
        <v>0</v>
      </c>
      <c r="I711" s="4">
        <v>0</v>
      </c>
    </row>
    <row r="712" spans="1:9" x14ac:dyDescent="0.2">
      <c r="A712" s="2">
        <v>8</v>
      </c>
      <c r="B712" s="1" t="s">
        <v>95</v>
      </c>
      <c r="C712" s="4">
        <v>2</v>
      </c>
      <c r="D712" s="8">
        <v>1.33</v>
      </c>
      <c r="E712" s="4">
        <v>1</v>
      </c>
      <c r="F712" s="8">
        <v>0.79</v>
      </c>
      <c r="G712" s="4">
        <v>1</v>
      </c>
      <c r="H712" s="8">
        <v>5.26</v>
      </c>
      <c r="I712" s="4">
        <v>0</v>
      </c>
    </row>
    <row r="713" spans="1:9" x14ac:dyDescent="0.2">
      <c r="A713" s="2">
        <v>8</v>
      </c>
      <c r="B713" s="1" t="s">
        <v>93</v>
      </c>
      <c r="C713" s="4">
        <v>2</v>
      </c>
      <c r="D713" s="8">
        <v>1.33</v>
      </c>
      <c r="E713" s="4">
        <v>2</v>
      </c>
      <c r="F713" s="8">
        <v>1.59</v>
      </c>
      <c r="G713" s="4">
        <v>0</v>
      </c>
      <c r="H713" s="8">
        <v>0</v>
      </c>
      <c r="I713" s="4">
        <v>0</v>
      </c>
    </row>
    <row r="714" spans="1:9" x14ac:dyDescent="0.2">
      <c r="A714" s="2">
        <v>8</v>
      </c>
      <c r="B714" s="1" t="s">
        <v>68</v>
      </c>
      <c r="C714" s="4">
        <v>2</v>
      </c>
      <c r="D714" s="8">
        <v>1.33</v>
      </c>
      <c r="E714" s="4">
        <v>2</v>
      </c>
      <c r="F714" s="8">
        <v>1.59</v>
      </c>
      <c r="G714" s="4">
        <v>0</v>
      </c>
      <c r="H714" s="8">
        <v>0</v>
      </c>
      <c r="I714" s="4">
        <v>0</v>
      </c>
    </row>
    <row r="715" spans="1:9" x14ac:dyDescent="0.2">
      <c r="A715" s="2">
        <v>8</v>
      </c>
      <c r="B715" s="1" t="s">
        <v>91</v>
      </c>
      <c r="C715" s="4">
        <v>2</v>
      </c>
      <c r="D715" s="8">
        <v>1.33</v>
      </c>
      <c r="E715" s="4">
        <v>1</v>
      </c>
      <c r="F715" s="8">
        <v>0.79</v>
      </c>
      <c r="G715" s="4">
        <v>0</v>
      </c>
      <c r="H715" s="8">
        <v>0</v>
      </c>
      <c r="I715" s="4">
        <v>0</v>
      </c>
    </row>
    <row r="716" spans="1:9" x14ac:dyDescent="0.2">
      <c r="A716" s="2">
        <v>8</v>
      </c>
      <c r="B716" s="1" t="s">
        <v>83</v>
      </c>
      <c r="C716" s="4">
        <v>2</v>
      </c>
      <c r="D716" s="8">
        <v>1.33</v>
      </c>
      <c r="E716" s="4">
        <v>0</v>
      </c>
      <c r="F716" s="8">
        <v>0</v>
      </c>
      <c r="G716" s="4">
        <v>1</v>
      </c>
      <c r="H716" s="8">
        <v>5.26</v>
      </c>
      <c r="I716" s="4">
        <v>0</v>
      </c>
    </row>
    <row r="717" spans="1:9" x14ac:dyDescent="0.2">
      <c r="A717" s="2">
        <v>14</v>
      </c>
      <c r="B717" s="1" t="s">
        <v>65</v>
      </c>
      <c r="C717" s="4">
        <v>1</v>
      </c>
      <c r="D717" s="8">
        <v>0.67</v>
      </c>
      <c r="E717" s="4">
        <v>0</v>
      </c>
      <c r="F717" s="8">
        <v>0</v>
      </c>
      <c r="G717" s="4">
        <v>1</v>
      </c>
      <c r="H717" s="8">
        <v>5.26</v>
      </c>
      <c r="I717" s="4">
        <v>0</v>
      </c>
    </row>
    <row r="718" spans="1:9" x14ac:dyDescent="0.2">
      <c r="A718" s="2">
        <v>14</v>
      </c>
      <c r="B718" s="1" t="s">
        <v>67</v>
      </c>
      <c r="C718" s="4">
        <v>1</v>
      </c>
      <c r="D718" s="8">
        <v>0.67</v>
      </c>
      <c r="E718" s="4">
        <v>1</v>
      </c>
      <c r="F718" s="8">
        <v>0.79</v>
      </c>
      <c r="G718" s="4">
        <v>0</v>
      </c>
      <c r="H718" s="8">
        <v>0</v>
      </c>
      <c r="I718" s="4">
        <v>0</v>
      </c>
    </row>
    <row r="719" spans="1:9" x14ac:dyDescent="0.2">
      <c r="A719" s="2">
        <v>14</v>
      </c>
      <c r="B719" s="1" t="s">
        <v>101</v>
      </c>
      <c r="C719" s="4">
        <v>1</v>
      </c>
      <c r="D719" s="8">
        <v>0.67</v>
      </c>
      <c r="E719" s="4">
        <v>0</v>
      </c>
      <c r="F719" s="8">
        <v>0</v>
      </c>
      <c r="G719" s="4">
        <v>0</v>
      </c>
      <c r="H719" s="8">
        <v>0</v>
      </c>
      <c r="I719" s="4">
        <v>0</v>
      </c>
    </row>
    <row r="720" spans="1:9" x14ac:dyDescent="0.2">
      <c r="A720" s="2">
        <v>14</v>
      </c>
      <c r="B720" s="1" t="s">
        <v>103</v>
      </c>
      <c r="C720" s="4">
        <v>1</v>
      </c>
      <c r="D720" s="8">
        <v>0.67</v>
      </c>
      <c r="E720" s="4">
        <v>0</v>
      </c>
      <c r="F720" s="8">
        <v>0</v>
      </c>
      <c r="G720" s="4">
        <v>0</v>
      </c>
      <c r="H720" s="8">
        <v>0</v>
      </c>
      <c r="I720" s="4">
        <v>0</v>
      </c>
    </row>
    <row r="721" spans="1:9" x14ac:dyDescent="0.2">
      <c r="A721" s="2">
        <v>14</v>
      </c>
      <c r="B721" s="1" t="s">
        <v>86</v>
      </c>
      <c r="C721" s="4">
        <v>1</v>
      </c>
      <c r="D721" s="8">
        <v>0.67</v>
      </c>
      <c r="E721" s="4">
        <v>1</v>
      </c>
      <c r="F721" s="8">
        <v>0.79</v>
      </c>
      <c r="G721" s="4">
        <v>0</v>
      </c>
      <c r="H721" s="8">
        <v>0</v>
      </c>
      <c r="I721" s="4">
        <v>0</v>
      </c>
    </row>
    <row r="722" spans="1:9" x14ac:dyDescent="0.2">
      <c r="A722" s="2">
        <v>14</v>
      </c>
      <c r="B722" s="1" t="s">
        <v>73</v>
      </c>
      <c r="C722" s="4">
        <v>1</v>
      </c>
      <c r="D722" s="8">
        <v>0.67</v>
      </c>
      <c r="E722" s="4">
        <v>0</v>
      </c>
      <c r="F722" s="8">
        <v>0</v>
      </c>
      <c r="G722" s="4">
        <v>1</v>
      </c>
      <c r="H722" s="8">
        <v>5.26</v>
      </c>
      <c r="I722" s="4">
        <v>0</v>
      </c>
    </row>
    <row r="723" spans="1:9" x14ac:dyDescent="0.2">
      <c r="A723" s="1"/>
      <c r="C723" s="4"/>
      <c r="D723" s="8"/>
      <c r="E723" s="4"/>
      <c r="F723" s="8"/>
      <c r="G723" s="4"/>
      <c r="H723" s="8"/>
      <c r="I723" s="4"/>
    </row>
    <row r="724" spans="1:9" x14ac:dyDescent="0.2">
      <c r="A724" s="1" t="s">
        <v>31</v>
      </c>
      <c r="C724" s="4"/>
      <c r="D724" s="8"/>
      <c r="E724" s="4"/>
      <c r="F724" s="8"/>
      <c r="G724" s="4"/>
      <c r="H724" s="8"/>
      <c r="I724" s="4"/>
    </row>
    <row r="725" spans="1:9" x14ac:dyDescent="0.2">
      <c r="A725" s="2">
        <v>1</v>
      </c>
      <c r="B725" s="1" t="s">
        <v>76</v>
      </c>
      <c r="C725" s="4">
        <v>9</v>
      </c>
      <c r="D725" s="8">
        <v>23.68</v>
      </c>
      <c r="E725" s="4">
        <v>9</v>
      </c>
      <c r="F725" s="8">
        <v>30</v>
      </c>
      <c r="G725" s="4">
        <v>0</v>
      </c>
      <c r="H725" s="8">
        <v>0</v>
      </c>
      <c r="I725" s="4">
        <v>0</v>
      </c>
    </row>
    <row r="726" spans="1:9" x14ac:dyDescent="0.2">
      <c r="A726" s="2">
        <v>2</v>
      </c>
      <c r="B726" s="1" t="s">
        <v>69</v>
      </c>
      <c r="C726" s="4">
        <v>6</v>
      </c>
      <c r="D726" s="8">
        <v>15.79</v>
      </c>
      <c r="E726" s="4">
        <v>5</v>
      </c>
      <c r="F726" s="8">
        <v>16.670000000000002</v>
      </c>
      <c r="G726" s="4">
        <v>0</v>
      </c>
      <c r="H726" s="8">
        <v>0</v>
      </c>
      <c r="I726" s="4">
        <v>1</v>
      </c>
    </row>
    <row r="727" spans="1:9" x14ac:dyDescent="0.2">
      <c r="A727" s="2">
        <v>3</v>
      </c>
      <c r="B727" s="1" t="s">
        <v>71</v>
      </c>
      <c r="C727" s="4">
        <v>4</v>
      </c>
      <c r="D727" s="8">
        <v>10.53</v>
      </c>
      <c r="E727" s="4">
        <v>4</v>
      </c>
      <c r="F727" s="8">
        <v>13.33</v>
      </c>
      <c r="G727" s="4">
        <v>0</v>
      </c>
      <c r="H727" s="8">
        <v>0</v>
      </c>
      <c r="I727" s="4">
        <v>0</v>
      </c>
    </row>
    <row r="728" spans="1:9" x14ac:dyDescent="0.2">
      <c r="A728" s="2">
        <v>4</v>
      </c>
      <c r="B728" s="1" t="s">
        <v>88</v>
      </c>
      <c r="C728" s="4">
        <v>3</v>
      </c>
      <c r="D728" s="8">
        <v>7.89</v>
      </c>
      <c r="E728" s="4">
        <v>1</v>
      </c>
      <c r="F728" s="8">
        <v>3.33</v>
      </c>
      <c r="G728" s="4">
        <v>2</v>
      </c>
      <c r="H728" s="8">
        <v>50</v>
      </c>
      <c r="I728" s="4">
        <v>0</v>
      </c>
    </row>
    <row r="729" spans="1:9" x14ac:dyDescent="0.2">
      <c r="A729" s="2">
        <v>4</v>
      </c>
      <c r="B729" s="1" t="s">
        <v>77</v>
      </c>
      <c r="C729" s="4">
        <v>3</v>
      </c>
      <c r="D729" s="8">
        <v>7.89</v>
      </c>
      <c r="E729" s="4">
        <v>3</v>
      </c>
      <c r="F729" s="8">
        <v>10</v>
      </c>
      <c r="G729" s="4">
        <v>0</v>
      </c>
      <c r="H729" s="8">
        <v>0</v>
      </c>
      <c r="I729" s="4">
        <v>0</v>
      </c>
    </row>
    <row r="730" spans="1:9" x14ac:dyDescent="0.2">
      <c r="A730" s="2">
        <v>6</v>
      </c>
      <c r="B730" s="1" t="s">
        <v>93</v>
      </c>
      <c r="C730" s="4">
        <v>2</v>
      </c>
      <c r="D730" s="8">
        <v>5.26</v>
      </c>
      <c r="E730" s="4">
        <v>2</v>
      </c>
      <c r="F730" s="8">
        <v>6.67</v>
      </c>
      <c r="G730" s="4">
        <v>0</v>
      </c>
      <c r="H730" s="8">
        <v>0</v>
      </c>
      <c r="I730" s="4">
        <v>0</v>
      </c>
    </row>
    <row r="731" spans="1:9" x14ac:dyDescent="0.2">
      <c r="A731" s="2">
        <v>6</v>
      </c>
      <c r="B731" s="1" t="s">
        <v>80</v>
      </c>
      <c r="C731" s="4">
        <v>2</v>
      </c>
      <c r="D731" s="8">
        <v>5.26</v>
      </c>
      <c r="E731" s="4">
        <v>2</v>
      </c>
      <c r="F731" s="8">
        <v>6.67</v>
      </c>
      <c r="G731" s="4">
        <v>0</v>
      </c>
      <c r="H731" s="8">
        <v>0</v>
      </c>
      <c r="I731" s="4">
        <v>0</v>
      </c>
    </row>
    <row r="732" spans="1:9" x14ac:dyDescent="0.2">
      <c r="A732" s="2">
        <v>6</v>
      </c>
      <c r="B732" s="1" t="s">
        <v>83</v>
      </c>
      <c r="C732" s="4">
        <v>2</v>
      </c>
      <c r="D732" s="8">
        <v>5.26</v>
      </c>
      <c r="E732" s="4">
        <v>0</v>
      </c>
      <c r="F732" s="8">
        <v>0</v>
      </c>
      <c r="G732" s="4">
        <v>1</v>
      </c>
      <c r="H732" s="8">
        <v>25</v>
      </c>
      <c r="I732" s="4">
        <v>0</v>
      </c>
    </row>
    <row r="733" spans="1:9" x14ac:dyDescent="0.2">
      <c r="A733" s="2">
        <v>9</v>
      </c>
      <c r="B733" s="1" t="s">
        <v>65</v>
      </c>
      <c r="C733" s="4">
        <v>1</v>
      </c>
      <c r="D733" s="8">
        <v>2.63</v>
      </c>
      <c r="E733" s="4">
        <v>1</v>
      </c>
      <c r="F733" s="8">
        <v>3.33</v>
      </c>
      <c r="G733" s="4">
        <v>0</v>
      </c>
      <c r="H733" s="8">
        <v>0</v>
      </c>
      <c r="I733" s="4">
        <v>0</v>
      </c>
    </row>
    <row r="734" spans="1:9" x14ac:dyDescent="0.2">
      <c r="A734" s="2">
        <v>9</v>
      </c>
      <c r="B734" s="1" t="s">
        <v>95</v>
      </c>
      <c r="C734" s="4">
        <v>1</v>
      </c>
      <c r="D734" s="8">
        <v>2.63</v>
      </c>
      <c r="E734" s="4">
        <v>1</v>
      </c>
      <c r="F734" s="8">
        <v>3.33</v>
      </c>
      <c r="G734" s="4">
        <v>0</v>
      </c>
      <c r="H734" s="8">
        <v>0</v>
      </c>
      <c r="I734" s="4">
        <v>0</v>
      </c>
    </row>
    <row r="735" spans="1:9" x14ac:dyDescent="0.2">
      <c r="A735" s="2">
        <v>9</v>
      </c>
      <c r="B735" s="1" t="s">
        <v>113</v>
      </c>
      <c r="C735" s="4">
        <v>1</v>
      </c>
      <c r="D735" s="8">
        <v>2.63</v>
      </c>
      <c r="E735" s="4">
        <v>0</v>
      </c>
      <c r="F735" s="8">
        <v>0</v>
      </c>
      <c r="G735" s="4">
        <v>1</v>
      </c>
      <c r="H735" s="8">
        <v>25</v>
      </c>
      <c r="I735" s="4">
        <v>0</v>
      </c>
    </row>
    <row r="736" spans="1:9" x14ac:dyDescent="0.2">
      <c r="A736" s="2">
        <v>9</v>
      </c>
      <c r="B736" s="1" t="s">
        <v>101</v>
      </c>
      <c r="C736" s="4">
        <v>1</v>
      </c>
      <c r="D736" s="8">
        <v>2.63</v>
      </c>
      <c r="E736" s="4">
        <v>0</v>
      </c>
      <c r="F736" s="8">
        <v>0</v>
      </c>
      <c r="G736" s="4">
        <v>0</v>
      </c>
      <c r="H736" s="8">
        <v>0</v>
      </c>
      <c r="I736" s="4">
        <v>0</v>
      </c>
    </row>
    <row r="737" spans="1:9" x14ac:dyDescent="0.2">
      <c r="A737" s="2">
        <v>9</v>
      </c>
      <c r="B737" s="1" t="s">
        <v>103</v>
      </c>
      <c r="C737" s="4">
        <v>1</v>
      </c>
      <c r="D737" s="8">
        <v>2.63</v>
      </c>
      <c r="E737" s="4">
        <v>0</v>
      </c>
      <c r="F737" s="8">
        <v>0</v>
      </c>
      <c r="G737" s="4">
        <v>0</v>
      </c>
      <c r="H737" s="8">
        <v>0</v>
      </c>
      <c r="I737" s="4">
        <v>0</v>
      </c>
    </row>
    <row r="738" spans="1:9" x14ac:dyDescent="0.2">
      <c r="A738" s="2">
        <v>9</v>
      </c>
      <c r="B738" s="1" t="s">
        <v>114</v>
      </c>
      <c r="C738" s="4">
        <v>1</v>
      </c>
      <c r="D738" s="8">
        <v>2.63</v>
      </c>
      <c r="E738" s="4">
        <v>1</v>
      </c>
      <c r="F738" s="8">
        <v>3.33</v>
      </c>
      <c r="G738" s="4">
        <v>0</v>
      </c>
      <c r="H738" s="8">
        <v>0</v>
      </c>
      <c r="I738" s="4">
        <v>0</v>
      </c>
    </row>
    <row r="739" spans="1:9" x14ac:dyDescent="0.2">
      <c r="A739" s="2">
        <v>9</v>
      </c>
      <c r="B739" s="1" t="s">
        <v>79</v>
      </c>
      <c r="C739" s="4">
        <v>1</v>
      </c>
      <c r="D739" s="8">
        <v>2.63</v>
      </c>
      <c r="E739" s="4">
        <v>1</v>
      </c>
      <c r="F739" s="8">
        <v>3.33</v>
      </c>
      <c r="G739" s="4">
        <v>0</v>
      </c>
      <c r="H739" s="8">
        <v>0</v>
      </c>
      <c r="I739" s="4">
        <v>0</v>
      </c>
    </row>
    <row r="740" spans="1:9" x14ac:dyDescent="0.2">
      <c r="A740" s="1"/>
      <c r="C740" s="4"/>
      <c r="D740" s="8"/>
      <c r="E740" s="4"/>
      <c r="F740" s="8"/>
      <c r="G740" s="4"/>
      <c r="H740" s="8"/>
      <c r="I740" s="4"/>
    </row>
    <row r="741" spans="1:9" x14ac:dyDescent="0.2">
      <c r="A741" s="1" t="s">
        <v>32</v>
      </c>
      <c r="C741" s="4"/>
      <c r="D741" s="8"/>
      <c r="E741" s="4"/>
      <c r="F741" s="8"/>
      <c r="G741" s="4"/>
      <c r="H741" s="8"/>
      <c r="I741" s="4"/>
    </row>
    <row r="742" spans="1:9" x14ac:dyDescent="0.2">
      <c r="A742" s="2">
        <v>1</v>
      </c>
      <c r="B742" s="1" t="s">
        <v>69</v>
      </c>
      <c r="C742" s="4">
        <v>4</v>
      </c>
      <c r="D742" s="8">
        <v>25</v>
      </c>
      <c r="E742" s="4">
        <v>3</v>
      </c>
      <c r="F742" s="8">
        <v>33.33</v>
      </c>
      <c r="G742" s="4">
        <v>1</v>
      </c>
      <c r="H742" s="8">
        <v>20</v>
      </c>
      <c r="I742" s="4">
        <v>0</v>
      </c>
    </row>
    <row r="743" spans="1:9" x14ac:dyDescent="0.2">
      <c r="A743" s="2">
        <v>1</v>
      </c>
      <c r="B743" s="1" t="s">
        <v>76</v>
      </c>
      <c r="C743" s="4">
        <v>4</v>
      </c>
      <c r="D743" s="8">
        <v>25</v>
      </c>
      <c r="E743" s="4">
        <v>3</v>
      </c>
      <c r="F743" s="8">
        <v>33.33</v>
      </c>
      <c r="G743" s="4">
        <v>1</v>
      </c>
      <c r="H743" s="8">
        <v>20</v>
      </c>
      <c r="I743" s="4">
        <v>0</v>
      </c>
    </row>
    <row r="744" spans="1:9" x14ac:dyDescent="0.2">
      <c r="A744" s="2">
        <v>3</v>
      </c>
      <c r="B744" s="1" t="s">
        <v>77</v>
      </c>
      <c r="C744" s="4">
        <v>2</v>
      </c>
      <c r="D744" s="8">
        <v>12.5</v>
      </c>
      <c r="E744" s="4">
        <v>2</v>
      </c>
      <c r="F744" s="8">
        <v>22.22</v>
      </c>
      <c r="G744" s="4">
        <v>0</v>
      </c>
      <c r="H744" s="8">
        <v>0</v>
      </c>
      <c r="I744" s="4">
        <v>0</v>
      </c>
    </row>
    <row r="745" spans="1:9" x14ac:dyDescent="0.2">
      <c r="A745" s="2">
        <v>4</v>
      </c>
      <c r="B745" s="1" t="s">
        <v>95</v>
      </c>
      <c r="C745" s="4">
        <v>1</v>
      </c>
      <c r="D745" s="8">
        <v>6.25</v>
      </c>
      <c r="E745" s="4">
        <v>0</v>
      </c>
      <c r="F745" s="8">
        <v>0</v>
      </c>
      <c r="G745" s="4">
        <v>1</v>
      </c>
      <c r="H745" s="8">
        <v>20</v>
      </c>
      <c r="I745" s="4">
        <v>0</v>
      </c>
    </row>
    <row r="746" spans="1:9" x14ac:dyDescent="0.2">
      <c r="A746" s="2">
        <v>4</v>
      </c>
      <c r="B746" s="1" t="s">
        <v>113</v>
      </c>
      <c r="C746" s="4">
        <v>1</v>
      </c>
      <c r="D746" s="8">
        <v>6.25</v>
      </c>
      <c r="E746" s="4">
        <v>0</v>
      </c>
      <c r="F746" s="8">
        <v>0</v>
      </c>
      <c r="G746" s="4">
        <v>1</v>
      </c>
      <c r="H746" s="8">
        <v>20</v>
      </c>
      <c r="I746" s="4">
        <v>0</v>
      </c>
    </row>
    <row r="747" spans="1:9" x14ac:dyDescent="0.2">
      <c r="A747" s="2">
        <v>4</v>
      </c>
      <c r="B747" s="1" t="s">
        <v>101</v>
      </c>
      <c r="C747" s="4">
        <v>1</v>
      </c>
      <c r="D747" s="8">
        <v>6.25</v>
      </c>
      <c r="E747" s="4">
        <v>0</v>
      </c>
      <c r="F747" s="8">
        <v>0</v>
      </c>
      <c r="G747" s="4">
        <v>0</v>
      </c>
      <c r="H747" s="8">
        <v>0</v>
      </c>
      <c r="I747" s="4">
        <v>0</v>
      </c>
    </row>
    <row r="748" spans="1:9" x14ac:dyDescent="0.2">
      <c r="A748" s="2">
        <v>4</v>
      </c>
      <c r="B748" s="1" t="s">
        <v>115</v>
      </c>
      <c r="C748" s="4">
        <v>1</v>
      </c>
      <c r="D748" s="8">
        <v>6.25</v>
      </c>
      <c r="E748" s="4">
        <v>0</v>
      </c>
      <c r="F748" s="8">
        <v>0</v>
      </c>
      <c r="G748" s="4">
        <v>1</v>
      </c>
      <c r="H748" s="8">
        <v>20</v>
      </c>
      <c r="I748" s="4">
        <v>0</v>
      </c>
    </row>
    <row r="749" spans="1:9" x14ac:dyDescent="0.2">
      <c r="A749" s="2">
        <v>4</v>
      </c>
      <c r="B749" s="1" t="s">
        <v>71</v>
      </c>
      <c r="C749" s="4">
        <v>1</v>
      </c>
      <c r="D749" s="8">
        <v>6.25</v>
      </c>
      <c r="E749" s="4">
        <v>1</v>
      </c>
      <c r="F749" s="8">
        <v>11.11</v>
      </c>
      <c r="G749" s="4">
        <v>0</v>
      </c>
      <c r="H749" s="8">
        <v>0</v>
      </c>
      <c r="I749" s="4">
        <v>0</v>
      </c>
    </row>
    <row r="750" spans="1:9" x14ac:dyDescent="0.2">
      <c r="A750" s="2">
        <v>4</v>
      </c>
      <c r="B750" s="1" t="s">
        <v>82</v>
      </c>
      <c r="C750" s="4">
        <v>1</v>
      </c>
      <c r="D750" s="8">
        <v>6.25</v>
      </c>
      <c r="E750" s="4">
        <v>0</v>
      </c>
      <c r="F750" s="8">
        <v>0</v>
      </c>
      <c r="G750" s="4">
        <v>0</v>
      </c>
      <c r="H750" s="8">
        <v>0</v>
      </c>
      <c r="I750" s="4">
        <v>0</v>
      </c>
    </row>
    <row r="751" spans="1:9" x14ac:dyDescent="0.2">
      <c r="A751" s="1"/>
      <c r="C751" s="4"/>
      <c r="D751" s="8"/>
      <c r="E751" s="4"/>
      <c r="F751" s="8"/>
      <c r="G751" s="4"/>
      <c r="H751" s="8"/>
      <c r="I751" s="4"/>
    </row>
    <row r="752" spans="1:9" x14ac:dyDescent="0.2">
      <c r="A752" s="1" t="s">
        <v>33</v>
      </c>
      <c r="C752" s="4"/>
      <c r="D752" s="8"/>
      <c r="E752" s="4"/>
      <c r="F752" s="8"/>
      <c r="G752" s="4"/>
      <c r="H752" s="8"/>
      <c r="I752" s="4"/>
    </row>
    <row r="753" spans="1:9" x14ac:dyDescent="0.2">
      <c r="A753" s="2">
        <v>1</v>
      </c>
      <c r="B753" s="1" t="s">
        <v>77</v>
      </c>
      <c r="C753" s="4">
        <v>17</v>
      </c>
      <c r="D753" s="8">
        <v>34</v>
      </c>
      <c r="E753" s="4">
        <v>17</v>
      </c>
      <c r="F753" s="8">
        <v>56.67</v>
      </c>
      <c r="G753" s="4">
        <v>0</v>
      </c>
      <c r="H753" s="8">
        <v>0</v>
      </c>
      <c r="I753" s="4">
        <v>0</v>
      </c>
    </row>
    <row r="754" spans="1:9" x14ac:dyDescent="0.2">
      <c r="A754" s="2">
        <v>2</v>
      </c>
      <c r="B754" s="1" t="s">
        <v>71</v>
      </c>
      <c r="C754" s="4">
        <v>4</v>
      </c>
      <c r="D754" s="8">
        <v>8</v>
      </c>
      <c r="E754" s="4">
        <v>1</v>
      </c>
      <c r="F754" s="8">
        <v>3.33</v>
      </c>
      <c r="G754" s="4">
        <v>3</v>
      </c>
      <c r="H754" s="8">
        <v>17.649999999999999</v>
      </c>
      <c r="I754" s="4">
        <v>0</v>
      </c>
    </row>
    <row r="755" spans="1:9" x14ac:dyDescent="0.2">
      <c r="A755" s="2">
        <v>3</v>
      </c>
      <c r="B755" s="1" t="s">
        <v>107</v>
      </c>
      <c r="C755" s="4">
        <v>3</v>
      </c>
      <c r="D755" s="8">
        <v>6</v>
      </c>
      <c r="E755" s="4">
        <v>0</v>
      </c>
      <c r="F755" s="8">
        <v>0</v>
      </c>
      <c r="G755" s="4">
        <v>3</v>
      </c>
      <c r="H755" s="8">
        <v>17.649999999999999</v>
      </c>
      <c r="I755" s="4">
        <v>0</v>
      </c>
    </row>
    <row r="756" spans="1:9" x14ac:dyDescent="0.2">
      <c r="A756" s="2">
        <v>3</v>
      </c>
      <c r="B756" s="1" t="s">
        <v>69</v>
      </c>
      <c r="C756" s="4">
        <v>3</v>
      </c>
      <c r="D756" s="8">
        <v>6</v>
      </c>
      <c r="E756" s="4">
        <v>3</v>
      </c>
      <c r="F756" s="8">
        <v>10</v>
      </c>
      <c r="G756" s="4">
        <v>0</v>
      </c>
      <c r="H756" s="8">
        <v>0</v>
      </c>
      <c r="I756" s="4">
        <v>0</v>
      </c>
    </row>
    <row r="757" spans="1:9" x14ac:dyDescent="0.2">
      <c r="A757" s="2">
        <v>3</v>
      </c>
      <c r="B757" s="1" t="s">
        <v>81</v>
      </c>
      <c r="C757" s="4">
        <v>3</v>
      </c>
      <c r="D757" s="8">
        <v>6</v>
      </c>
      <c r="E757" s="4">
        <v>1</v>
      </c>
      <c r="F757" s="8">
        <v>3.33</v>
      </c>
      <c r="G757" s="4">
        <v>1</v>
      </c>
      <c r="H757" s="8">
        <v>5.88</v>
      </c>
      <c r="I757" s="4">
        <v>0</v>
      </c>
    </row>
    <row r="758" spans="1:9" x14ac:dyDescent="0.2">
      <c r="A758" s="2">
        <v>6</v>
      </c>
      <c r="B758" s="1" t="s">
        <v>76</v>
      </c>
      <c r="C758" s="4">
        <v>2</v>
      </c>
      <c r="D758" s="8">
        <v>4</v>
      </c>
      <c r="E758" s="4">
        <v>2</v>
      </c>
      <c r="F758" s="8">
        <v>6.67</v>
      </c>
      <c r="G758" s="4">
        <v>0</v>
      </c>
      <c r="H758" s="8">
        <v>0</v>
      </c>
      <c r="I758" s="4">
        <v>0</v>
      </c>
    </row>
    <row r="759" spans="1:9" x14ac:dyDescent="0.2">
      <c r="A759" s="2">
        <v>6</v>
      </c>
      <c r="B759" s="1" t="s">
        <v>80</v>
      </c>
      <c r="C759" s="4">
        <v>2</v>
      </c>
      <c r="D759" s="8">
        <v>4</v>
      </c>
      <c r="E759" s="4">
        <v>2</v>
      </c>
      <c r="F759" s="8">
        <v>6.67</v>
      </c>
      <c r="G759" s="4">
        <v>0</v>
      </c>
      <c r="H759" s="8">
        <v>0</v>
      </c>
      <c r="I759" s="4">
        <v>0</v>
      </c>
    </row>
    <row r="760" spans="1:9" x14ac:dyDescent="0.2">
      <c r="A760" s="2">
        <v>6</v>
      </c>
      <c r="B760" s="1" t="s">
        <v>104</v>
      </c>
      <c r="C760" s="4">
        <v>2</v>
      </c>
      <c r="D760" s="8">
        <v>4</v>
      </c>
      <c r="E760" s="4">
        <v>0</v>
      </c>
      <c r="F760" s="8">
        <v>0</v>
      </c>
      <c r="G760" s="4">
        <v>1</v>
      </c>
      <c r="H760" s="8">
        <v>5.88</v>
      </c>
      <c r="I760" s="4">
        <v>0</v>
      </c>
    </row>
    <row r="761" spans="1:9" x14ac:dyDescent="0.2">
      <c r="A761" s="2">
        <v>6</v>
      </c>
      <c r="B761" s="1" t="s">
        <v>84</v>
      </c>
      <c r="C761" s="4">
        <v>2</v>
      </c>
      <c r="D761" s="8">
        <v>4</v>
      </c>
      <c r="E761" s="4">
        <v>2</v>
      </c>
      <c r="F761" s="8">
        <v>6.67</v>
      </c>
      <c r="G761" s="4">
        <v>0</v>
      </c>
      <c r="H761" s="8">
        <v>0</v>
      </c>
      <c r="I761" s="4">
        <v>0</v>
      </c>
    </row>
    <row r="762" spans="1:9" x14ac:dyDescent="0.2">
      <c r="A762" s="2">
        <v>10</v>
      </c>
      <c r="B762" s="1" t="s">
        <v>65</v>
      </c>
      <c r="C762" s="4">
        <v>1</v>
      </c>
      <c r="D762" s="8">
        <v>2</v>
      </c>
      <c r="E762" s="4">
        <v>0</v>
      </c>
      <c r="F762" s="8">
        <v>0</v>
      </c>
      <c r="G762" s="4">
        <v>1</v>
      </c>
      <c r="H762" s="8">
        <v>5.88</v>
      </c>
      <c r="I762" s="4">
        <v>0</v>
      </c>
    </row>
    <row r="763" spans="1:9" x14ac:dyDescent="0.2">
      <c r="A763" s="2">
        <v>10</v>
      </c>
      <c r="B763" s="1" t="s">
        <v>88</v>
      </c>
      <c r="C763" s="4">
        <v>1</v>
      </c>
      <c r="D763" s="8">
        <v>2</v>
      </c>
      <c r="E763" s="4">
        <v>0</v>
      </c>
      <c r="F763" s="8">
        <v>0</v>
      </c>
      <c r="G763" s="4">
        <v>1</v>
      </c>
      <c r="H763" s="8">
        <v>5.88</v>
      </c>
      <c r="I763" s="4">
        <v>0</v>
      </c>
    </row>
    <row r="764" spans="1:9" x14ac:dyDescent="0.2">
      <c r="A764" s="2">
        <v>10</v>
      </c>
      <c r="B764" s="1" t="s">
        <v>97</v>
      </c>
      <c r="C764" s="4">
        <v>1</v>
      </c>
      <c r="D764" s="8">
        <v>2</v>
      </c>
      <c r="E764" s="4">
        <v>0</v>
      </c>
      <c r="F764" s="8">
        <v>0</v>
      </c>
      <c r="G764" s="4">
        <v>1</v>
      </c>
      <c r="H764" s="8">
        <v>5.88</v>
      </c>
      <c r="I764" s="4">
        <v>0</v>
      </c>
    </row>
    <row r="765" spans="1:9" x14ac:dyDescent="0.2">
      <c r="A765" s="2">
        <v>10</v>
      </c>
      <c r="B765" s="1" t="s">
        <v>113</v>
      </c>
      <c r="C765" s="4">
        <v>1</v>
      </c>
      <c r="D765" s="8">
        <v>2</v>
      </c>
      <c r="E765" s="4">
        <v>0</v>
      </c>
      <c r="F765" s="8">
        <v>0</v>
      </c>
      <c r="G765" s="4">
        <v>1</v>
      </c>
      <c r="H765" s="8">
        <v>5.88</v>
      </c>
      <c r="I765" s="4">
        <v>0</v>
      </c>
    </row>
    <row r="766" spans="1:9" x14ac:dyDescent="0.2">
      <c r="A766" s="2">
        <v>10</v>
      </c>
      <c r="B766" s="1" t="s">
        <v>90</v>
      </c>
      <c r="C766" s="4">
        <v>1</v>
      </c>
      <c r="D766" s="8">
        <v>2</v>
      </c>
      <c r="E766" s="4">
        <v>0</v>
      </c>
      <c r="F766" s="8">
        <v>0</v>
      </c>
      <c r="G766" s="4">
        <v>1</v>
      </c>
      <c r="H766" s="8">
        <v>5.88</v>
      </c>
      <c r="I766" s="4">
        <v>0</v>
      </c>
    </row>
    <row r="767" spans="1:9" x14ac:dyDescent="0.2">
      <c r="A767" s="2">
        <v>10</v>
      </c>
      <c r="B767" s="1" t="s">
        <v>106</v>
      </c>
      <c r="C767" s="4">
        <v>1</v>
      </c>
      <c r="D767" s="8">
        <v>2</v>
      </c>
      <c r="E767" s="4">
        <v>1</v>
      </c>
      <c r="F767" s="8">
        <v>3.33</v>
      </c>
      <c r="G767" s="4">
        <v>0</v>
      </c>
      <c r="H767" s="8">
        <v>0</v>
      </c>
      <c r="I767" s="4">
        <v>0</v>
      </c>
    </row>
    <row r="768" spans="1:9" x14ac:dyDescent="0.2">
      <c r="A768" s="2">
        <v>10</v>
      </c>
      <c r="B768" s="1" t="s">
        <v>94</v>
      </c>
      <c r="C768" s="4">
        <v>1</v>
      </c>
      <c r="D768" s="8">
        <v>2</v>
      </c>
      <c r="E768" s="4">
        <v>0</v>
      </c>
      <c r="F768" s="8">
        <v>0</v>
      </c>
      <c r="G768" s="4">
        <v>1</v>
      </c>
      <c r="H768" s="8">
        <v>5.88</v>
      </c>
      <c r="I768" s="4">
        <v>0</v>
      </c>
    </row>
    <row r="769" spans="1:9" x14ac:dyDescent="0.2">
      <c r="A769" s="2">
        <v>10</v>
      </c>
      <c r="B769" s="1" t="s">
        <v>116</v>
      </c>
      <c r="C769" s="4">
        <v>1</v>
      </c>
      <c r="D769" s="8">
        <v>2</v>
      </c>
      <c r="E769" s="4">
        <v>0</v>
      </c>
      <c r="F769" s="8">
        <v>0</v>
      </c>
      <c r="G769" s="4">
        <v>1</v>
      </c>
      <c r="H769" s="8">
        <v>5.88</v>
      </c>
      <c r="I769" s="4">
        <v>0</v>
      </c>
    </row>
    <row r="770" spans="1:9" x14ac:dyDescent="0.2">
      <c r="A770" s="2">
        <v>10</v>
      </c>
      <c r="B770" s="1" t="s">
        <v>75</v>
      </c>
      <c r="C770" s="4">
        <v>1</v>
      </c>
      <c r="D770" s="8">
        <v>2</v>
      </c>
      <c r="E770" s="4">
        <v>0</v>
      </c>
      <c r="F770" s="8">
        <v>0</v>
      </c>
      <c r="G770" s="4">
        <v>0</v>
      </c>
      <c r="H770" s="8">
        <v>0</v>
      </c>
      <c r="I770" s="4">
        <v>0</v>
      </c>
    </row>
    <row r="771" spans="1:9" x14ac:dyDescent="0.2">
      <c r="A771" s="2">
        <v>10</v>
      </c>
      <c r="B771" s="1" t="s">
        <v>78</v>
      </c>
      <c r="C771" s="4">
        <v>1</v>
      </c>
      <c r="D771" s="8">
        <v>2</v>
      </c>
      <c r="E771" s="4">
        <v>1</v>
      </c>
      <c r="F771" s="8">
        <v>3.33</v>
      </c>
      <c r="G771" s="4">
        <v>0</v>
      </c>
      <c r="H771" s="8">
        <v>0</v>
      </c>
      <c r="I771" s="4">
        <v>0</v>
      </c>
    </row>
    <row r="772" spans="1:9" x14ac:dyDescent="0.2">
      <c r="A772" s="2">
        <v>10</v>
      </c>
      <c r="B772" s="1" t="s">
        <v>79</v>
      </c>
      <c r="C772" s="4">
        <v>1</v>
      </c>
      <c r="D772" s="8">
        <v>2</v>
      </c>
      <c r="E772" s="4">
        <v>0</v>
      </c>
      <c r="F772" s="8">
        <v>0</v>
      </c>
      <c r="G772" s="4">
        <v>1</v>
      </c>
      <c r="H772" s="8">
        <v>5.88</v>
      </c>
      <c r="I772" s="4">
        <v>0</v>
      </c>
    </row>
    <row r="773" spans="1:9" x14ac:dyDescent="0.2">
      <c r="A773" s="2">
        <v>10</v>
      </c>
      <c r="B773" s="1" t="s">
        <v>102</v>
      </c>
      <c r="C773" s="4">
        <v>1</v>
      </c>
      <c r="D773" s="8">
        <v>2</v>
      </c>
      <c r="E773" s="4">
        <v>0</v>
      </c>
      <c r="F773" s="8">
        <v>0</v>
      </c>
      <c r="G773" s="4">
        <v>1</v>
      </c>
      <c r="H773" s="8">
        <v>5.88</v>
      </c>
      <c r="I773" s="4">
        <v>0</v>
      </c>
    </row>
    <row r="774" spans="1:9" x14ac:dyDescent="0.2">
      <c r="A774" s="1"/>
      <c r="C774" s="4"/>
      <c r="D774" s="8"/>
      <c r="E774" s="4"/>
      <c r="F774" s="8"/>
      <c r="G774" s="4"/>
      <c r="H774" s="8"/>
      <c r="I774" s="4"/>
    </row>
    <row r="775" spans="1:9" x14ac:dyDescent="0.2">
      <c r="A775" s="1" t="s">
        <v>34</v>
      </c>
      <c r="C775" s="4"/>
      <c r="D775" s="8"/>
      <c r="E775" s="4"/>
      <c r="F775" s="8"/>
      <c r="G775" s="4"/>
      <c r="H775" s="8"/>
      <c r="I775" s="4"/>
    </row>
    <row r="776" spans="1:9" x14ac:dyDescent="0.2">
      <c r="A776" s="2">
        <v>1</v>
      </c>
      <c r="B776" s="1" t="s">
        <v>69</v>
      </c>
      <c r="C776" s="4">
        <v>6</v>
      </c>
      <c r="D776" s="8">
        <v>18.75</v>
      </c>
      <c r="E776" s="4">
        <v>4</v>
      </c>
      <c r="F776" s="8">
        <v>28.57</v>
      </c>
      <c r="G776" s="4">
        <v>1</v>
      </c>
      <c r="H776" s="8">
        <v>16.670000000000002</v>
      </c>
      <c r="I776" s="4">
        <v>1</v>
      </c>
    </row>
    <row r="777" spans="1:9" x14ac:dyDescent="0.2">
      <c r="A777" s="2">
        <v>2</v>
      </c>
      <c r="B777" s="1" t="s">
        <v>77</v>
      </c>
      <c r="C777" s="4">
        <v>3</v>
      </c>
      <c r="D777" s="8">
        <v>9.3800000000000008</v>
      </c>
      <c r="E777" s="4">
        <v>3</v>
      </c>
      <c r="F777" s="8">
        <v>21.43</v>
      </c>
      <c r="G777" s="4">
        <v>0</v>
      </c>
      <c r="H777" s="8">
        <v>0</v>
      </c>
      <c r="I777" s="4">
        <v>0</v>
      </c>
    </row>
    <row r="778" spans="1:9" x14ac:dyDescent="0.2">
      <c r="A778" s="2">
        <v>2</v>
      </c>
      <c r="B778" s="1" t="s">
        <v>104</v>
      </c>
      <c r="C778" s="4">
        <v>3</v>
      </c>
      <c r="D778" s="8">
        <v>9.3800000000000008</v>
      </c>
      <c r="E778" s="4">
        <v>0</v>
      </c>
      <c r="F778" s="8">
        <v>0</v>
      </c>
      <c r="G778" s="4">
        <v>0</v>
      </c>
      <c r="H778" s="8">
        <v>0</v>
      </c>
      <c r="I778" s="4">
        <v>0</v>
      </c>
    </row>
    <row r="779" spans="1:9" x14ac:dyDescent="0.2">
      <c r="A779" s="2">
        <v>4</v>
      </c>
      <c r="B779" s="1" t="s">
        <v>93</v>
      </c>
      <c r="C779" s="4">
        <v>2</v>
      </c>
      <c r="D779" s="8">
        <v>6.25</v>
      </c>
      <c r="E779" s="4">
        <v>2</v>
      </c>
      <c r="F779" s="8">
        <v>14.29</v>
      </c>
      <c r="G779" s="4">
        <v>0</v>
      </c>
      <c r="H779" s="8">
        <v>0</v>
      </c>
      <c r="I779" s="4">
        <v>0</v>
      </c>
    </row>
    <row r="780" spans="1:9" x14ac:dyDescent="0.2">
      <c r="A780" s="2">
        <v>4</v>
      </c>
      <c r="B780" s="1" t="s">
        <v>103</v>
      </c>
      <c r="C780" s="4">
        <v>2</v>
      </c>
      <c r="D780" s="8">
        <v>6.25</v>
      </c>
      <c r="E780" s="4">
        <v>0</v>
      </c>
      <c r="F780" s="8">
        <v>0</v>
      </c>
      <c r="G780" s="4">
        <v>0</v>
      </c>
      <c r="H780" s="8">
        <v>0</v>
      </c>
      <c r="I780" s="4">
        <v>0</v>
      </c>
    </row>
    <row r="781" spans="1:9" x14ac:dyDescent="0.2">
      <c r="A781" s="2">
        <v>4</v>
      </c>
      <c r="B781" s="1" t="s">
        <v>71</v>
      </c>
      <c r="C781" s="4">
        <v>2</v>
      </c>
      <c r="D781" s="8">
        <v>6.25</v>
      </c>
      <c r="E781" s="4">
        <v>1</v>
      </c>
      <c r="F781" s="8">
        <v>7.14</v>
      </c>
      <c r="G781" s="4">
        <v>1</v>
      </c>
      <c r="H781" s="8">
        <v>16.670000000000002</v>
      </c>
      <c r="I781" s="4">
        <v>0</v>
      </c>
    </row>
    <row r="782" spans="1:9" x14ac:dyDescent="0.2">
      <c r="A782" s="2">
        <v>4</v>
      </c>
      <c r="B782" s="1" t="s">
        <v>91</v>
      </c>
      <c r="C782" s="4">
        <v>2</v>
      </c>
      <c r="D782" s="8">
        <v>6.25</v>
      </c>
      <c r="E782" s="4">
        <v>0</v>
      </c>
      <c r="F782" s="8">
        <v>0</v>
      </c>
      <c r="G782" s="4">
        <v>0</v>
      </c>
      <c r="H782" s="8">
        <v>0</v>
      </c>
      <c r="I782" s="4">
        <v>0</v>
      </c>
    </row>
    <row r="783" spans="1:9" x14ac:dyDescent="0.2">
      <c r="A783" s="2">
        <v>8</v>
      </c>
      <c r="B783" s="1" t="s">
        <v>65</v>
      </c>
      <c r="C783" s="4">
        <v>1</v>
      </c>
      <c r="D783" s="8">
        <v>3.13</v>
      </c>
      <c r="E783" s="4">
        <v>0</v>
      </c>
      <c r="F783" s="8">
        <v>0</v>
      </c>
      <c r="G783" s="4">
        <v>1</v>
      </c>
      <c r="H783" s="8">
        <v>16.670000000000002</v>
      </c>
      <c r="I783" s="4">
        <v>0</v>
      </c>
    </row>
    <row r="784" spans="1:9" x14ac:dyDescent="0.2">
      <c r="A784" s="2">
        <v>8</v>
      </c>
      <c r="B784" s="1" t="s">
        <v>88</v>
      </c>
      <c r="C784" s="4">
        <v>1</v>
      </c>
      <c r="D784" s="8">
        <v>3.13</v>
      </c>
      <c r="E784" s="4">
        <v>0</v>
      </c>
      <c r="F784" s="8">
        <v>0</v>
      </c>
      <c r="G784" s="4">
        <v>1</v>
      </c>
      <c r="H784" s="8">
        <v>16.670000000000002</v>
      </c>
      <c r="I784" s="4">
        <v>0</v>
      </c>
    </row>
    <row r="785" spans="1:9" x14ac:dyDescent="0.2">
      <c r="A785" s="2">
        <v>8</v>
      </c>
      <c r="B785" s="1" t="s">
        <v>113</v>
      </c>
      <c r="C785" s="4">
        <v>1</v>
      </c>
      <c r="D785" s="8">
        <v>3.13</v>
      </c>
      <c r="E785" s="4">
        <v>0</v>
      </c>
      <c r="F785" s="8">
        <v>0</v>
      </c>
      <c r="G785" s="4">
        <v>1</v>
      </c>
      <c r="H785" s="8">
        <v>16.670000000000002</v>
      </c>
      <c r="I785" s="4">
        <v>0</v>
      </c>
    </row>
    <row r="786" spans="1:9" x14ac:dyDescent="0.2">
      <c r="A786" s="2">
        <v>8</v>
      </c>
      <c r="B786" s="1" t="s">
        <v>101</v>
      </c>
      <c r="C786" s="4">
        <v>1</v>
      </c>
      <c r="D786" s="8">
        <v>3.13</v>
      </c>
      <c r="E786" s="4">
        <v>0</v>
      </c>
      <c r="F786" s="8">
        <v>0</v>
      </c>
      <c r="G786" s="4">
        <v>0</v>
      </c>
      <c r="H786" s="8">
        <v>0</v>
      </c>
      <c r="I786" s="4">
        <v>0</v>
      </c>
    </row>
    <row r="787" spans="1:9" x14ac:dyDescent="0.2">
      <c r="A787" s="2">
        <v>8</v>
      </c>
      <c r="B787" s="1" t="s">
        <v>107</v>
      </c>
      <c r="C787" s="4">
        <v>1</v>
      </c>
      <c r="D787" s="8">
        <v>3.13</v>
      </c>
      <c r="E787" s="4">
        <v>0</v>
      </c>
      <c r="F787" s="8">
        <v>0</v>
      </c>
      <c r="G787" s="4">
        <v>1</v>
      </c>
      <c r="H787" s="8">
        <v>16.670000000000002</v>
      </c>
      <c r="I787" s="4">
        <v>0</v>
      </c>
    </row>
    <row r="788" spans="1:9" x14ac:dyDescent="0.2">
      <c r="A788" s="2">
        <v>8</v>
      </c>
      <c r="B788" s="1" t="s">
        <v>70</v>
      </c>
      <c r="C788" s="4">
        <v>1</v>
      </c>
      <c r="D788" s="8">
        <v>3.13</v>
      </c>
      <c r="E788" s="4">
        <v>1</v>
      </c>
      <c r="F788" s="8">
        <v>7.14</v>
      </c>
      <c r="G788" s="4">
        <v>0</v>
      </c>
      <c r="H788" s="8">
        <v>0</v>
      </c>
      <c r="I788" s="4">
        <v>0</v>
      </c>
    </row>
    <row r="789" spans="1:9" x14ac:dyDescent="0.2">
      <c r="A789" s="2">
        <v>8</v>
      </c>
      <c r="B789" s="1" t="s">
        <v>75</v>
      </c>
      <c r="C789" s="4">
        <v>1</v>
      </c>
      <c r="D789" s="8">
        <v>3.13</v>
      </c>
      <c r="E789" s="4">
        <v>0</v>
      </c>
      <c r="F789" s="8">
        <v>0</v>
      </c>
      <c r="G789" s="4">
        <v>0</v>
      </c>
      <c r="H789" s="8">
        <v>0</v>
      </c>
      <c r="I789" s="4">
        <v>0</v>
      </c>
    </row>
    <row r="790" spans="1:9" x14ac:dyDescent="0.2">
      <c r="A790" s="2">
        <v>8</v>
      </c>
      <c r="B790" s="1" t="s">
        <v>76</v>
      </c>
      <c r="C790" s="4">
        <v>1</v>
      </c>
      <c r="D790" s="8">
        <v>3.13</v>
      </c>
      <c r="E790" s="4">
        <v>1</v>
      </c>
      <c r="F790" s="8">
        <v>7.14</v>
      </c>
      <c r="G790" s="4">
        <v>0</v>
      </c>
      <c r="H790" s="8">
        <v>0</v>
      </c>
      <c r="I790" s="4">
        <v>0</v>
      </c>
    </row>
    <row r="791" spans="1:9" x14ac:dyDescent="0.2">
      <c r="A791" s="2">
        <v>8</v>
      </c>
      <c r="B791" s="1" t="s">
        <v>78</v>
      </c>
      <c r="C791" s="4">
        <v>1</v>
      </c>
      <c r="D791" s="8">
        <v>3.13</v>
      </c>
      <c r="E791" s="4">
        <v>1</v>
      </c>
      <c r="F791" s="8">
        <v>7.14</v>
      </c>
      <c r="G791" s="4">
        <v>0</v>
      </c>
      <c r="H791" s="8">
        <v>0</v>
      </c>
      <c r="I791" s="4">
        <v>0</v>
      </c>
    </row>
    <row r="792" spans="1:9" x14ac:dyDescent="0.2">
      <c r="A792" s="2">
        <v>8</v>
      </c>
      <c r="B792" s="1" t="s">
        <v>81</v>
      </c>
      <c r="C792" s="4">
        <v>1</v>
      </c>
      <c r="D792" s="8">
        <v>3.13</v>
      </c>
      <c r="E792" s="4">
        <v>0</v>
      </c>
      <c r="F792" s="8">
        <v>0</v>
      </c>
      <c r="G792" s="4">
        <v>0</v>
      </c>
      <c r="H792" s="8">
        <v>0</v>
      </c>
      <c r="I792" s="4">
        <v>0</v>
      </c>
    </row>
    <row r="793" spans="1:9" x14ac:dyDescent="0.2">
      <c r="A793" s="2">
        <v>8</v>
      </c>
      <c r="B793" s="1" t="s">
        <v>82</v>
      </c>
      <c r="C793" s="4">
        <v>1</v>
      </c>
      <c r="D793" s="8">
        <v>3.13</v>
      </c>
      <c r="E793" s="4">
        <v>0</v>
      </c>
      <c r="F793" s="8">
        <v>0</v>
      </c>
      <c r="G793" s="4">
        <v>0</v>
      </c>
      <c r="H793" s="8">
        <v>0</v>
      </c>
      <c r="I793" s="4">
        <v>0</v>
      </c>
    </row>
    <row r="794" spans="1:9" x14ac:dyDescent="0.2">
      <c r="A794" s="2">
        <v>8</v>
      </c>
      <c r="B794" s="1" t="s">
        <v>84</v>
      </c>
      <c r="C794" s="4">
        <v>1</v>
      </c>
      <c r="D794" s="8">
        <v>3.13</v>
      </c>
      <c r="E794" s="4">
        <v>1</v>
      </c>
      <c r="F794" s="8">
        <v>7.14</v>
      </c>
      <c r="G794" s="4">
        <v>0</v>
      </c>
      <c r="H794" s="8">
        <v>0</v>
      </c>
      <c r="I794" s="4">
        <v>0</v>
      </c>
    </row>
    <row r="795" spans="1:9" x14ac:dyDescent="0.2">
      <c r="A795" s="1"/>
      <c r="C795" s="4"/>
      <c r="D795" s="8"/>
      <c r="E795" s="4"/>
      <c r="F795" s="8"/>
      <c r="G795" s="4"/>
      <c r="H795" s="8"/>
      <c r="I795" s="4"/>
    </row>
    <row r="796" spans="1:9" x14ac:dyDescent="0.2">
      <c r="A796" s="1" t="s">
        <v>35</v>
      </c>
      <c r="C796" s="4"/>
      <c r="D796" s="8"/>
      <c r="E796" s="4"/>
      <c r="F796" s="8"/>
      <c r="G796" s="4"/>
      <c r="H796" s="8"/>
      <c r="I796" s="4"/>
    </row>
    <row r="797" spans="1:9" x14ac:dyDescent="0.2">
      <c r="A797" s="2">
        <v>1</v>
      </c>
      <c r="B797" s="1" t="s">
        <v>69</v>
      </c>
      <c r="C797" s="4">
        <v>14</v>
      </c>
      <c r="D797" s="8">
        <v>26.42</v>
      </c>
      <c r="E797" s="4">
        <v>10</v>
      </c>
      <c r="F797" s="8">
        <v>30.3</v>
      </c>
      <c r="G797" s="4">
        <v>4</v>
      </c>
      <c r="H797" s="8">
        <v>26.67</v>
      </c>
      <c r="I797" s="4">
        <v>0</v>
      </c>
    </row>
    <row r="798" spans="1:9" x14ac:dyDescent="0.2">
      <c r="A798" s="2">
        <v>2</v>
      </c>
      <c r="B798" s="1" t="s">
        <v>77</v>
      </c>
      <c r="C798" s="4">
        <v>9</v>
      </c>
      <c r="D798" s="8">
        <v>16.98</v>
      </c>
      <c r="E798" s="4">
        <v>9</v>
      </c>
      <c r="F798" s="8">
        <v>27.27</v>
      </c>
      <c r="G798" s="4">
        <v>0</v>
      </c>
      <c r="H798" s="8">
        <v>0</v>
      </c>
      <c r="I798" s="4">
        <v>0</v>
      </c>
    </row>
    <row r="799" spans="1:9" x14ac:dyDescent="0.2">
      <c r="A799" s="2">
        <v>3</v>
      </c>
      <c r="B799" s="1" t="s">
        <v>88</v>
      </c>
      <c r="C799" s="4">
        <v>4</v>
      </c>
      <c r="D799" s="8">
        <v>7.55</v>
      </c>
      <c r="E799" s="4">
        <v>1</v>
      </c>
      <c r="F799" s="8">
        <v>3.03</v>
      </c>
      <c r="G799" s="4">
        <v>2</v>
      </c>
      <c r="H799" s="8">
        <v>13.33</v>
      </c>
      <c r="I799" s="4">
        <v>1</v>
      </c>
    </row>
    <row r="800" spans="1:9" x14ac:dyDescent="0.2">
      <c r="A800" s="2">
        <v>4</v>
      </c>
      <c r="B800" s="1" t="s">
        <v>65</v>
      </c>
      <c r="C800" s="4">
        <v>3</v>
      </c>
      <c r="D800" s="8">
        <v>5.66</v>
      </c>
      <c r="E800" s="4">
        <v>0</v>
      </c>
      <c r="F800" s="8">
        <v>0</v>
      </c>
      <c r="G800" s="4">
        <v>3</v>
      </c>
      <c r="H800" s="8">
        <v>20</v>
      </c>
      <c r="I800" s="4">
        <v>0</v>
      </c>
    </row>
    <row r="801" spans="1:9" x14ac:dyDescent="0.2">
      <c r="A801" s="2">
        <v>4</v>
      </c>
      <c r="B801" s="1" t="s">
        <v>76</v>
      </c>
      <c r="C801" s="4">
        <v>3</v>
      </c>
      <c r="D801" s="8">
        <v>5.66</v>
      </c>
      <c r="E801" s="4">
        <v>3</v>
      </c>
      <c r="F801" s="8">
        <v>9.09</v>
      </c>
      <c r="G801" s="4">
        <v>0</v>
      </c>
      <c r="H801" s="8">
        <v>0</v>
      </c>
      <c r="I801" s="4">
        <v>0</v>
      </c>
    </row>
    <row r="802" spans="1:9" x14ac:dyDescent="0.2">
      <c r="A802" s="2">
        <v>6</v>
      </c>
      <c r="B802" s="1" t="s">
        <v>97</v>
      </c>
      <c r="C802" s="4">
        <v>2</v>
      </c>
      <c r="D802" s="8">
        <v>3.77</v>
      </c>
      <c r="E802" s="4">
        <v>1</v>
      </c>
      <c r="F802" s="8">
        <v>3.03</v>
      </c>
      <c r="G802" s="4">
        <v>1</v>
      </c>
      <c r="H802" s="8">
        <v>6.67</v>
      </c>
      <c r="I802" s="4">
        <v>0</v>
      </c>
    </row>
    <row r="803" spans="1:9" x14ac:dyDescent="0.2">
      <c r="A803" s="2">
        <v>6</v>
      </c>
      <c r="B803" s="1" t="s">
        <v>95</v>
      </c>
      <c r="C803" s="4">
        <v>2</v>
      </c>
      <c r="D803" s="8">
        <v>3.77</v>
      </c>
      <c r="E803" s="4">
        <v>1</v>
      </c>
      <c r="F803" s="8">
        <v>3.03</v>
      </c>
      <c r="G803" s="4">
        <v>1</v>
      </c>
      <c r="H803" s="8">
        <v>6.67</v>
      </c>
      <c r="I803" s="4">
        <v>0</v>
      </c>
    </row>
    <row r="804" spans="1:9" x14ac:dyDescent="0.2">
      <c r="A804" s="2">
        <v>6</v>
      </c>
      <c r="B804" s="1" t="s">
        <v>71</v>
      </c>
      <c r="C804" s="4">
        <v>2</v>
      </c>
      <c r="D804" s="8">
        <v>3.77</v>
      </c>
      <c r="E804" s="4">
        <v>1</v>
      </c>
      <c r="F804" s="8">
        <v>3.03</v>
      </c>
      <c r="G804" s="4">
        <v>1</v>
      </c>
      <c r="H804" s="8">
        <v>6.67</v>
      </c>
      <c r="I804" s="4">
        <v>0</v>
      </c>
    </row>
    <row r="805" spans="1:9" x14ac:dyDescent="0.2">
      <c r="A805" s="2">
        <v>6</v>
      </c>
      <c r="B805" s="1" t="s">
        <v>78</v>
      </c>
      <c r="C805" s="4">
        <v>2</v>
      </c>
      <c r="D805" s="8">
        <v>3.77</v>
      </c>
      <c r="E805" s="4">
        <v>2</v>
      </c>
      <c r="F805" s="8">
        <v>6.06</v>
      </c>
      <c r="G805" s="4">
        <v>0</v>
      </c>
      <c r="H805" s="8">
        <v>0</v>
      </c>
      <c r="I805" s="4">
        <v>0</v>
      </c>
    </row>
    <row r="806" spans="1:9" x14ac:dyDescent="0.2">
      <c r="A806" s="2">
        <v>10</v>
      </c>
      <c r="B806" s="1" t="s">
        <v>67</v>
      </c>
      <c r="C806" s="4">
        <v>1</v>
      </c>
      <c r="D806" s="8">
        <v>1.89</v>
      </c>
      <c r="E806" s="4">
        <v>1</v>
      </c>
      <c r="F806" s="8">
        <v>3.03</v>
      </c>
      <c r="G806" s="4">
        <v>0</v>
      </c>
      <c r="H806" s="8">
        <v>0</v>
      </c>
      <c r="I806" s="4">
        <v>0</v>
      </c>
    </row>
    <row r="807" spans="1:9" x14ac:dyDescent="0.2">
      <c r="A807" s="2">
        <v>10</v>
      </c>
      <c r="B807" s="1" t="s">
        <v>100</v>
      </c>
      <c r="C807" s="4">
        <v>1</v>
      </c>
      <c r="D807" s="8">
        <v>1.89</v>
      </c>
      <c r="E807" s="4">
        <v>1</v>
      </c>
      <c r="F807" s="8">
        <v>3.03</v>
      </c>
      <c r="G807" s="4">
        <v>0</v>
      </c>
      <c r="H807" s="8">
        <v>0</v>
      </c>
      <c r="I807" s="4">
        <v>0</v>
      </c>
    </row>
    <row r="808" spans="1:9" x14ac:dyDescent="0.2">
      <c r="A808" s="2">
        <v>10</v>
      </c>
      <c r="B808" s="1" t="s">
        <v>103</v>
      </c>
      <c r="C808" s="4">
        <v>1</v>
      </c>
      <c r="D808" s="8">
        <v>1.89</v>
      </c>
      <c r="E808" s="4">
        <v>0</v>
      </c>
      <c r="F808" s="8">
        <v>0</v>
      </c>
      <c r="G808" s="4">
        <v>1</v>
      </c>
      <c r="H808" s="8">
        <v>6.67</v>
      </c>
      <c r="I808" s="4">
        <v>0</v>
      </c>
    </row>
    <row r="809" spans="1:9" x14ac:dyDescent="0.2">
      <c r="A809" s="2">
        <v>10</v>
      </c>
      <c r="B809" s="1" t="s">
        <v>114</v>
      </c>
      <c r="C809" s="4">
        <v>1</v>
      </c>
      <c r="D809" s="8">
        <v>1.89</v>
      </c>
      <c r="E809" s="4">
        <v>1</v>
      </c>
      <c r="F809" s="8">
        <v>3.03</v>
      </c>
      <c r="G809" s="4">
        <v>0</v>
      </c>
      <c r="H809" s="8">
        <v>0</v>
      </c>
      <c r="I809" s="4">
        <v>0</v>
      </c>
    </row>
    <row r="810" spans="1:9" x14ac:dyDescent="0.2">
      <c r="A810" s="2">
        <v>10</v>
      </c>
      <c r="B810" s="1" t="s">
        <v>90</v>
      </c>
      <c r="C810" s="4">
        <v>1</v>
      </c>
      <c r="D810" s="8">
        <v>1.89</v>
      </c>
      <c r="E810" s="4">
        <v>0</v>
      </c>
      <c r="F810" s="8">
        <v>0</v>
      </c>
      <c r="G810" s="4">
        <v>1</v>
      </c>
      <c r="H810" s="8">
        <v>6.67</v>
      </c>
      <c r="I810" s="4">
        <v>0</v>
      </c>
    </row>
    <row r="811" spans="1:9" x14ac:dyDescent="0.2">
      <c r="A811" s="2">
        <v>10</v>
      </c>
      <c r="B811" s="1" t="s">
        <v>73</v>
      </c>
      <c r="C811" s="4">
        <v>1</v>
      </c>
      <c r="D811" s="8">
        <v>1.89</v>
      </c>
      <c r="E811" s="4">
        <v>0</v>
      </c>
      <c r="F811" s="8">
        <v>0</v>
      </c>
      <c r="G811" s="4">
        <v>0</v>
      </c>
      <c r="H811" s="8">
        <v>0</v>
      </c>
      <c r="I811" s="4">
        <v>0</v>
      </c>
    </row>
    <row r="812" spans="1:9" x14ac:dyDescent="0.2">
      <c r="A812" s="2">
        <v>10</v>
      </c>
      <c r="B812" s="1" t="s">
        <v>80</v>
      </c>
      <c r="C812" s="4">
        <v>1</v>
      </c>
      <c r="D812" s="8">
        <v>1.89</v>
      </c>
      <c r="E812" s="4">
        <v>1</v>
      </c>
      <c r="F812" s="8">
        <v>3.03</v>
      </c>
      <c r="G812" s="4">
        <v>0</v>
      </c>
      <c r="H812" s="8">
        <v>0</v>
      </c>
      <c r="I812" s="4">
        <v>0</v>
      </c>
    </row>
    <row r="813" spans="1:9" x14ac:dyDescent="0.2">
      <c r="A813" s="2">
        <v>10</v>
      </c>
      <c r="B813" s="1" t="s">
        <v>81</v>
      </c>
      <c r="C813" s="4">
        <v>1</v>
      </c>
      <c r="D813" s="8">
        <v>1.89</v>
      </c>
      <c r="E813" s="4">
        <v>0</v>
      </c>
      <c r="F813" s="8">
        <v>0</v>
      </c>
      <c r="G813" s="4">
        <v>0</v>
      </c>
      <c r="H813" s="8">
        <v>0</v>
      </c>
      <c r="I813" s="4">
        <v>0</v>
      </c>
    </row>
    <row r="814" spans="1:9" x14ac:dyDescent="0.2">
      <c r="A814" s="2">
        <v>10</v>
      </c>
      <c r="B814" s="1" t="s">
        <v>82</v>
      </c>
      <c r="C814" s="4">
        <v>1</v>
      </c>
      <c r="D814" s="8">
        <v>1.89</v>
      </c>
      <c r="E814" s="4">
        <v>0</v>
      </c>
      <c r="F814" s="8">
        <v>0</v>
      </c>
      <c r="G814" s="4">
        <v>0</v>
      </c>
      <c r="H814" s="8">
        <v>0</v>
      </c>
      <c r="I814" s="4">
        <v>0</v>
      </c>
    </row>
    <row r="815" spans="1:9" x14ac:dyDescent="0.2">
      <c r="A815" s="2">
        <v>10</v>
      </c>
      <c r="B815" s="1" t="s">
        <v>104</v>
      </c>
      <c r="C815" s="4">
        <v>1</v>
      </c>
      <c r="D815" s="8">
        <v>1.89</v>
      </c>
      <c r="E815" s="4">
        <v>0</v>
      </c>
      <c r="F815" s="8">
        <v>0</v>
      </c>
      <c r="G815" s="4">
        <v>1</v>
      </c>
      <c r="H815" s="8">
        <v>6.67</v>
      </c>
      <c r="I815" s="4">
        <v>0</v>
      </c>
    </row>
    <row r="816" spans="1:9" x14ac:dyDescent="0.2">
      <c r="A816" s="2">
        <v>10</v>
      </c>
      <c r="B816" s="1" t="s">
        <v>84</v>
      </c>
      <c r="C816" s="4">
        <v>1</v>
      </c>
      <c r="D816" s="8">
        <v>1.89</v>
      </c>
      <c r="E816" s="4">
        <v>1</v>
      </c>
      <c r="F816" s="8">
        <v>3.03</v>
      </c>
      <c r="G816" s="4">
        <v>0</v>
      </c>
      <c r="H816" s="8">
        <v>0</v>
      </c>
      <c r="I816" s="4">
        <v>0</v>
      </c>
    </row>
    <row r="817" spans="1:9" x14ac:dyDescent="0.2">
      <c r="A817" s="2">
        <v>10</v>
      </c>
      <c r="B817" s="1" t="s">
        <v>102</v>
      </c>
      <c r="C817" s="4">
        <v>1</v>
      </c>
      <c r="D817" s="8">
        <v>1.89</v>
      </c>
      <c r="E817" s="4">
        <v>0</v>
      </c>
      <c r="F817" s="8">
        <v>0</v>
      </c>
      <c r="G817" s="4">
        <v>0</v>
      </c>
      <c r="H817" s="8">
        <v>0</v>
      </c>
      <c r="I817" s="4">
        <v>0</v>
      </c>
    </row>
    <row r="818" spans="1:9" x14ac:dyDescent="0.2">
      <c r="A818" s="1"/>
      <c r="C818" s="4"/>
      <c r="D818" s="8"/>
      <c r="E818" s="4"/>
      <c r="F818" s="8"/>
      <c r="G818" s="4"/>
      <c r="H818" s="8"/>
      <c r="I818" s="4"/>
    </row>
    <row r="819" spans="1:9" x14ac:dyDescent="0.2">
      <c r="A819" s="1" t="s">
        <v>36</v>
      </c>
      <c r="C819" s="4"/>
      <c r="D819" s="8"/>
      <c r="E819" s="4"/>
      <c r="F819" s="8"/>
      <c r="G819" s="4"/>
      <c r="H819" s="8"/>
      <c r="I819" s="4"/>
    </row>
    <row r="820" spans="1:9" x14ac:dyDescent="0.2">
      <c r="A820" s="2">
        <v>1</v>
      </c>
      <c r="B820" s="1" t="s">
        <v>65</v>
      </c>
      <c r="C820" s="4">
        <v>11</v>
      </c>
      <c r="D820" s="8">
        <v>18.03</v>
      </c>
      <c r="E820" s="4">
        <v>1</v>
      </c>
      <c r="F820" s="8">
        <v>2.86</v>
      </c>
      <c r="G820" s="4">
        <v>10</v>
      </c>
      <c r="H820" s="8">
        <v>50</v>
      </c>
      <c r="I820" s="4">
        <v>0</v>
      </c>
    </row>
    <row r="821" spans="1:9" x14ac:dyDescent="0.2">
      <c r="A821" s="2">
        <v>1</v>
      </c>
      <c r="B821" s="1" t="s">
        <v>69</v>
      </c>
      <c r="C821" s="4">
        <v>11</v>
      </c>
      <c r="D821" s="8">
        <v>18.03</v>
      </c>
      <c r="E821" s="4">
        <v>9</v>
      </c>
      <c r="F821" s="8">
        <v>25.71</v>
      </c>
      <c r="G821" s="4">
        <v>1</v>
      </c>
      <c r="H821" s="8">
        <v>5</v>
      </c>
      <c r="I821" s="4">
        <v>1</v>
      </c>
    </row>
    <row r="822" spans="1:9" x14ac:dyDescent="0.2">
      <c r="A822" s="2">
        <v>3</v>
      </c>
      <c r="B822" s="1" t="s">
        <v>77</v>
      </c>
      <c r="C822" s="4">
        <v>8</v>
      </c>
      <c r="D822" s="8">
        <v>13.11</v>
      </c>
      <c r="E822" s="4">
        <v>7</v>
      </c>
      <c r="F822" s="8">
        <v>20</v>
      </c>
      <c r="G822" s="4">
        <v>1</v>
      </c>
      <c r="H822" s="8">
        <v>5</v>
      </c>
      <c r="I822" s="4">
        <v>0</v>
      </c>
    </row>
    <row r="823" spans="1:9" x14ac:dyDescent="0.2">
      <c r="A823" s="2">
        <v>4</v>
      </c>
      <c r="B823" s="1" t="s">
        <v>76</v>
      </c>
      <c r="C823" s="4">
        <v>7</v>
      </c>
      <c r="D823" s="8">
        <v>11.48</v>
      </c>
      <c r="E823" s="4">
        <v>7</v>
      </c>
      <c r="F823" s="8">
        <v>20</v>
      </c>
      <c r="G823" s="4">
        <v>0</v>
      </c>
      <c r="H823" s="8">
        <v>0</v>
      </c>
      <c r="I823" s="4">
        <v>0</v>
      </c>
    </row>
    <row r="824" spans="1:9" x14ac:dyDescent="0.2">
      <c r="A824" s="2">
        <v>5</v>
      </c>
      <c r="B824" s="1" t="s">
        <v>78</v>
      </c>
      <c r="C824" s="4">
        <v>4</v>
      </c>
      <c r="D824" s="8">
        <v>6.56</v>
      </c>
      <c r="E824" s="4">
        <v>4</v>
      </c>
      <c r="F824" s="8">
        <v>11.43</v>
      </c>
      <c r="G824" s="4">
        <v>0</v>
      </c>
      <c r="H824" s="8">
        <v>0</v>
      </c>
      <c r="I824" s="4">
        <v>0</v>
      </c>
    </row>
    <row r="825" spans="1:9" x14ac:dyDescent="0.2">
      <c r="A825" s="2">
        <v>6</v>
      </c>
      <c r="B825" s="1" t="s">
        <v>86</v>
      </c>
      <c r="C825" s="4">
        <v>2</v>
      </c>
      <c r="D825" s="8">
        <v>3.28</v>
      </c>
      <c r="E825" s="4">
        <v>1</v>
      </c>
      <c r="F825" s="8">
        <v>2.86</v>
      </c>
      <c r="G825" s="4">
        <v>1</v>
      </c>
      <c r="H825" s="8">
        <v>5</v>
      </c>
      <c r="I825" s="4">
        <v>0</v>
      </c>
    </row>
    <row r="826" spans="1:9" x14ac:dyDescent="0.2">
      <c r="A826" s="2">
        <v>6</v>
      </c>
      <c r="B826" s="1" t="s">
        <v>70</v>
      </c>
      <c r="C826" s="4">
        <v>2</v>
      </c>
      <c r="D826" s="8">
        <v>3.28</v>
      </c>
      <c r="E826" s="4">
        <v>2</v>
      </c>
      <c r="F826" s="8">
        <v>5.71</v>
      </c>
      <c r="G826" s="4">
        <v>0</v>
      </c>
      <c r="H826" s="8">
        <v>0</v>
      </c>
      <c r="I826" s="4">
        <v>0</v>
      </c>
    </row>
    <row r="827" spans="1:9" x14ac:dyDescent="0.2">
      <c r="A827" s="2">
        <v>6</v>
      </c>
      <c r="B827" s="1" t="s">
        <v>71</v>
      </c>
      <c r="C827" s="4">
        <v>2</v>
      </c>
      <c r="D827" s="8">
        <v>3.28</v>
      </c>
      <c r="E827" s="4">
        <v>1</v>
      </c>
      <c r="F827" s="8">
        <v>2.86</v>
      </c>
      <c r="G827" s="4">
        <v>1</v>
      </c>
      <c r="H827" s="8">
        <v>5</v>
      </c>
      <c r="I827" s="4">
        <v>0</v>
      </c>
    </row>
    <row r="828" spans="1:9" x14ac:dyDescent="0.2">
      <c r="A828" s="2">
        <v>9</v>
      </c>
      <c r="B828" s="1" t="s">
        <v>67</v>
      </c>
      <c r="C828" s="4">
        <v>1</v>
      </c>
      <c r="D828" s="8">
        <v>1.64</v>
      </c>
      <c r="E828" s="4">
        <v>0</v>
      </c>
      <c r="F828" s="8">
        <v>0</v>
      </c>
      <c r="G828" s="4">
        <v>1</v>
      </c>
      <c r="H828" s="8">
        <v>5</v>
      </c>
      <c r="I828" s="4">
        <v>0</v>
      </c>
    </row>
    <row r="829" spans="1:9" x14ac:dyDescent="0.2">
      <c r="A829" s="2">
        <v>9</v>
      </c>
      <c r="B829" s="1" t="s">
        <v>88</v>
      </c>
      <c r="C829" s="4">
        <v>1</v>
      </c>
      <c r="D829" s="8">
        <v>1.64</v>
      </c>
      <c r="E829" s="4">
        <v>0</v>
      </c>
      <c r="F829" s="8">
        <v>0</v>
      </c>
      <c r="G829" s="4">
        <v>1</v>
      </c>
      <c r="H829" s="8">
        <v>5</v>
      </c>
      <c r="I829" s="4">
        <v>0</v>
      </c>
    </row>
    <row r="830" spans="1:9" x14ac:dyDescent="0.2">
      <c r="A830" s="2">
        <v>9</v>
      </c>
      <c r="B830" s="1" t="s">
        <v>97</v>
      </c>
      <c r="C830" s="4">
        <v>1</v>
      </c>
      <c r="D830" s="8">
        <v>1.64</v>
      </c>
      <c r="E830" s="4">
        <v>0</v>
      </c>
      <c r="F830" s="8">
        <v>0</v>
      </c>
      <c r="G830" s="4">
        <v>1</v>
      </c>
      <c r="H830" s="8">
        <v>5</v>
      </c>
      <c r="I830" s="4">
        <v>0</v>
      </c>
    </row>
    <row r="831" spans="1:9" x14ac:dyDescent="0.2">
      <c r="A831" s="2">
        <v>9</v>
      </c>
      <c r="B831" s="1" t="s">
        <v>95</v>
      </c>
      <c r="C831" s="4">
        <v>1</v>
      </c>
      <c r="D831" s="8">
        <v>1.64</v>
      </c>
      <c r="E831" s="4">
        <v>0</v>
      </c>
      <c r="F831" s="8">
        <v>0</v>
      </c>
      <c r="G831" s="4">
        <v>1</v>
      </c>
      <c r="H831" s="8">
        <v>5</v>
      </c>
      <c r="I831" s="4">
        <v>0</v>
      </c>
    </row>
    <row r="832" spans="1:9" x14ac:dyDescent="0.2">
      <c r="A832" s="2">
        <v>9</v>
      </c>
      <c r="B832" s="1" t="s">
        <v>93</v>
      </c>
      <c r="C832" s="4">
        <v>1</v>
      </c>
      <c r="D832" s="8">
        <v>1.64</v>
      </c>
      <c r="E832" s="4">
        <v>0</v>
      </c>
      <c r="F832" s="8">
        <v>0</v>
      </c>
      <c r="G832" s="4">
        <v>1</v>
      </c>
      <c r="H832" s="8">
        <v>5</v>
      </c>
      <c r="I832" s="4">
        <v>0</v>
      </c>
    </row>
    <row r="833" spans="1:9" x14ac:dyDescent="0.2">
      <c r="A833" s="2">
        <v>9</v>
      </c>
      <c r="B833" s="1" t="s">
        <v>89</v>
      </c>
      <c r="C833" s="4">
        <v>1</v>
      </c>
      <c r="D833" s="8">
        <v>1.64</v>
      </c>
      <c r="E833" s="4">
        <v>1</v>
      </c>
      <c r="F833" s="8">
        <v>2.86</v>
      </c>
      <c r="G833" s="4">
        <v>0</v>
      </c>
      <c r="H833" s="8">
        <v>0</v>
      </c>
      <c r="I833" s="4">
        <v>0</v>
      </c>
    </row>
    <row r="834" spans="1:9" x14ac:dyDescent="0.2">
      <c r="A834" s="2">
        <v>9</v>
      </c>
      <c r="B834" s="1" t="s">
        <v>73</v>
      </c>
      <c r="C834" s="4">
        <v>1</v>
      </c>
      <c r="D834" s="8">
        <v>1.64</v>
      </c>
      <c r="E834" s="4">
        <v>0</v>
      </c>
      <c r="F834" s="8">
        <v>0</v>
      </c>
      <c r="G834" s="4">
        <v>0</v>
      </c>
      <c r="H834" s="8">
        <v>0</v>
      </c>
      <c r="I834" s="4">
        <v>0</v>
      </c>
    </row>
    <row r="835" spans="1:9" x14ac:dyDescent="0.2">
      <c r="A835" s="2">
        <v>9</v>
      </c>
      <c r="B835" s="1" t="s">
        <v>94</v>
      </c>
      <c r="C835" s="4">
        <v>1</v>
      </c>
      <c r="D835" s="8">
        <v>1.64</v>
      </c>
      <c r="E835" s="4">
        <v>1</v>
      </c>
      <c r="F835" s="8">
        <v>2.86</v>
      </c>
      <c r="G835" s="4">
        <v>0</v>
      </c>
      <c r="H835" s="8">
        <v>0</v>
      </c>
      <c r="I835" s="4">
        <v>0</v>
      </c>
    </row>
    <row r="836" spans="1:9" x14ac:dyDescent="0.2">
      <c r="A836" s="2">
        <v>9</v>
      </c>
      <c r="B836" s="1" t="s">
        <v>79</v>
      </c>
      <c r="C836" s="4">
        <v>1</v>
      </c>
      <c r="D836" s="8">
        <v>1.64</v>
      </c>
      <c r="E836" s="4">
        <v>0</v>
      </c>
      <c r="F836" s="8">
        <v>0</v>
      </c>
      <c r="G836" s="4">
        <v>0</v>
      </c>
      <c r="H836" s="8">
        <v>0</v>
      </c>
      <c r="I836" s="4">
        <v>0</v>
      </c>
    </row>
    <row r="837" spans="1:9" x14ac:dyDescent="0.2">
      <c r="A837" s="2">
        <v>9</v>
      </c>
      <c r="B837" s="1" t="s">
        <v>80</v>
      </c>
      <c r="C837" s="4">
        <v>1</v>
      </c>
      <c r="D837" s="8">
        <v>1.64</v>
      </c>
      <c r="E837" s="4">
        <v>1</v>
      </c>
      <c r="F837" s="8">
        <v>2.86</v>
      </c>
      <c r="G837" s="4">
        <v>0</v>
      </c>
      <c r="H837" s="8">
        <v>0</v>
      </c>
      <c r="I837" s="4">
        <v>0</v>
      </c>
    </row>
    <row r="838" spans="1:9" x14ac:dyDescent="0.2">
      <c r="A838" s="2">
        <v>9</v>
      </c>
      <c r="B838" s="1" t="s">
        <v>81</v>
      </c>
      <c r="C838" s="4">
        <v>1</v>
      </c>
      <c r="D838" s="8">
        <v>1.64</v>
      </c>
      <c r="E838" s="4">
        <v>0</v>
      </c>
      <c r="F838" s="8">
        <v>0</v>
      </c>
      <c r="G838" s="4">
        <v>0</v>
      </c>
      <c r="H838" s="8">
        <v>0</v>
      </c>
      <c r="I838" s="4">
        <v>0</v>
      </c>
    </row>
    <row r="839" spans="1:9" x14ac:dyDescent="0.2">
      <c r="A839" s="2">
        <v>9</v>
      </c>
      <c r="B839" s="1" t="s">
        <v>82</v>
      </c>
      <c r="C839" s="4">
        <v>1</v>
      </c>
      <c r="D839" s="8">
        <v>1.64</v>
      </c>
      <c r="E839" s="4">
        <v>0</v>
      </c>
      <c r="F839" s="8">
        <v>0</v>
      </c>
      <c r="G839" s="4">
        <v>0</v>
      </c>
      <c r="H839" s="8">
        <v>0</v>
      </c>
      <c r="I839" s="4">
        <v>0</v>
      </c>
    </row>
    <row r="840" spans="1:9" x14ac:dyDescent="0.2">
      <c r="A840" s="2">
        <v>9</v>
      </c>
      <c r="B840" s="1" t="s">
        <v>104</v>
      </c>
      <c r="C840" s="4">
        <v>1</v>
      </c>
      <c r="D840" s="8">
        <v>1.64</v>
      </c>
      <c r="E840" s="4">
        <v>0</v>
      </c>
      <c r="F840" s="8">
        <v>0</v>
      </c>
      <c r="G840" s="4">
        <v>0</v>
      </c>
      <c r="H840" s="8">
        <v>0</v>
      </c>
      <c r="I840" s="4">
        <v>0</v>
      </c>
    </row>
    <row r="841" spans="1:9" x14ac:dyDescent="0.2">
      <c r="A841" s="2">
        <v>9</v>
      </c>
      <c r="B841" s="1" t="s">
        <v>110</v>
      </c>
      <c r="C841" s="4">
        <v>1</v>
      </c>
      <c r="D841" s="8">
        <v>1.64</v>
      </c>
      <c r="E841" s="4">
        <v>0</v>
      </c>
      <c r="F841" s="8">
        <v>0</v>
      </c>
      <c r="G841" s="4">
        <v>1</v>
      </c>
      <c r="H841" s="8">
        <v>5</v>
      </c>
      <c r="I841" s="4">
        <v>0</v>
      </c>
    </row>
    <row r="842" spans="1:9" x14ac:dyDescent="0.2">
      <c r="A842" s="1"/>
      <c r="C842" s="4"/>
      <c r="D842" s="8"/>
      <c r="E842" s="4"/>
      <c r="F842" s="8"/>
      <c r="G842" s="4"/>
      <c r="H842" s="8"/>
      <c r="I842" s="4"/>
    </row>
    <row r="843" spans="1:9" x14ac:dyDescent="0.2">
      <c r="A843" s="1" t="s">
        <v>37</v>
      </c>
      <c r="C843" s="4"/>
      <c r="D843" s="8"/>
      <c r="E843" s="4"/>
      <c r="F843" s="8"/>
      <c r="G843" s="4"/>
      <c r="H843" s="8"/>
      <c r="I843" s="4"/>
    </row>
    <row r="844" spans="1:9" x14ac:dyDescent="0.2">
      <c r="A844" s="2">
        <v>1</v>
      </c>
      <c r="B844" s="1" t="s">
        <v>98</v>
      </c>
      <c r="C844" s="4">
        <v>55</v>
      </c>
      <c r="D844" s="8">
        <v>14.44</v>
      </c>
      <c r="E844" s="4">
        <v>54</v>
      </c>
      <c r="F844" s="8">
        <v>17.36</v>
      </c>
      <c r="G844" s="4">
        <v>1</v>
      </c>
      <c r="H844" s="8">
        <v>1.54</v>
      </c>
      <c r="I844" s="4">
        <v>0</v>
      </c>
    </row>
    <row r="845" spans="1:9" x14ac:dyDescent="0.2">
      <c r="A845" s="2">
        <v>2</v>
      </c>
      <c r="B845" s="1" t="s">
        <v>77</v>
      </c>
      <c r="C845" s="4">
        <v>53</v>
      </c>
      <c r="D845" s="8">
        <v>13.91</v>
      </c>
      <c r="E845" s="4">
        <v>51</v>
      </c>
      <c r="F845" s="8">
        <v>16.399999999999999</v>
      </c>
      <c r="G845" s="4">
        <v>2</v>
      </c>
      <c r="H845" s="8">
        <v>3.08</v>
      </c>
      <c r="I845" s="4">
        <v>0</v>
      </c>
    </row>
    <row r="846" spans="1:9" x14ac:dyDescent="0.2">
      <c r="A846" s="2">
        <v>3</v>
      </c>
      <c r="B846" s="1" t="s">
        <v>69</v>
      </c>
      <c r="C846" s="4">
        <v>34</v>
      </c>
      <c r="D846" s="8">
        <v>8.92</v>
      </c>
      <c r="E846" s="4">
        <v>34</v>
      </c>
      <c r="F846" s="8">
        <v>10.93</v>
      </c>
      <c r="G846" s="4">
        <v>0</v>
      </c>
      <c r="H846" s="8">
        <v>0</v>
      </c>
      <c r="I846" s="4">
        <v>0</v>
      </c>
    </row>
    <row r="847" spans="1:9" x14ac:dyDescent="0.2">
      <c r="A847" s="2">
        <v>3</v>
      </c>
      <c r="B847" s="1" t="s">
        <v>73</v>
      </c>
      <c r="C847" s="4">
        <v>34</v>
      </c>
      <c r="D847" s="8">
        <v>8.92</v>
      </c>
      <c r="E847" s="4">
        <v>30</v>
      </c>
      <c r="F847" s="8">
        <v>9.65</v>
      </c>
      <c r="G847" s="4">
        <v>3</v>
      </c>
      <c r="H847" s="8">
        <v>4.62</v>
      </c>
      <c r="I847" s="4">
        <v>0</v>
      </c>
    </row>
    <row r="848" spans="1:9" x14ac:dyDescent="0.2">
      <c r="A848" s="2">
        <v>5</v>
      </c>
      <c r="B848" s="1" t="s">
        <v>78</v>
      </c>
      <c r="C848" s="4">
        <v>29</v>
      </c>
      <c r="D848" s="8">
        <v>7.61</v>
      </c>
      <c r="E848" s="4">
        <v>29</v>
      </c>
      <c r="F848" s="8">
        <v>9.32</v>
      </c>
      <c r="G848" s="4">
        <v>0</v>
      </c>
      <c r="H848" s="8">
        <v>0</v>
      </c>
      <c r="I848" s="4">
        <v>0</v>
      </c>
    </row>
    <row r="849" spans="1:9" x14ac:dyDescent="0.2">
      <c r="A849" s="2">
        <v>6</v>
      </c>
      <c r="B849" s="1" t="s">
        <v>71</v>
      </c>
      <c r="C849" s="4">
        <v>21</v>
      </c>
      <c r="D849" s="8">
        <v>5.51</v>
      </c>
      <c r="E849" s="4">
        <v>15</v>
      </c>
      <c r="F849" s="8">
        <v>4.82</v>
      </c>
      <c r="G849" s="4">
        <v>6</v>
      </c>
      <c r="H849" s="8">
        <v>9.23</v>
      </c>
      <c r="I849" s="4">
        <v>0</v>
      </c>
    </row>
    <row r="850" spans="1:9" x14ac:dyDescent="0.2">
      <c r="A850" s="2">
        <v>7</v>
      </c>
      <c r="B850" s="1" t="s">
        <v>88</v>
      </c>
      <c r="C850" s="4">
        <v>19</v>
      </c>
      <c r="D850" s="8">
        <v>4.99</v>
      </c>
      <c r="E850" s="4">
        <v>10</v>
      </c>
      <c r="F850" s="8">
        <v>3.22</v>
      </c>
      <c r="G850" s="4">
        <v>9</v>
      </c>
      <c r="H850" s="8">
        <v>13.85</v>
      </c>
      <c r="I850" s="4">
        <v>0</v>
      </c>
    </row>
    <row r="851" spans="1:9" x14ac:dyDescent="0.2">
      <c r="A851" s="2">
        <v>8</v>
      </c>
      <c r="B851" s="1" t="s">
        <v>76</v>
      </c>
      <c r="C851" s="4">
        <v>17</v>
      </c>
      <c r="D851" s="8">
        <v>4.46</v>
      </c>
      <c r="E851" s="4">
        <v>15</v>
      </c>
      <c r="F851" s="8">
        <v>4.82</v>
      </c>
      <c r="G851" s="4">
        <v>1</v>
      </c>
      <c r="H851" s="8">
        <v>1.54</v>
      </c>
      <c r="I851" s="4">
        <v>0</v>
      </c>
    </row>
    <row r="852" spans="1:9" x14ac:dyDescent="0.2">
      <c r="A852" s="2">
        <v>9</v>
      </c>
      <c r="B852" s="1" t="s">
        <v>80</v>
      </c>
      <c r="C852" s="4">
        <v>12</v>
      </c>
      <c r="D852" s="8">
        <v>3.15</v>
      </c>
      <c r="E852" s="4">
        <v>9</v>
      </c>
      <c r="F852" s="8">
        <v>2.89</v>
      </c>
      <c r="G852" s="4">
        <v>2</v>
      </c>
      <c r="H852" s="8">
        <v>3.08</v>
      </c>
      <c r="I852" s="4">
        <v>0</v>
      </c>
    </row>
    <row r="853" spans="1:9" x14ac:dyDescent="0.2">
      <c r="A853" s="2">
        <v>10</v>
      </c>
      <c r="B853" s="1" t="s">
        <v>81</v>
      </c>
      <c r="C853" s="4">
        <v>10</v>
      </c>
      <c r="D853" s="8">
        <v>2.62</v>
      </c>
      <c r="E853" s="4">
        <v>9</v>
      </c>
      <c r="F853" s="8">
        <v>2.89</v>
      </c>
      <c r="G853" s="4">
        <v>1</v>
      </c>
      <c r="H853" s="8">
        <v>1.54</v>
      </c>
      <c r="I853" s="4">
        <v>0</v>
      </c>
    </row>
    <row r="854" spans="1:9" x14ac:dyDescent="0.2">
      <c r="A854" s="2">
        <v>11</v>
      </c>
      <c r="B854" s="1" t="s">
        <v>67</v>
      </c>
      <c r="C854" s="4">
        <v>6</v>
      </c>
      <c r="D854" s="8">
        <v>1.57</v>
      </c>
      <c r="E854" s="4">
        <v>4</v>
      </c>
      <c r="F854" s="8">
        <v>1.29</v>
      </c>
      <c r="G854" s="4">
        <v>2</v>
      </c>
      <c r="H854" s="8">
        <v>3.08</v>
      </c>
      <c r="I854" s="4">
        <v>0</v>
      </c>
    </row>
    <row r="855" spans="1:9" x14ac:dyDescent="0.2">
      <c r="A855" s="2">
        <v>11</v>
      </c>
      <c r="B855" s="1" t="s">
        <v>70</v>
      </c>
      <c r="C855" s="4">
        <v>6</v>
      </c>
      <c r="D855" s="8">
        <v>1.57</v>
      </c>
      <c r="E855" s="4">
        <v>6</v>
      </c>
      <c r="F855" s="8">
        <v>1.93</v>
      </c>
      <c r="G855" s="4">
        <v>0</v>
      </c>
      <c r="H855" s="8">
        <v>0</v>
      </c>
      <c r="I855" s="4">
        <v>0</v>
      </c>
    </row>
    <row r="856" spans="1:9" x14ac:dyDescent="0.2">
      <c r="A856" s="2">
        <v>11</v>
      </c>
      <c r="B856" s="1" t="s">
        <v>94</v>
      </c>
      <c r="C856" s="4">
        <v>6</v>
      </c>
      <c r="D856" s="8">
        <v>1.57</v>
      </c>
      <c r="E856" s="4">
        <v>4</v>
      </c>
      <c r="F856" s="8">
        <v>1.29</v>
      </c>
      <c r="G856" s="4">
        <v>2</v>
      </c>
      <c r="H856" s="8">
        <v>3.08</v>
      </c>
      <c r="I856" s="4">
        <v>0</v>
      </c>
    </row>
    <row r="857" spans="1:9" x14ac:dyDescent="0.2">
      <c r="A857" s="2">
        <v>11</v>
      </c>
      <c r="B857" s="1" t="s">
        <v>82</v>
      </c>
      <c r="C857" s="4">
        <v>6</v>
      </c>
      <c r="D857" s="8">
        <v>1.57</v>
      </c>
      <c r="E857" s="4">
        <v>6</v>
      </c>
      <c r="F857" s="8">
        <v>1.93</v>
      </c>
      <c r="G857" s="4">
        <v>0</v>
      </c>
      <c r="H857" s="8">
        <v>0</v>
      </c>
      <c r="I857" s="4">
        <v>0</v>
      </c>
    </row>
    <row r="858" spans="1:9" x14ac:dyDescent="0.2">
      <c r="A858" s="2">
        <v>11</v>
      </c>
      <c r="B858" s="1" t="s">
        <v>83</v>
      </c>
      <c r="C858" s="4">
        <v>6</v>
      </c>
      <c r="D858" s="8">
        <v>1.57</v>
      </c>
      <c r="E858" s="4">
        <v>0</v>
      </c>
      <c r="F858" s="8">
        <v>0</v>
      </c>
      <c r="G858" s="4">
        <v>6</v>
      </c>
      <c r="H858" s="8">
        <v>9.23</v>
      </c>
      <c r="I858" s="4">
        <v>0</v>
      </c>
    </row>
    <row r="859" spans="1:9" x14ac:dyDescent="0.2">
      <c r="A859" s="2">
        <v>16</v>
      </c>
      <c r="B859" s="1" t="s">
        <v>89</v>
      </c>
      <c r="C859" s="4">
        <v>5</v>
      </c>
      <c r="D859" s="8">
        <v>1.31</v>
      </c>
      <c r="E859" s="4">
        <v>2</v>
      </c>
      <c r="F859" s="8">
        <v>0.64</v>
      </c>
      <c r="G859" s="4">
        <v>3</v>
      </c>
      <c r="H859" s="8">
        <v>4.62</v>
      </c>
      <c r="I859" s="4">
        <v>0</v>
      </c>
    </row>
    <row r="860" spans="1:9" x14ac:dyDescent="0.2">
      <c r="A860" s="2">
        <v>16</v>
      </c>
      <c r="B860" s="1" t="s">
        <v>75</v>
      </c>
      <c r="C860" s="4">
        <v>5</v>
      </c>
      <c r="D860" s="8">
        <v>1.31</v>
      </c>
      <c r="E860" s="4">
        <v>2</v>
      </c>
      <c r="F860" s="8">
        <v>0.64</v>
      </c>
      <c r="G860" s="4">
        <v>2</v>
      </c>
      <c r="H860" s="8">
        <v>3.08</v>
      </c>
      <c r="I860" s="4">
        <v>0</v>
      </c>
    </row>
    <row r="861" spans="1:9" x14ac:dyDescent="0.2">
      <c r="A861" s="2">
        <v>18</v>
      </c>
      <c r="B861" s="1" t="s">
        <v>65</v>
      </c>
      <c r="C861" s="4">
        <v>4</v>
      </c>
      <c r="D861" s="8">
        <v>1.05</v>
      </c>
      <c r="E861" s="4">
        <v>1</v>
      </c>
      <c r="F861" s="8">
        <v>0.32</v>
      </c>
      <c r="G861" s="4">
        <v>3</v>
      </c>
      <c r="H861" s="8">
        <v>4.62</v>
      </c>
      <c r="I861" s="4">
        <v>0</v>
      </c>
    </row>
    <row r="862" spans="1:9" x14ac:dyDescent="0.2">
      <c r="A862" s="2">
        <v>18</v>
      </c>
      <c r="B862" s="1" t="s">
        <v>85</v>
      </c>
      <c r="C862" s="4">
        <v>4</v>
      </c>
      <c r="D862" s="8">
        <v>1.05</v>
      </c>
      <c r="E862" s="4">
        <v>1</v>
      </c>
      <c r="F862" s="8">
        <v>0.32</v>
      </c>
      <c r="G862" s="4">
        <v>3</v>
      </c>
      <c r="H862" s="8">
        <v>4.62</v>
      </c>
      <c r="I862" s="4">
        <v>0</v>
      </c>
    </row>
    <row r="863" spans="1:9" x14ac:dyDescent="0.2">
      <c r="A863" s="2">
        <v>18</v>
      </c>
      <c r="B863" s="1" t="s">
        <v>68</v>
      </c>
      <c r="C863" s="4">
        <v>4</v>
      </c>
      <c r="D863" s="8">
        <v>1.05</v>
      </c>
      <c r="E863" s="4">
        <v>4</v>
      </c>
      <c r="F863" s="8">
        <v>1.29</v>
      </c>
      <c r="G863" s="4">
        <v>0</v>
      </c>
      <c r="H863" s="8">
        <v>0</v>
      </c>
      <c r="I863" s="4">
        <v>0</v>
      </c>
    </row>
    <row r="864" spans="1:9" x14ac:dyDescent="0.2">
      <c r="A864" s="2">
        <v>18</v>
      </c>
      <c r="B864" s="1" t="s">
        <v>104</v>
      </c>
      <c r="C864" s="4">
        <v>4</v>
      </c>
      <c r="D864" s="8">
        <v>1.05</v>
      </c>
      <c r="E864" s="4">
        <v>3</v>
      </c>
      <c r="F864" s="8">
        <v>0.96</v>
      </c>
      <c r="G864" s="4">
        <v>1</v>
      </c>
      <c r="H864" s="8">
        <v>1.54</v>
      </c>
      <c r="I864" s="4">
        <v>0</v>
      </c>
    </row>
    <row r="865" spans="1:9" x14ac:dyDescent="0.2">
      <c r="A865" s="1"/>
      <c r="C865" s="4"/>
      <c r="D865" s="8"/>
      <c r="E865" s="4"/>
      <c r="F865" s="8"/>
      <c r="G865" s="4"/>
      <c r="H865" s="8"/>
      <c r="I865" s="4"/>
    </row>
    <row r="866" spans="1:9" x14ac:dyDescent="0.2">
      <c r="A866" s="1" t="s">
        <v>38</v>
      </c>
      <c r="C866" s="4"/>
      <c r="D866" s="8"/>
      <c r="E866" s="4"/>
      <c r="F866" s="8"/>
      <c r="G866" s="4"/>
      <c r="H866" s="8"/>
      <c r="I866" s="4"/>
    </row>
    <row r="867" spans="1:9" x14ac:dyDescent="0.2">
      <c r="A867" s="2">
        <v>1</v>
      </c>
      <c r="B867" s="1" t="s">
        <v>78</v>
      </c>
      <c r="C867" s="4">
        <v>61</v>
      </c>
      <c r="D867" s="8">
        <v>11.66</v>
      </c>
      <c r="E867" s="4">
        <v>54</v>
      </c>
      <c r="F867" s="8">
        <v>15.93</v>
      </c>
      <c r="G867" s="4">
        <v>7</v>
      </c>
      <c r="H867" s="8">
        <v>3.91</v>
      </c>
      <c r="I867" s="4">
        <v>0</v>
      </c>
    </row>
    <row r="868" spans="1:9" x14ac:dyDescent="0.2">
      <c r="A868" s="2">
        <v>2</v>
      </c>
      <c r="B868" s="1" t="s">
        <v>71</v>
      </c>
      <c r="C868" s="4">
        <v>42</v>
      </c>
      <c r="D868" s="8">
        <v>8.0299999999999994</v>
      </c>
      <c r="E868" s="4">
        <v>32</v>
      </c>
      <c r="F868" s="8">
        <v>9.44</v>
      </c>
      <c r="G868" s="4">
        <v>10</v>
      </c>
      <c r="H868" s="8">
        <v>5.59</v>
      </c>
      <c r="I868" s="4">
        <v>0</v>
      </c>
    </row>
    <row r="869" spans="1:9" x14ac:dyDescent="0.2">
      <c r="A869" s="2">
        <v>3</v>
      </c>
      <c r="B869" s="1" t="s">
        <v>65</v>
      </c>
      <c r="C869" s="4">
        <v>41</v>
      </c>
      <c r="D869" s="8">
        <v>7.84</v>
      </c>
      <c r="E869" s="4">
        <v>8</v>
      </c>
      <c r="F869" s="8">
        <v>2.36</v>
      </c>
      <c r="G869" s="4">
        <v>33</v>
      </c>
      <c r="H869" s="8">
        <v>18.440000000000001</v>
      </c>
      <c r="I869" s="4">
        <v>0</v>
      </c>
    </row>
    <row r="870" spans="1:9" x14ac:dyDescent="0.2">
      <c r="A870" s="2">
        <v>4</v>
      </c>
      <c r="B870" s="1" t="s">
        <v>69</v>
      </c>
      <c r="C870" s="4">
        <v>40</v>
      </c>
      <c r="D870" s="8">
        <v>7.65</v>
      </c>
      <c r="E870" s="4">
        <v>36</v>
      </c>
      <c r="F870" s="8">
        <v>10.62</v>
      </c>
      <c r="G870" s="4">
        <v>4</v>
      </c>
      <c r="H870" s="8">
        <v>2.23</v>
      </c>
      <c r="I870" s="4">
        <v>0</v>
      </c>
    </row>
    <row r="871" spans="1:9" x14ac:dyDescent="0.2">
      <c r="A871" s="2">
        <v>4</v>
      </c>
      <c r="B871" s="1" t="s">
        <v>73</v>
      </c>
      <c r="C871" s="4">
        <v>40</v>
      </c>
      <c r="D871" s="8">
        <v>7.65</v>
      </c>
      <c r="E871" s="4">
        <v>23</v>
      </c>
      <c r="F871" s="8">
        <v>6.78</v>
      </c>
      <c r="G871" s="4">
        <v>17</v>
      </c>
      <c r="H871" s="8">
        <v>9.5</v>
      </c>
      <c r="I871" s="4">
        <v>0</v>
      </c>
    </row>
    <row r="872" spans="1:9" x14ac:dyDescent="0.2">
      <c r="A872" s="2">
        <v>4</v>
      </c>
      <c r="B872" s="1" t="s">
        <v>77</v>
      </c>
      <c r="C872" s="4">
        <v>40</v>
      </c>
      <c r="D872" s="8">
        <v>7.65</v>
      </c>
      <c r="E872" s="4">
        <v>39</v>
      </c>
      <c r="F872" s="8">
        <v>11.5</v>
      </c>
      <c r="G872" s="4">
        <v>1</v>
      </c>
      <c r="H872" s="8">
        <v>0.56000000000000005</v>
      </c>
      <c r="I872" s="4">
        <v>0</v>
      </c>
    </row>
    <row r="873" spans="1:9" x14ac:dyDescent="0.2">
      <c r="A873" s="2">
        <v>7</v>
      </c>
      <c r="B873" s="1" t="s">
        <v>66</v>
      </c>
      <c r="C873" s="4">
        <v>28</v>
      </c>
      <c r="D873" s="8">
        <v>5.35</v>
      </c>
      <c r="E873" s="4">
        <v>17</v>
      </c>
      <c r="F873" s="8">
        <v>5.01</v>
      </c>
      <c r="G873" s="4">
        <v>11</v>
      </c>
      <c r="H873" s="8">
        <v>6.15</v>
      </c>
      <c r="I873" s="4">
        <v>0</v>
      </c>
    </row>
    <row r="874" spans="1:9" x14ac:dyDescent="0.2">
      <c r="A874" s="2">
        <v>8</v>
      </c>
      <c r="B874" s="1" t="s">
        <v>81</v>
      </c>
      <c r="C874" s="4">
        <v>26</v>
      </c>
      <c r="D874" s="8">
        <v>4.97</v>
      </c>
      <c r="E874" s="4">
        <v>23</v>
      </c>
      <c r="F874" s="8">
        <v>6.78</v>
      </c>
      <c r="G874" s="4">
        <v>3</v>
      </c>
      <c r="H874" s="8">
        <v>1.68</v>
      </c>
      <c r="I874" s="4">
        <v>0</v>
      </c>
    </row>
    <row r="875" spans="1:9" x14ac:dyDescent="0.2">
      <c r="A875" s="2">
        <v>9</v>
      </c>
      <c r="B875" s="1" t="s">
        <v>67</v>
      </c>
      <c r="C875" s="4">
        <v>15</v>
      </c>
      <c r="D875" s="8">
        <v>2.87</v>
      </c>
      <c r="E875" s="4">
        <v>5</v>
      </c>
      <c r="F875" s="8">
        <v>1.47</v>
      </c>
      <c r="G875" s="4">
        <v>10</v>
      </c>
      <c r="H875" s="8">
        <v>5.59</v>
      </c>
      <c r="I875" s="4">
        <v>0</v>
      </c>
    </row>
    <row r="876" spans="1:9" x14ac:dyDescent="0.2">
      <c r="A876" s="2">
        <v>9</v>
      </c>
      <c r="B876" s="1" t="s">
        <v>70</v>
      </c>
      <c r="C876" s="4">
        <v>15</v>
      </c>
      <c r="D876" s="8">
        <v>2.87</v>
      </c>
      <c r="E876" s="4">
        <v>14</v>
      </c>
      <c r="F876" s="8">
        <v>4.13</v>
      </c>
      <c r="G876" s="4">
        <v>1</v>
      </c>
      <c r="H876" s="8">
        <v>0.56000000000000005</v>
      </c>
      <c r="I876" s="4">
        <v>0</v>
      </c>
    </row>
    <row r="877" spans="1:9" x14ac:dyDescent="0.2">
      <c r="A877" s="2">
        <v>11</v>
      </c>
      <c r="B877" s="1" t="s">
        <v>75</v>
      </c>
      <c r="C877" s="4">
        <v>14</v>
      </c>
      <c r="D877" s="8">
        <v>2.68</v>
      </c>
      <c r="E877" s="4">
        <v>8</v>
      </c>
      <c r="F877" s="8">
        <v>2.36</v>
      </c>
      <c r="G877" s="4">
        <v>6</v>
      </c>
      <c r="H877" s="8">
        <v>3.35</v>
      </c>
      <c r="I877" s="4">
        <v>0</v>
      </c>
    </row>
    <row r="878" spans="1:9" x14ac:dyDescent="0.2">
      <c r="A878" s="2">
        <v>11</v>
      </c>
      <c r="B878" s="1" t="s">
        <v>83</v>
      </c>
      <c r="C878" s="4">
        <v>14</v>
      </c>
      <c r="D878" s="8">
        <v>2.68</v>
      </c>
      <c r="E878" s="4">
        <v>3</v>
      </c>
      <c r="F878" s="8">
        <v>0.88</v>
      </c>
      <c r="G878" s="4">
        <v>9</v>
      </c>
      <c r="H878" s="8">
        <v>5.03</v>
      </c>
      <c r="I878" s="4">
        <v>0</v>
      </c>
    </row>
    <row r="879" spans="1:9" x14ac:dyDescent="0.2">
      <c r="A879" s="2">
        <v>13</v>
      </c>
      <c r="B879" s="1" t="s">
        <v>84</v>
      </c>
      <c r="C879" s="4">
        <v>12</v>
      </c>
      <c r="D879" s="8">
        <v>2.29</v>
      </c>
      <c r="E879" s="4">
        <v>11</v>
      </c>
      <c r="F879" s="8">
        <v>3.24</v>
      </c>
      <c r="G879" s="4">
        <v>1</v>
      </c>
      <c r="H879" s="8">
        <v>0.56000000000000005</v>
      </c>
      <c r="I879" s="4">
        <v>0</v>
      </c>
    </row>
    <row r="880" spans="1:9" x14ac:dyDescent="0.2">
      <c r="A880" s="2">
        <v>14</v>
      </c>
      <c r="B880" s="1" t="s">
        <v>82</v>
      </c>
      <c r="C880" s="4">
        <v>11</v>
      </c>
      <c r="D880" s="8">
        <v>2.1</v>
      </c>
      <c r="E880" s="4">
        <v>8</v>
      </c>
      <c r="F880" s="8">
        <v>2.36</v>
      </c>
      <c r="G880" s="4">
        <v>3</v>
      </c>
      <c r="H880" s="8">
        <v>1.68</v>
      </c>
      <c r="I880" s="4">
        <v>0</v>
      </c>
    </row>
    <row r="881" spans="1:9" x14ac:dyDescent="0.2">
      <c r="A881" s="2">
        <v>15</v>
      </c>
      <c r="B881" s="1" t="s">
        <v>74</v>
      </c>
      <c r="C881" s="4">
        <v>8</v>
      </c>
      <c r="D881" s="8">
        <v>1.53</v>
      </c>
      <c r="E881" s="4">
        <v>5</v>
      </c>
      <c r="F881" s="8">
        <v>1.47</v>
      </c>
      <c r="G881" s="4">
        <v>3</v>
      </c>
      <c r="H881" s="8">
        <v>1.68</v>
      </c>
      <c r="I881" s="4">
        <v>0</v>
      </c>
    </row>
    <row r="882" spans="1:9" x14ac:dyDescent="0.2">
      <c r="A882" s="2">
        <v>16</v>
      </c>
      <c r="B882" s="1" t="s">
        <v>88</v>
      </c>
      <c r="C882" s="4">
        <v>7</v>
      </c>
      <c r="D882" s="8">
        <v>1.34</v>
      </c>
      <c r="E882" s="4">
        <v>3</v>
      </c>
      <c r="F882" s="8">
        <v>0.88</v>
      </c>
      <c r="G882" s="4">
        <v>4</v>
      </c>
      <c r="H882" s="8">
        <v>2.23</v>
      </c>
      <c r="I882" s="4">
        <v>0</v>
      </c>
    </row>
    <row r="883" spans="1:9" x14ac:dyDescent="0.2">
      <c r="A883" s="2">
        <v>16</v>
      </c>
      <c r="B883" s="1" t="s">
        <v>89</v>
      </c>
      <c r="C883" s="4">
        <v>7</v>
      </c>
      <c r="D883" s="8">
        <v>1.34</v>
      </c>
      <c r="E883" s="4">
        <v>2</v>
      </c>
      <c r="F883" s="8">
        <v>0.59</v>
      </c>
      <c r="G883" s="4">
        <v>5</v>
      </c>
      <c r="H883" s="8">
        <v>2.79</v>
      </c>
      <c r="I883" s="4">
        <v>0</v>
      </c>
    </row>
    <row r="884" spans="1:9" x14ac:dyDescent="0.2">
      <c r="A884" s="2">
        <v>16</v>
      </c>
      <c r="B884" s="1" t="s">
        <v>90</v>
      </c>
      <c r="C884" s="4">
        <v>7</v>
      </c>
      <c r="D884" s="8">
        <v>1.34</v>
      </c>
      <c r="E884" s="4">
        <v>0</v>
      </c>
      <c r="F884" s="8">
        <v>0</v>
      </c>
      <c r="G884" s="4">
        <v>7</v>
      </c>
      <c r="H884" s="8">
        <v>3.91</v>
      </c>
      <c r="I884" s="4">
        <v>0</v>
      </c>
    </row>
    <row r="885" spans="1:9" x14ac:dyDescent="0.2">
      <c r="A885" s="2">
        <v>16</v>
      </c>
      <c r="B885" s="1" t="s">
        <v>79</v>
      </c>
      <c r="C885" s="4">
        <v>7</v>
      </c>
      <c r="D885" s="8">
        <v>1.34</v>
      </c>
      <c r="E885" s="4">
        <v>4</v>
      </c>
      <c r="F885" s="8">
        <v>1.18</v>
      </c>
      <c r="G885" s="4">
        <v>3</v>
      </c>
      <c r="H885" s="8">
        <v>1.68</v>
      </c>
      <c r="I885" s="4">
        <v>0</v>
      </c>
    </row>
    <row r="886" spans="1:9" x14ac:dyDescent="0.2">
      <c r="A886" s="2">
        <v>20</v>
      </c>
      <c r="B886" s="1" t="s">
        <v>117</v>
      </c>
      <c r="C886" s="4">
        <v>6</v>
      </c>
      <c r="D886" s="8">
        <v>1.1499999999999999</v>
      </c>
      <c r="E886" s="4">
        <v>4</v>
      </c>
      <c r="F886" s="8">
        <v>1.18</v>
      </c>
      <c r="G886" s="4">
        <v>1</v>
      </c>
      <c r="H886" s="8">
        <v>0.56000000000000005</v>
      </c>
      <c r="I886" s="4">
        <v>1</v>
      </c>
    </row>
    <row r="887" spans="1:9" x14ac:dyDescent="0.2">
      <c r="A887" s="2">
        <v>20</v>
      </c>
      <c r="B887" s="1" t="s">
        <v>93</v>
      </c>
      <c r="C887" s="4">
        <v>6</v>
      </c>
      <c r="D887" s="8">
        <v>1.1499999999999999</v>
      </c>
      <c r="E887" s="4">
        <v>6</v>
      </c>
      <c r="F887" s="8">
        <v>1.77</v>
      </c>
      <c r="G887" s="4">
        <v>0</v>
      </c>
      <c r="H887" s="8">
        <v>0</v>
      </c>
      <c r="I887" s="4">
        <v>0</v>
      </c>
    </row>
    <row r="888" spans="1:9" x14ac:dyDescent="0.2">
      <c r="A888" s="2">
        <v>20</v>
      </c>
      <c r="B888" s="1" t="s">
        <v>85</v>
      </c>
      <c r="C888" s="4">
        <v>6</v>
      </c>
      <c r="D888" s="8">
        <v>1.1499999999999999</v>
      </c>
      <c r="E888" s="4">
        <v>1</v>
      </c>
      <c r="F888" s="8">
        <v>0.28999999999999998</v>
      </c>
      <c r="G888" s="4">
        <v>5</v>
      </c>
      <c r="H888" s="8">
        <v>2.79</v>
      </c>
      <c r="I888" s="4">
        <v>0</v>
      </c>
    </row>
    <row r="889" spans="1:9" x14ac:dyDescent="0.2">
      <c r="A889" s="2">
        <v>20</v>
      </c>
      <c r="B889" s="1" t="s">
        <v>87</v>
      </c>
      <c r="C889" s="4">
        <v>6</v>
      </c>
      <c r="D889" s="8">
        <v>1.1499999999999999</v>
      </c>
      <c r="E889" s="4">
        <v>2</v>
      </c>
      <c r="F889" s="8">
        <v>0.59</v>
      </c>
      <c r="G889" s="4">
        <v>4</v>
      </c>
      <c r="H889" s="8">
        <v>2.23</v>
      </c>
      <c r="I889" s="4">
        <v>0</v>
      </c>
    </row>
    <row r="890" spans="1:9" x14ac:dyDescent="0.2">
      <c r="A890" s="1"/>
      <c r="C890" s="4"/>
      <c r="D890" s="8"/>
      <c r="E890" s="4"/>
      <c r="F890" s="8"/>
      <c r="G890" s="4"/>
      <c r="H890" s="8"/>
      <c r="I890" s="4"/>
    </row>
    <row r="891" spans="1:9" x14ac:dyDescent="0.2">
      <c r="A891" s="1" t="s">
        <v>39</v>
      </c>
      <c r="C891" s="4"/>
      <c r="D891" s="8"/>
      <c r="E891" s="4"/>
      <c r="F891" s="8"/>
      <c r="G891" s="4"/>
      <c r="H891" s="8"/>
      <c r="I891" s="4"/>
    </row>
    <row r="892" spans="1:9" x14ac:dyDescent="0.2">
      <c r="A892" s="2">
        <v>1</v>
      </c>
      <c r="B892" s="1" t="s">
        <v>69</v>
      </c>
      <c r="C892" s="4">
        <v>9</v>
      </c>
      <c r="D892" s="8">
        <v>16.670000000000002</v>
      </c>
      <c r="E892" s="4">
        <v>7</v>
      </c>
      <c r="F892" s="8">
        <v>21.88</v>
      </c>
      <c r="G892" s="4">
        <v>2</v>
      </c>
      <c r="H892" s="8">
        <v>11.76</v>
      </c>
      <c r="I892" s="4">
        <v>0</v>
      </c>
    </row>
    <row r="893" spans="1:9" x14ac:dyDescent="0.2">
      <c r="A893" s="2">
        <v>2</v>
      </c>
      <c r="B893" s="1" t="s">
        <v>76</v>
      </c>
      <c r="C893" s="4">
        <v>5</v>
      </c>
      <c r="D893" s="8">
        <v>9.26</v>
      </c>
      <c r="E893" s="4">
        <v>4</v>
      </c>
      <c r="F893" s="8">
        <v>12.5</v>
      </c>
      <c r="G893" s="4">
        <v>1</v>
      </c>
      <c r="H893" s="8">
        <v>5.88</v>
      </c>
      <c r="I893" s="4">
        <v>0</v>
      </c>
    </row>
    <row r="894" spans="1:9" x14ac:dyDescent="0.2">
      <c r="A894" s="2">
        <v>2</v>
      </c>
      <c r="B894" s="1" t="s">
        <v>77</v>
      </c>
      <c r="C894" s="4">
        <v>5</v>
      </c>
      <c r="D894" s="8">
        <v>9.26</v>
      </c>
      <c r="E894" s="4">
        <v>5</v>
      </c>
      <c r="F894" s="8">
        <v>15.63</v>
      </c>
      <c r="G894" s="4">
        <v>0</v>
      </c>
      <c r="H894" s="8">
        <v>0</v>
      </c>
      <c r="I894" s="4">
        <v>0</v>
      </c>
    </row>
    <row r="895" spans="1:9" x14ac:dyDescent="0.2">
      <c r="A895" s="2">
        <v>4</v>
      </c>
      <c r="B895" s="1" t="s">
        <v>65</v>
      </c>
      <c r="C895" s="4">
        <v>4</v>
      </c>
      <c r="D895" s="8">
        <v>7.41</v>
      </c>
      <c r="E895" s="4">
        <v>0</v>
      </c>
      <c r="F895" s="8">
        <v>0</v>
      </c>
      <c r="G895" s="4">
        <v>4</v>
      </c>
      <c r="H895" s="8">
        <v>23.53</v>
      </c>
      <c r="I895" s="4">
        <v>0</v>
      </c>
    </row>
    <row r="896" spans="1:9" x14ac:dyDescent="0.2">
      <c r="A896" s="2">
        <v>4</v>
      </c>
      <c r="B896" s="1" t="s">
        <v>78</v>
      </c>
      <c r="C896" s="4">
        <v>4</v>
      </c>
      <c r="D896" s="8">
        <v>7.41</v>
      </c>
      <c r="E896" s="4">
        <v>4</v>
      </c>
      <c r="F896" s="8">
        <v>12.5</v>
      </c>
      <c r="G896" s="4">
        <v>0</v>
      </c>
      <c r="H896" s="8">
        <v>0</v>
      </c>
      <c r="I896" s="4">
        <v>0</v>
      </c>
    </row>
    <row r="897" spans="1:9" x14ac:dyDescent="0.2">
      <c r="A897" s="2">
        <v>6</v>
      </c>
      <c r="B897" s="1" t="s">
        <v>88</v>
      </c>
      <c r="C897" s="4">
        <v>3</v>
      </c>
      <c r="D897" s="8">
        <v>5.56</v>
      </c>
      <c r="E897" s="4">
        <v>1</v>
      </c>
      <c r="F897" s="8">
        <v>3.13</v>
      </c>
      <c r="G897" s="4">
        <v>2</v>
      </c>
      <c r="H897" s="8">
        <v>11.76</v>
      </c>
      <c r="I897" s="4">
        <v>0</v>
      </c>
    </row>
    <row r="898" spans="1:9" x14ac:dyDescent="0.2">
      <c r="A898" s="2">
        <v>6</v>
      </c>
      <c r="B898" s="1" t="s">
        <v>81</v>
      </c>
      <c r="C898" s="4">
        <v>3</v>
      </c>
      <c r="D898" s="8">
        <v>5.56</v>
      </c>
      <c r="E898" s="4">
        <v>0</v>
      </c>
      <c r="F898" s="8">
        <v>0</v>
      </c>
      <c r="G898" s="4">
        <v>0</v>
      </c>
      <c r="H898" s="8">
        <v>0</v>
      </c>
      <c r="I898" s="4">
        <v>0</v>
      </c>
    </row>
    <row r="899" spans="1:9" x14ac:dyDescent="0.2">
      <c r="A899" s="2">
        <v>8</v>
      </c>
      <c r="B899" s="1" t="s">
        <v>67</v>
      </c>
      <c r="C899" s="4">
        <v>2</v>
      </c>
      <c r="D899" s="8">
        <v>3.7</v>
      </c>
      <c r="E899" s="4">
        <v>1</v>
      </c>
      <c r="F899" s="8">
        <v>3.13</v>
      </c>
      <c r="G899" s="4">
        <v>1</v>
      </c>
      <c r="H899" s="8">
        <v>5.88</v>
      </c>
      <c r="I899" s="4">
        <v>0</v>
      </c>
    </row>
    <row r="900" spans="1:9" x14ac:dyDescent="0.2">
      <c r="A900" s="2">
        <v>8</v>
      </c>
      <c r="B900" s="1" t="s">
        <v>70</v>
      </c>
      <c r="C900" s="4">
        <v>2</v>
      </c>
      <c r="D900" s="8">
        <v>3.7</v>
      </c>
      <c r="E900" s="4">
        <v>2</v>
      </c>
      <c r="F900" s="8">
        <v>6.25</v>
      </c>
      <c r="G900" s="4">
        <v>0</v>
      </c>
      <c r="H900" s="8">
        <v>0</v>
      </c>
      <c r="I900" s="4">
        <v>0</v>
      </c>
    </row>
    <row r="901" spans="1:9" x14ac:dyDescent="0.2">
      <c r="A901" s="2">
        <v>8</v>
      </c>
      <c r="B901" s="1" t="s">
        <v>71</v>
      </c>
      <c r="C901" s="4">
        <v>2</v>
      </c>
      <c r="D901" s="8">
        <v>3.7</v>
      </c>
      <c r="E901" s="4">
        <v>1</v>
      </c>
      <c r="F901" s="8">
        <v>3.13</v>
      </c>
      <c r="G901" s="4">
        <v>1</v>
      </c>
      <c r="H901" s="8">
        <v>5.88</v>
      </c>
      <c r="I901" s="4">
        <v>0</v>
      </c>
    </row>
    <row r="902" spans="1:9" x14ac:dyDescent="0.2">
      <c r="A902" s="2">
        <v>8</v>
      </c>
      <c r="B902" s="1" t="s">
        <v>84</v>
      </c>
      <c r="C902" s="4">
        <v>2</v>
      </c>
      <c r="D902" s="8">
        <v>3.7</v>
      </c>
      <c r="E902" s="4">
        <v>2</v>
      </c>
      <c r="F902" s="8">
        <v>6.25</v>
      </c>
      <c r="G902" s="4">
        <v>0</v>
      </c>
      <c r="H902" s="8">
        <v>0</v>
      </c>
      <c r="I902" s="4">
        <v>0</v>
      </c>
    </row>
    <row r="903" spans="1:9" x14ac:dyDescent="0.2">
      <c r="A903" s="2">
        <v>12</v>
      </c>
      <c r="B903" s="1" t="s">
        <v>66</v>
      </c>
      <c r="C903" s="4">
        <v>1</v>
      </c>
      <c r="D903" s="8">
        <v>1.85</v>
      </c>
      <c r="E903" s="4">
        <v>0</v>
      </c>
      <c r="F903" s="8">
        <v>0</v>
      </c>
      <c r="G903" s="4">
        <v>1</v>
      </c>
      <c r="H903" s="8">
        <v>5.88</v>
      </c>
      <c r="I903" s="4">
        <v>0</v>
      </c>
    </row>
    <row r="904" spans="1:9" x14ac:dyDescent="0.2">
      <c r="A904" s="2">
        <v>12</v>
      </c>
      <c r="B904" s="1" t="s">
        <v>118</v>
      </c>
      <c r="C904" s="4">
        <v>1</v>
      </c>
      <c r="D904" s="8">
        <v>1.85</v>
      </c>
      <c r="E904" s="4">
        <v>0</v>
      </c>
      <c r="F904" s="8">
        <v>0</v>
      </c>
      <c r="G904" s="4">
        <v>1</v>
      </c>
      <c r="H904" s="8">
        <v>5.88</v>
      </c>
      <c r="I904" s="4">
        <v>0</v>
      </c>
    </row>
    <row r="905" spans="1:9" x14ac:dyDescent="0.2">
      <c r="A905" s="2">
        <v>12</v>
      </c>
      <c r="B905" s="1" t="s">
        <v>95</v>
      </c>
      <c r="C905" s="4">
        <v>1</v>
      </c>
      <c r="D905" s="8">
        <v>1.85</v>
      </c>
      <c r="E905" s="4">
        <v>0</v>
      </c>
      <c r="F905" s="8">
        <v>0</v>
      </c>
      <c r="G905" s="4">
        <v>1</v>
      </c>
      <c r="H905" s="8">
        <v>5.88</v>
      </c>
      <c r="I905" s="4">
        <v>0</v>
      </c>
    </row>
    <row r="906" spans="1:9" x14ac:dyDescent="0.2">
      <c r="A906" s="2">
        <v>12</v>
      </c>
      <c r="B906" s="1" t="s">
        <v>113</v>
      </c>
      <c r="C906" s="4">
        <v>1</v>
      </c>
      <c r="D906" s="8">
        <v>1.85</v>
      </c>
      <c r="E906" s="4">
        <v>0</v>
      </c>
      <c r="F906" s="8">
        <v>0</v>
      </c>
      <c r="G906" s="4">
        <v>1</v>
      </c>
      <c r="H906" s="8">
        <v>5.88</v>
      </c>
      <c r="I906" s="4">
        <v>0</v>
      </c>
    </row>
    <row r="907" spans="1:9" x14ac:dyDescent="0.2">
      <c r="A907" s="2">
        <v>12</v>
      </c>
      <c r="B907" s="1" t="s">
        <v>101</v>
      </c>
      <c r="C907" s="4">
        <v>1</v>
      </c>
      <c r="D907" s="8">
        <v>1.85</v>
      </c>
      <c r="E907" s="4">
        <v>0</v>
      </c>
      <c r="F907" s="8">
        <v>0</v>
      </c>
      <c r="G907" s="4">
        <v>0</v>
      </c>
      <c r="H907" s="8">
        <v>0</v>
      </c>
      <c r="I907" s="4">
        <v>0</v>
      </c>
    </row>
    <row r="908" spans="1:9" x14ac:dyDescent="0.2">
      <c r="A908" s="2">
        <v>12</v>
      </c>
      <c r="B908" s="1" t="s">
        <v>93</v>
      </c>
      <c r="C908" s="4">
        <v>1</v>
      </c>
      <c r="D908" s="8">
        <v>1.85</v>
      </c>
      <c r="E908" s="4">
        <v>1</v>
      </c>
      <c r="F908" s="8">
        <v>3.13</v>
      </c>
      <c r="G908" s="4">
        <v>0</v>
      </c>
      <c r="H908" s="8">
        <v>0</v>
      </c>
      <c r="I908" s="4">
        <v>0</v>
      </c>
    </row>
    <row r="909" spans="1:9" x14ac:dyDescent="0.2">
      <c r="A909" s="2">
        <v>12</v>
      </c>
      <c r="B909" s="1" t="s">
        <v>86</v>
      </c>
      <c r="C909" s="4">
        <v>1</v>
      </c>
      <c r="D909" s="8">
        <v>1.85</v>
      </c>
      <c r="E909" s="4">
        <v>0</v>
      </c>
      <c r="F909" s="8">
        <v>0</v>
      </c>
      <c r="G909" s="4">
        <v>1</v>
      </c>
      <c r="H909" s="8">
        <v>5.88</v>
      </c>
      <c r="I909" s="4">
        <v>0</v>
      </c>
    </row>
    <row r="910" spans="1:9" x14ac:dyDescent="0.2">
      <c r="A910" s="2">
        <v>12</v>
      </c>
      <c r="B910" s="1" t="s">
        <v>94</v>
      </c>
      <c r="C910" s="4">
        <v>1</v>
      </c>
      <c r="D910" s="8">
        <v>1.85</v>
      </c>
      <c r="E910" s="4">
        <v>1</v>
      </c>
      <c r="F910" s="8">
        <v>3.13</v>
      </c>
      <c r="G910" s="4">
        <v>0</v>
      </c>
      <c r="H910" s="8">
        <v>0</v>
      </c>
      <c r="I910" s="4">
        <v>0</v>
      </c>
    </row>
    <row r="911" spans="1:9" x14ac:dyDescent="0.2">
      <c r="A911" s="2">
        <v>12</v>
      </c>
      <c r="B911" s="1" t="s">
        <v>75</v>
      </c>
      <c r="C911" s="4">
        <v>1</v>
      </c>
      <c r="D911" s="8">
        <v>1.85</v>
      </c>
      <c r="E911" s="4">
        <v>0</v>
      </c>
      <c r="F911" s="8">
        <v>0</v>
      </c>
      <c r="G911" s="4">
        <v>1</v>
      </c>
      <c r="H911" s="8">
        <v>5.88</v>
      </c>
      <c r="I911" s="4">
        <v>0</v>
      </c>
    </row>
    <row r="912" spans="1:9" x14ac:dyDescent="0.2">
      <c r="A912" s="2">
        <v>12</v>
      </c>
      <c r="B912" s="1" t="s">
        <v>91</v>
      </c>
      <c r="C912" s="4">
        <v>1</v>
      </c>
      <c r="D912" s="8">
        <v>1.85</v>
      </c>
      <c r="E912" s="4">
        <v>1</v>
      </c>
      <c r="F912" s="8">
        <v>3.13</v>
      </c>
      <c r="G912" s="4">
        <v>0</v>
      </c>
      <c r="H912" s="8">
        <v>0</v>
      </c>
      <c r="I912" s="4">
        <v>0</v>
      </c>
    </row>
    <row r="913" spans="1:9" x14ac:dyDescent="0.2">
      <c r="A913" s="2">
        <v>12</v>
      </c>
      <c r="B913" s="1" t="s">
        <v>80</v>
      </c>
      <c r="C913" s="4">
        <v>1</v>
      </c>
      <c r="D913" s="8">
        <v>1.85</v>
      </c>
      <c r="E913" s="4">
        <v>1</v>
      </c>
      <c r="F913" s="8">
        <v>3.13</v>
      </c>
      <c r="G913" s="4">
        <v>0</v>
      </c>
      <c r="H913" s="8">
        <v>0</v>
      </c>
      <c r="I913" s="4">
        <v>0</v>
      </c>
    </row>
    <row r="914" spans="1:9" x14ac:dyDescent="0.2">
      <c r="A914" s="2">
        <v>12</v>
      </c>
      <c r="B914" s="1" t="s">
        <v>82</v>
      </c>
      <c r="C914" s="4">
        <v>1</v>
      </c>
      <c r="D914" s="8">
        <v>1.85</v>
      </c>
      <c r="E914" s="4">
        <v>1</v>
      </c>
      <c r="F914" s="8">
        <v>3.13</v>
      </c>
      <c r="G914" s="4">
        <v>0</v>
      </c>
      <c r="H914" s="8">
        <v>0</v>
      </c>
      <c r="I914" s="4">
        <v>0</v>
      </c>
    </row>
    <row r="915" spans="1:9" x14ac:dyDescent="0.2">
      <c r="A915" s="2">
        <v>12</v>
      </c>
      <c r="B915" s="1" t="s">
        <v>83</v>
      </c>
      <c r="C915" s="4">
        <v>1</v>
      </c>
      <c r="D915" s="8">
        <v>1.85</v>
      </c>
      <c r="E915" s="4">
        <v>0</v>
      </c>
      <c r="F915" s="8">
        <v>0</v>
      </c>
      <c r="G915" s="4">
        <v>0</v>
      </c>
      <c r="H915" s="8">
        <v>0</v>
      </c>
      <c r="I915" s="4">
        <v>0</v>
      </c>
    </row>
    <row r="916" spans="1:9" x14ac:dyDescent="0.2">
      <c r="A916" s="1"/>
      <c r="C916" s="4"/>
      <c r="D916" s="8"/>
      <c r="E916" s="4"/>
      <c r="F916" s="8"/>
      <c r="G916" s="4"/>
      <c r="H916" s="8"/>
      <c r="I916" s="4"/>
    </row>
    <row r="917" spans="1:9" x14ac:dyDescent="0.2">
      <c r="A917" s="1" t="s">
        <v>40</v>
      </c>
      <c r="C917" s="4"/>
      <c r="D917" s="8"/>
      <c r="E917" s="4"/>
      <c r="F917" s="8"/>
      <c r="G917" s="4"/>
      <c r="H917" s="8"/>
      <c r="I917" s="4"/>
    </row>
    <row r="918" spans="1:9" x14ac:dyDescent="0.2">
      <c r="A918" s="2">
        <v>1</v>
      </c>
      <c r="B918" s="1" t="s">
        <v>76</v>
      </c>
      <c r="C918" s="4">
        <v>82</v>
      </c>
      <c r="D918" s="8">
        <v>23.98</v>
      </c>
      <c r="E918" s="4">
        <v>77</v>
      </c>
      <c r="F918" s="8">
        <v>29.06</v>
      </c>
      <c r="G918" s="4">
        <v>4</v>
      </c>
      <c r="H918" s="8">
        <v>5.63</v>
      </c>
      <c r="I918" s="4">
        <v>0</v>
      </c>
    </row>
    <row r="919" spans="1:9" x14ac:dyDescent="0.2">
      <c r="A919" s="2">
        <v>2</v>
      </c>
      <c r="B919" s="1" t="s">
        <v>77</v>
      </c>
      <c r="C919" s="4">
        <v>57</v>
      </c>
      <c r="D919" s="8">
        <v>16.670000000000002</v>
      </c>
      <c r="E919" s="4">
        <v>55</v>
      </c>
      <c r="F919" s="8">
        <v>20.75</v>
      </c>
      <c r="G919" s="4">
        <v>2</v>
      </c>
      <c r="H919" s="8">
        <v>2.82</v>
      </c>
      <c r="I919" s="4">
        <v>0</v>
      </c>
    </row>
    <row r="920" spans="1:9" x14ac:dyDescent="0.2">
      <c r="A920" s="2">
        <v>3</v>
      </c>
      <c r="B920" s="1" t="s">
        <v>80</v>
      </c>
      <c r="C920" s="4">
        <v>50</v>
      </c>
      <c r="D920" s="8">
        <v>14.62</v>
      </c>
      <c r="E920" s="4">
        <v>41</v>
      </c>
      <c r="F920" s="8">
        <v>15.47</v>
      </c>
      <c r="G920" s="4">
        <v>9</v>
      </c>
      <c r="H920" s="8">
        <v>12.68</v>
      </c>
      <c r="I920" s="4">
        <v>0</v>
      </c>
    </row>
    <row r="921" spans="1:9" x14ac:dyDescent="0.2">
      <c r="A921" s="2">
        <v>4</v>
      </c>
      <c r="B921" s="1" t="s">
        <v>71</v>
      </c>
      <c r="C921" s="4">
        <v>24</v>
      </c>
      <c r="D921" s="8">
        <v>7.02</v>
      </c>
      <c r="E921" s="4">
        <v>15</v>
      </c>
      <c r="F921" s="8">
        <v>5.66</v>
      </c>
      <c r="G921" s="4">
        <v>9</v>
      </c>
      <c r="H921" s="8">
        <v>12.68</v>
      </c>
      <c r="I921" s="4">
        <v>0</v>
      </c>
    </row>
    <row r="922" spans="1:9" x14ac:dyDescent="0.2">
      <c r="A922" s="2">
        <v>5</v>
      </c>
      <c r="B922" s="1" t="s">
        <v>69</v>
      </c>
      <c r="C922" s="4">
        <v>16</v>
      </c>
      <c r="D922" s="8">
        <v>4.68</v>
      </c>
      <c r="E922" s="4">
        <v>13</v>
      </c>
      <c r="F922" s="8">
        <v>4.91</v>
      </c>
      <c r="G922" s="4">
        <v>2</v>
      </c>
      <c r="H922" s="8">
        <v>2.82</v>
      </c>
      <c r="I922" s="4">
        <v>1</v>
      </c>
    </row>
    <row r="923" spans="1:9" x14ac:dyDescent="0.2">
      <c r="A923" s="2">
        <v>5</v>
      </c>
      <c r="B923" s="1" t="s">
        <v>94</v>
      </c>
      <c r="C923" s="4">
        <v>16</v>
      </c>
      <c r="D923" s="8">
        <v>4.68</v>
      </c>
      <c r="E923" s="4">
        <v>9</v>
      </c>
      <c r="F923" s="8">
        <v>3.4</v>
      </c>
      <c r="G923" s="4">
        <v>7</v>
      </c>
      <c r="H923" s="8">
        <v>9.86</v>
      </c>
      <c r="I923" s="4">
        <v>0</v>
      </c>
    </row>
    <row r="924" spans="1:9" x14ac:dyDescent="0.2">
      <c r="A924" s="2">
        <v>7</v>
      </c>
      <c r="B924" s="1" t="s">
        <v>79</v>
      </c>
      <c r="C924" s="4">
        <v>14</v>
      </c>
      <c r="D924" s="8">
        <v>4.09</v>
      </c>
      <c r="E924" s="4">
        <v>12</v>
      </c>
      <c r="F924" s="8">
        <v>4.53</v>
      </c>
      <c r="G924" s="4">
        <v>2</v>
      </c>
      <c r="H924" s="8">
        <v>2.82</v>
      </c>
      <c r="I924" s="4">
        <v>0</v>
      </c>
    </row>
    <row r="925" spans="1:9" x14ac:dyDescent="0.2">
      <c r="A925" s="2">
        <v>8</v>
      </c>
      <c r="B925" s="1" t="s">
        <v>93</v>
      </c>
      <c r="C925" s="4">
        <v>9</v>
      </c>
      <c r="D925" s="8">
        <v>2.63</v>
      </c>
      <c r="E925" s="4">
        <v>8</v>
      </c>
      <c r="F925" s="8">
        <v>3.02</v>
      </c>
      <c r="G925" s="4">
        <v>1</v>
      </c>
      <c r="H925" s="8">
        <v>1.41</v>
      </c>
      <c r="I925" s="4">
        <v>0</v>
      </c>
    </row>
    <row r="926" spans="1:9" x14ac:dyDescent="0.2">
      <c r="A926" s="2">
        <v>9</v>
      </c>
      <c r="B926" s="1" t="s">
        <v>88</v>
      </c>
      <c r="C926" s="4">
        <v>7</v>
      </c>
      <c r="D926" s="8">
        <v>2.0499999999999998</v>
      </c>
      <c r="E926" s="4">
        <v>6</v>
      </c>
      <c r="F926" s="8">
        <v>2.2599999999999998</v>
      </c>
      <c r="G926" s="4">
        <v>1</v>
      </c>
      <c r="H926" s="8">
        <v>1.41</v>
      </c>
      <c r="I926" s="4">
        <v>0</v>
      </c>
    </row>
    <row r="927" spans="1:9" x14ac:dyDescent="0.2">
      <c r="A927" s="2">
        <v>10</v>
      </c>
      <c r="B927" s="1" t="s">
        <v>95</v>
      </c>
      <c r="C927" s="4">
        <v>6</v>
      </c>
      <c r="D927" s="8">
        <v>1.75</v>
      </c>
      <c r="E927" s="4">
        <v>2</v>
      </c>
      <c r="F927" s="8">
        <v>0.75</v>
      </c>
      <c r="G927" s="4">
        <v>4</v>
      </c>
      <c r="H927" s="8">
        <v>5.63</v>
      </c>
      <c r="I927" s="4">
        <v>0</v>
      </c>
    </row>
    <row r="928" spans="1:9" x14ac:dyDescent="0.2">
      <c r="A928" s="2">
        <v>10</v>
      </c>
      <c r="B928" s="1" t="s">
        <v>68</v>
      </c>
      <c r="C928" s="4">
        <v>6</v>
      </c>
      <c r="D928" s="8">
        <v>1.75</v>
      </c>
      <c r="E928" s="4">
        <v>6</v>
      </c>
      <c r="F928" s="8">
        <v>2.2599999999999998</v>
      </c>
      <c r="G928" s="4">
        <v>0</v>
      </c>
      <c r="H928" s="8">
        <v>0</v>
      </c>
      <c r="I928" s="4">
        <v>0</v>
      </c>
    </row>
    <row r="929" spans="1:9" x14ac:dyDescent="0.2">
      <c r="A929" s="2">
        <v>12</v>
      </c>
      <c r="B929" s="1" t="s">
        <v>65</v>
      </c>
      <c r="C929" s="4">
        <v>5</v>
      </c>
      <c r="D929" s="8">
        <v>1.46</v>
      </c>
      <c r="E929" s="4">
        <v>1</v>
      </c>
      <c r="F929" s="8">
        <v>0.38</v>
      </c>
      <c r="G929" s="4">
        <v>4</v>
      </c>
      <c r="H929" s="8">
        <v>5.63</v>
      </c>
      <c r="I929" s="4">
        <v>0</v>
      </c>
    </row>
    <row r="930" spans="1:9" x14ac:dyDescent="0.2">
      <c r="A930" s="2">
        <v>12</v>
      </c>
      <c r="B930" s="1" t="s">
        <v>115</v>
      </c>
      <c r="C930" s="4">
        <v>5</v>
      </c>
      <c r="D930" s="8">
        <v>1.46</v>
      </c>
      <c r="E930" s="4">
        <v>0</v>
      </c>
      <c r="F930" s="8">
        <v>0</v>
      </c>
      <c r="G930" s="4">
        <v>5</v>
      </c>
      <c r="H930" s="8">
        <v>7.04</v>
      </c>
      <c r="I930" s="4">
        <v>0</v>
      </c>
    </row>
    <row r="931" spans="1:9" x14ac:dyDescent="0.2">
      <c r="A931" s="2">
        <v>12</v>
      </c>
      <c r="B931" s="1" t="s">
        <v>103</v>
      </c>
      <c r="C931" s="4">
        <v>5</v>
      </c>
      <c r="D931" s="8">
        <v>1.46</v>
      </c>
      <c r="E931" s="4">
        <v>3</v>
      </c>
      <c r="F931" s="8">
        <v>1.1299999999999999</v>
      </c>
      <c r="G931" s="4">
        <v>1</v>
      </c>
      <c r="H931" s="8">
        <v>1.41</v>
      </c>
      <c r="I931" s="4">
        <v>0</v>
      </c>
    </row>
    <row r="932" spans="1:9" x14ac:dyDescent="0.2">
      <c r="A932" s="2">
        <v>15</v>
      </c>
      <c r="B932" s="1" t="s">
        <v>78</v>
      </c>
      <c r="C932" s="4">
        <v>4</v>
      </c>
      <c r="D932" s="8">
        <v>1.17</v>
      </c>
      <c r="E932" s="4">
        <v>3</v>
      </c>
      <c r="F932" s="8">
        <v>1.1299999999999999</v>
      </c>
      <c r="G932" s="4">
        <v>1</v>
      </c>
      <c r="H932" s="8">
        <v>1.41</v>
      </c>
      <c r="I932" s="4">
        <v>0</v>
      </c>
    </row>
    <row r="933" spans="1:9" x14ac:dyDescent="0.2">
      <c r="A933" s="2">
        <v>16</v>
      </c>
      <c r="B933" s="1" t="s">
        <v>67</v>
      </c>
      <c r="C933" s="4">
        <v>3</v>
      </c>
      <c r="D933" s="8">
        <v>0.88</v>
      </c>
      <c r="E933" s="4">
        <v>0</v>
      </c>
      <c r="F933" s="8">
        <v>0</v>
      </c>
      <c r="G933" s="4">
        <v>3</v>
      </c>
      <c r="H933" s="8">
        <v>4.2300000000000004</v>
      </c>
      <c r="I933" s="4">
        <v>0</v>
      </c>
    </row>
    <row r="934" spans="1:9" x14ac:dyDescent="0.2">
      <c r="A934" s="2">
        <v>16</v>
      </c>
      <c r="B934" s="1" t="s">
        <v>98</v>
      </c>
      <c r="C934" s="4">
        <v>3</v>
      </c>
      <c r="D934" s="8">
        <v>0.88</v>
      </c>
      <c r="E934" s="4">
        <v>0</v>
      </c>
      <c r="F934" s="8">
        <v>0</v>
      </c>
      <c r="G934" s="4">
        <v>3</v>
      </c>
      <c r="H934" s="8">
        <v>4.2300000000000004</v>
      </c>
      <c r="I934" s="4">
        <v>0</v>
      </c>
    </row>
    <row r="935" spans="1:9" x14ac:dyDescent="0.2">
      <c r="A935" s="2">
        <v>16</v>
      </c>
      <c r="B935" s="1" t="s">
        <v>118</v>
      </c>
      <c r="C935" s="4">
        <v>3</v>
      </c>
      <c r="D935" s="8">
        <v>0.88</v>
      </c>
      <c r="E935" s="4">
        <v>0</v>
      </c>
      <c r="F935" s="8">
        <v>0</v>
      </c>
      <c r="G935" s="4">
        <v>3</v>
      </c>
      <c r="H935" s="8">
        <v>4.2300000000000004</v>
      </c>
      <c r="I935" s="4">
        <v>0</v>
      </c>
    </row>
    <row r="936" spans="1:9" x14ac:dyDescent="0.2">
      <c r="A936" s="2">
        <v>16</v>
      </c>
      <c r="B936" s="1" t="s">
        <v>73</v>
      </c>
      <c r="C936" s="4">
        <v>3</v>
      </c>
      <c r="D936" s="8">
        <v>0.88</v>
      </c>
      <c r="E936" s="4">
        <v>3</v>
      </c>
      <c r="F936" s="8">
        <v>1.1299999999999999</v>
      </c>
      <c r="G936" s="4">
        <v>0</v>
      </c>
      <c r="H936" s="8">
        <v>0</v>
      </c>
      <c r="I936" s="4">
        <v>0</v>
      </c>
    </row>
    <row r="937" spans="1:9" x14ac:dyDescent="0.2">
      <c r="A937" s="2">
        <v>16</v>
      </c>
      <c r="B937" s="1" t="s">
        <v>116</v>
      </c>
      <c r="C937" s="4">
        <v>3</v>
      </c>
      <c r="D937" s="8">
        <v>0.88</v>
      </c>
      <c r="E937" s="4">
        <v>0</v>
      </c>
      <c r="F937" s="8">
        <v>0</v>
      </c>
      <c r="G937" s="4">
        <v>3</v>
      </c>
      <c r="H937" s="8">
        <v>4.2300000000000004</v>
      </c>
      <c r="I937" s="4">
        <v>0</v>
      </c>
    </row>
    <row r="938" spans="1:9" x14ac:dyDescent="0.2">
      <c r="A938" s="2">
        <v>16</v>
      </c>
      <c r="B938" s="1" t="s">
        <v>75</v>
      </c>
      <c r="C938" s="4">
        <v>3</v>
      </c>
      <c r="D938" s="8">
        <v>0.88</v>
      </c>
      <c r="E938" s="4">
        <v>1</v>
      </c>
      <c r="F938" s="8">
        <v>0.38</v>
      </c>
      <c r="G938" s="4">
        <v>2</v>
      </c>
      <c r="H938" s="8">
        <v>2.82</v>
      </c>
      <c r="I938" s="4">
        <v>0</v>
      </c>
    </row>
    <row r="939" spans="1:9" x14ac:dyDescent="0.2">
      <c r="A939" s="2">
        <v>16</v>
      </c>
      <c r="B939" s="1" t="s">
        <v>81</v>
      </c>
      <c r="C939" s="4">
        <v>3</v>
      </c>
      <c r="D939" s="8">
        <v>0.88</v>
      </c>
      <c r="E939" s="4">
        <v>2</v>
      </c>
      <c r="F939" s="8">
        <v>0.75</v>
      </c>
      <c r="G939" s="4">
        <v>0</v>
      </c>
      <c r="H939" s="8">
        <v>0</v>
      </c>
      <c r="I939" s="4">
        <v>1</v>
      </c>
    </row>
    <row r="940" spans="1:9" x14ac:dyDescent="0.2">
      <c r="A940" s="1"/>
      <c r="C940" s="4"/>
      <c r="D940" s="8"/>
      <c r="E940" s="4"/>
      <c r="F940" s="8"/>
      <c r="G940" s="4"/>
      <c r="H940" s="8"/>
      <c r="I940" s="4"/>
    </row>
    <row r="941" spans="1:9" x14ac:dyDescent="0.2">
      <c r="A941" s="1" t="s">
        <v>41</v>
      </c>
      <c r="C941" s="4"/>
      <c r="D941" s="8"/>
      <c r="E941" s="4"/>
      <c r="F941" s="8"/>
      <c r="G941" s="4"/>
      <c r="H941" s="8"/>
      <c r="I941" s="4"/>
    </row>
    <row r="942" spans="1:9" x14ac:dyDescent="0.2">
      <c r="A942" s="2">
        <v>1</v>
      </c>
      <c r="B942" s="1" t="s">
        <v>98</v>
      </c>
      <c r="C942" s="4">
        <v>23</v>
      </c>
      <c r="D942" s="8">
        <v>16.55</v>
      </c>
      <c r="E942" s="4">
        <v>23</v>
      </c>
      <c r="F942" s="8">
        <v>21.9</v>
      </c>
      <c r="G942" s="4">
        <v>0</v>
      </c>
      <c r="H942" s="8">
        <v>0</v>
      </c>
      <c r="I942" s="4">
        <v>0</v>
      </c>
    </row>
    <row r="943" spans="1:9" x14ac:dyDescent="0.2">
      <c r="A943" s="2">
        <v>2</v>
      </c>
      <c r="B943" s="1" t="s">
        <v>77</v>
      </c>
      <c r="C943" s="4">
        <v>20</v>
      </c>
      <c r="D943" s="8">
        <v>14.39</v>
      </c>
      <c r="E943" s="4">
        <v>17</v>
      </c>
      <c r="F943" s="8">
        <v>16.190000000000001</v>
      </c>
      <c r="G943" s="4">
        <v>3</v>
      </c>
      <c r="H943" s="8">
        <v>10.71</v>
      </c>
      <c r="I943" s="4">
        <v>0</v>
      </c>
    </row>
    <row r="944" spans="1:9" x14ac:dyDescent="0.2">
      <c r="A944" s="2">
        <v>3</v>
      </c>
      <c r="B944" s="1" t="s">
        <v>88</v>
      </c>
      <c r="C944" s="4">
        <v>16</v>
      </c>
      <c r="D944" s="8">
        <v>11.51</v>
      </c>
      <c r="E944" s="4">
        <v>14</v>
      </c>
      <c r="F944" s="8">
        <v>13.33</v>
      </c>
      <c r="G944" s="4">
        <v>2</v>
      </c>
      <c r="H944" s="8">
        <v>7.14</v>
      </c>
      <c r="I944" s="4">
        <v>0</v>
      </c>
    </row>
    <row r="945" spans="1:9" x14ac:dyDescent="0.2">
      <c r="A945" s="2">
        <v>4</v>
      </c>
      <c r="B945" s="1" t="s">
        <v>76</v>
      </c>
      <c r="C945" s="4">
        <v>15</v>
      </c>
      <c r="D945" s="8">
        <v>10.79</v>
      </c>
      <c r="E945" s="4">
        <v>12</v>
      </c>
      <c r="F945" s="8">
        <v>11.43</v>
      </c>
      <c r="G945" s="4">
        <v>3</v>
      </c>
      <c r="H945" s="8">
        <v>10.71</v>
      </c>
      <c r="I945" s="4">
        <v>0</v>
      </c>
    </row>
    <row r="946" spans="1:9" x14ac:dyDescent="0.2">
      <c r="A946" s="2">
        <v>5</v>
      </c>
      <c r="B946" s="1" t="s">
        <v>69</v>
      </c>
      <c r="C946" s="4">
        <v>10</v>
      </c>
      <c r="D946" s="8">
        <v>7.19</v>
      </c>
      <c r="E946" s="4">
        <v>9</v>
      </c>
      <c r="F946" s="8">
        <v>8.57</v>
      </c>
      <c r="G946" s="4">
        <v>1</v>
      </c>
      <c r="H946" s="8">
        <v>3.57</v>
      </c>
      <c r="I946" s="4">
        <v>0</v>
      </c>
    </row>
    <row r="947" spans="1:9" x14ac:dyDescent="0.2">
      <c r="A947" s="2">
        <v>6</v>
      </c>
      <c r="B947" s="1" t="s">
        <v>81</v>
      </c>
      <c r="C947" s="4">
        <v>5</v>
      </c>
      <c r="D947" s="8">
        <v>3.6</v>
      </c>
      <c r="E947" s="4">
        <v>3</v>
      </c>
      <c r="F947" s="8">
        <v>2.86</v>
      </c>
      <c r="G947" s="4">
        <v>1</v>
      </c>
      <c r="H947" s="8">
        <v>3.57</v>
      </c>
      <c r="I947" s="4">
        <v>0</v>
      </c>
    </row>
    <row r="948" spans="1:9" x14ac:dyDescent="0.2">
      <c r="A948" s="2">
        <v>7</v>
      </c>
      <c r="B948" s="1" t="s">
        <v>65</v>
      </c>
      <c r="C948" s="4">
        <v>4</v>
      </c>
      <c r="D948" s="8">
        <v>2.88</v>
      </c>
      <c r="E948" s="4">
        <v>1</v>
      </c>
      <c r="F948" s="8">
        <v>0.95</v>
      </c>
      <c r="G948" s="4">
        <v>3</v>
      </c>
      <c r="H948" s="8">
        <v>10.71</v>
      </c>
      <c r="I948" s="4">
        <v>0</v>
      </c>
    </row>
    <row r="949" spans="1:9" x14ac:dyDescent="0.2">
      <c r="A949" s="2">
        <v>7</v>
      </c>
      <c r="B949" s="1" t="s">
        <v>71</v>
      </c>
      <c r="C949" s="4">
        <v>4</v>
      </c>
      <c r="D949" s="8">
        <v>2.88</v>
      </c>
      <c r="E949" s="4">
        <v>2</v>
      </c>
      <c r="F949" s="8">
        <v>1.9</v>
      </c>
      <c r="G949" s="4">
        <v>2</v>
      </c>
      <c r="H949" s="8">
        <v>7.14</v>
      </c>
      <c r="I949" s="4">
        <v>0</v>
      </c>
    </row>
    <row r="950" spans="1:9" x14ac:dyDescent="0.2">
      <c r="A950" s="2">
        <v>7</v>
      </c>
      <c r="B950" s="1" t="s">
        <v>80</v>
      </c>
      <c r="C950" s="4">
        <v>4</v>
      </c>
      <c r="D950" s="8">
        <v>2.88</v>
      </c>
      <c r="E950" s="4">
        <v>1</v>
      </c>
      <c r="F950" s="8">
        <v>0.95</v>
      </c>
      <c r="G950" s="4">
        <v>1</v>
      </c>
      <c r="H950" s="8">
        <v>3.57</v>
      </c>
      <c r="I950" s="4">
        <v>2</v>
      </c>
    </row>
    <row r="951" spans="1:9" x14ac:dyDescent="0.2">
      <c r="A951" s="2">
        <v>10</v>
      </c>
      <c r="B951" s="1" t="s">
        <v>97</v>
      </c>
      <c r="C951" s="4">
        <v>3</v>
      </c>
      <c r="D951" s="8">
        <v>2.16</v>
      </c>
      <c r="E951" s="4">
        <v>0</v>
      </c>
      <c r="F951" s="8">
        <v>0</v>
      </c>
      <c r="G951" s="4">
        <v>3</v>
      </c>
      <c r="H951" s="8">
        <v>10.71</v>
      </c>
      <c r="I951" s="4">
        <v>0</v>
      </c>
    </row>
    <row r="952" spans="1:9" x14ac:dyDescent="0.2">
      <c r="A952" s="2">
        <v>10</v>
      </c>
      <c r="B952" s="1" t="s">
        <v>95</v>
      </c>
      <c r="C952" s="4">
        <v>3</v>
      </c>
      <c r="D952" s="8">
        <v>2.16</v>
      </c>
      <c r="E952" s="4">
        <v>1</v>
      </c>
      <c r="F952" s="8">
        <v>0.95</v>
      </c>
      <c r="G952" s="4">
        <v>2</v>
      </c>
      <c r="H952" s="8">
        <v>7.14</v>
      </c>
      <c r="I952" s="4">
        <v>0</v>
      </c>
    </row>
    <row r="953" spans="1:9" x14ac:dyDescent="0.2">
      <c r="A953" s="2">
        <v>10</v>
      </c>
      <c r="B953" s="1" t="s">
        <v>73</v>
      </c>
      <c r="C953" s="4">
        <v>3</v>
      </c>
      <c r="D953" s="8">
        <v>2.16</v>
      </c>
      <c r="E953" s="4">
        <v>3</v>
      </c>
      <c r="F953" s="8">
        <v>2.86</v>
      </c>
      <c r="G953" s="4">
        <v>0</v>
      </c>
      <c r="H953" s="8">
        <v>0</v>
      </c>
      <c r="I953" s="4">
        <v>0</v>
      </c>
    </row>
    <row r="954" spans="1:9" x14ac:dyDescent="0.2">
      <c r="A954" s="2">
        <v>10</v>
      </c>
      <c r="B954" s="1" t="s">
        <v>78</v>
      </c>
      <c r="C954" s="4">
        <v>3</v>
      </c>
      <c r="D954" s="8">
        <v>2.16</v>
      </c>
      <c r="E954" s="4">
        <v>3</v>
      </c>
      <c r="F954" s="8">
        <v>2.86</v>
      </c>
      <c r="G954" s="4">
        <v>0</v>
      </c>
      <c r="H954" s="8">
        <v>0</v>
      </c>
      <c r="I954" s="4">
        <v>0</v>
      </c>
    </row>
    <row r="955" spans="1:9" x14ac:dyDescent="0.2">
      <c r="A955" s="2">
        <v>14</v>
      </c>
      <c r="B955" s="1" t="s">
        <v>100</v>
      </c>
      <c r="C955" s="4">
        <v>2</v>
      </c>
      <c r="D955" s="8">
        <v>1.44</v>
      </c>
      <c r="E955" s="4">
        <v>1</v>
      </c>
      <c r="F955" s="8">
        <v>0.95</v>
      </c>
      <c r="G955" s="4">
        <v>1</v>
      </c>
      <c r="H955" s="8">
        <v>3.57</v>
      </c>
      <c r="I955" s="4">
        <v>0</v>
      </c>
    </row>
    <row r="956" spans="1:9" x14ac:dyDescent="0.2">
      <c r="A956" s="2">
        <v>14</v>
      </c>
      <c r="B956" s="1" t="s">
        <v>118</v>
      </c>
      <c r="C956" s="4">
        <v>2</v>
      </c>
      <c r="D956" s="8">
        <v>1.44</v>
      </c>
      <c r="E956" s="4">
        <v>0</v>
      </c>
      <c r="F956" s="8">
        <v>0</v>
      </c>
      <c r="G956" s="4">
        <v>2</v>
      </c>
      <c r="H956" s="8">
        <v>7.14</v>
      </c>
      <c r="I956" s="4">
        <v>0</v>
      </c>
    </row>
    <row r="957" spans="1:9" x14ac:dyDescent="0.2">
      <c r="A957" s="2">
        <v>14</v>
      </c>
      <c r="B957" s="1" t="s">
        <v>105</v>
      </c>
      <c r="C957" s="4">
        <v>2</v>
      </c>
      <c r="D957" s="8">
        <v>1.44</v>
      </c>
      <c r="E957" s="4">
        <v>2</v>
      </c>
      <c r="F957" s="8">
        <v>1.9</v>
      </c>
      <c r="G957" s="4">
        <v>0</v>
      </c>
      <c r="H957" s="8">
        <v>0</v>
      </c>
      <c r="I957" s="4">
        <v>0</v>
      </c>
    </row>
    <row r="958" spans="1:9" x14ac:dyDescent="0.2">
      <c r="A958" s="2">
        <v>14</v>
      </c>
      <c r="B958" s="1" t="s">
        <v>68</v>
      </c>
      <c r="C958" s="4">
        <v>2</v>
      </c>
      <c r="D958" s="8">
        <v>1.44</v>
      </c>
      <c r="E958" s="4">
        <v>1</v>
      </c>
      <c r="F958" s="8">
        <v>0.95</v>
      </c>
      <c r="G958" s="4">
        <v>1</v>
      </c>
      <c r="H958" s="8">
        <v>3.57</v>
      </c>
      <c r="I958" s="4">
        <v>0</v>
      </c>
    </row>
    <row r="959" spans="1:9" x14ac:dyDescent="0.2">
      <c r="A959" s="2">
        <v>14</v>
      </c>
      <c r="B959" s="1" t="s">
        <v>82</v>
      </c>
      <c r="C959" s="4">
        <v>2</v>
      </c>
      <c r="D959" s="8">
        <v>1.44</v>
      </c>
      <c r="E959" s="4">
        <v>2</v>
      </c>
      <c r="F959" s="8">
        <v>1.9</v>
      </c>
      <c r="G959" s="4">
        <v>0</v>
      </c>
      <c r="H959" s="8">
        <v>0</v>
      </c>
      <c r="I959" s="4">
        <v>0</v>
      </c>
    </row>
    <row r="960" spans="1:9" x14ac:dyDescent="0.2">
      <c r="A960" s="2">
        <v>14</v>
      </c>
      <c r="B960" s="1" t="s">
        <v>83</v>
      </c>
      <c r="C960" s="4">
        <v>2</v>
      </c>
      <c r="D960" s="8">
        <v>1.44</v>
      </c>
      <c r="E960" s="4">
        <v>0</v>
      </c>
      <c r="F960" s="8">
        <v>0</v>
      </c>
      <c r="G960" s="4">
        <v>1</v>
      </c>
      <c r="H960" s="8">
        <v>3.57</v>
      </c>
      <c r="I960" s="4">
        <v>0</v>
      </c>
    </row>
    <row r="961" spans="1:9" x14ac:dyDescent="0.2">
      <c r="A961" s="2">
        <v>20</v>
      </c>
      <c r="B961" s="1" t="s">
        <v>67</v>
      </c>
      <c r="C961" s="4">
        <v>1</v>
      </c>
      <c r="D961" s="8">
        <v>0.72</v>
      </c>
      <c r="E961" s="4">
        <v>1</v>
      </c>
      <c r="F961" s="8">
        <v>0.95</v>
      </c>
      <c r="G961" s="4">
        <v>0</v>
      </c>
      <c r="H961" s="8">
        <v>0</v>
      </c>
      <c r="I961" s="4">
        <v>0</v>
      </c>
    </row>
    <row r="962" spans="1:9" x14ac:dyDescent="0.2">
      <c r="A962" s="2">
        <v>20</v>
      </c>
      <c r="B962" s="1" t="s">
        <v>99</v>
      </c>
      <c r="C962" s="4">
        <v>1</v>
      </c>
      <c r="D962" s="8">
        <v>0.72</v>
      </c>
      <c r="E962" s="4">
        <v>1</v>
      </c>
      <c r="F962" s="8">
        <v>0.95</v>
      </c>
      <c r="G962" s="4">
        <v>0</v>
      </c>
      <c r="H962" s="8">
        <v>0</v>
      </c>
      <c r="I962" s="4">
        <v>0</v>
      </c>
    </row>
    <row r="963" spans="1:9" x14ac:dyDescent="0.2">
      <c r="A963" s="2">
        <v>20</v>
      </c>
      <c r="B963" s="1" t="s">
        <v>119</v>
      </c>
      <c r="C963" s="4">
        <v>1</v>
      </c>
      <c r="D963" s="8">
        <v>0.72</v>
      </c>
      <c r="E963" s="4">
        <v>1</v>
      </c>
      <c r="F963" s="8">
        <v>0.95</v>
      </c>
      <c r="G963" s="4">
        <v>0</v>
      </c>
      <c r="H963" s="8">
        <v>0</v>
      </c>
      <c r="I963" s="4">
        <v>0</v>
      </c>
    </row>
    <row r="964" spans="1:9" x14ac:dyDescent="0.2">
      <c r="A964" s="2">
        <v>20</v>
      </c>
      <c r="B964" s="1" t="s">
        <v>113</v>
      </c>
      <c r="C964" s="4">
        <v>1</v>
      </c>
      <c r="D964" s="8">
        <v>0.72</v>
      </c>
      <c r="E964" s="4">
        <v>0</v>
      </c>
      <c r="F964" s="8">
        <v>0</v>
      </c>
      <c r="G964" s="4">
        <v>1</v>
      </c>
      <c r="H964" s="8">
        <v>3.57</v>
      </c>
      <c r="I964" s="4">
        <v>0</v>
      </c>
    </row>
    <row r="965" spans="1:9" x14ac:dyDescent="0.2">
      <c r="A965" s="2">
        <v>20</v>
      </c>
      <c r="B965" s="1" t="s">
        <v>101</v>
      </c>
      <c r="C965" s="4">
        <v>1</v>
      </c>
      <c r="D965" s="8">
        <v>0.72</v>
      </c>
      <c r="E965" s="4">
        <v>0</v>
      </c>
      <c r="F965" s="8">
        <v>0</v>
      </c>
      <c r="G965" s="4">
        <v>0</v>
      </c>
      <c r="H965" s="8">
        <v>0</v>
      </c>
      <c r="I965" s="4">
        <v>0</v>
      </c>
    </row>
    <row r="966" spans="1:9" x14ac:dyDescent="0.2">
      <c r="A966" s="2">
        <v>20</v>
      </c>
      <c r="B966" s="1" t="s">
        <v>96</v>
      </c>
      <c r="C966" s="4">
        <v>1</v>
      </c>
      <c r="D966" s="8">
        <v>0.72</v>
      </c>
      <c r="E966" s="4">
        <v>1</v>
      </c>
      <c r="F966" s="8">
        <v>0.95</v>
      </c>
      <c r="G966" s="4">
        <v>0</v>
      </c>
      <c r="H966" s="8">
        <v>0</v>
      </c>
      <c r="I966" s="4">
        <v>0</v>
      </c>
    </row>
    <row r="967" spans="1:9" x14ac:dyDescent="0.2">
      <c r="A967" s="2">
        <v>20</v>
      </c>
      <c r="B967" s="1" t="s">
        <v>103</v>
      </c>
      <c r="C967" s="4">
        <v>1</v>
      </c>
      <c r="D967" s="8">
        <v>0.72</v>
      </c>
      <c r="E967" s="4">
        <v>0</v>
      </c>
      <c r="F967" s="8">
        <v>0</v>
      </c>
      <c r="G967" s="4">
        <v>0</v>
      </c>
      <c r="H967" s="8">
        <v>0</v>
      </c>
      <c r="I967" s="4">
        <v>1</v>
      </c>
    </row>
    <row r="968" spans="1:9" x14ac:dyDescent="0.2">
      <c r="A968" s="2">
        <v>20</v>
      </c>
      <c r="B968" s="1" t="s">
        <v>70</v>
      </c>
      <c r="C968" s="4">
        <v>1</v>
      </c>
      <c r="D968" s="8">
        <v>0.72</v>
      </c>
      <c r="E968" s="4">
        <v>1</v>
      </c>
      <c r="F968" s="8">
        <v>0.95</v>
      </c>
      <c r="G968" s="4">
        <v>0</v>
      </c>
      <c r="H968" s="8">
        <v>0</v>
      </c>
      <c r="I968" s="4">
        <v>0</v>
      </c>
    </row>
    <row r="969" spans="1:9" x14ac:dyDescent="0.2">
      <c r="A969" s="2">
        <v>20</v>
      </c>
      <c r="B969" s="1" t="s">
        <v>106</v>
      </c>
      <c r="C969" s="4">
        <v>1</v>
      </c>
      <c r="D969" s="8">
        <v>0.72</v>
      </c>
      <c r="E969" s="4">
        <v>1</v>
      </c>
      <c r="F969" s="8">
        <v>0.95</v>
      </c>
      <c r="G969" s="4">
        <v>0</v>
      </c>
      <c r="H969" s="8">
        <v>0</v>
      </c>
      <c r="I969" s="4">
        <v>0</v>
      </c>
    </row>
    <row r="970" spans="1:9" x14ac:dyDescent="0.2">
      <c r="A970" s="2">
        <v>20</v>
      </c>
      <c r="B970" s="1" t="s">
        <v>94</v>
      </c>
      <c r="C970" s="4">
        <v>1</v>
      </c>
      <c r="D970" s="8">
        <v>0.72</v>
      </c>
      <c r="E970" s="4">
        <v>1</v>
      </c>
      <c r="F970" s="8">
        <v>0.95</v>
      </c>
      <c r="G970" s="4">
        <v>0</v>
      </c>
      <c r="H970" s="8">
        <v>0</v>
      </c>
      <c r="I970" s="4">
        <v>0</v>
      </c>
    </row>
    <row r="971" spans="1:9" x14ac:dyDescent="0.2">
      <c r="A971" s="2">
        <v>20</v>
      </c>
      <c r="B971" s="1" t="s">
        <v>75</v>
      </c>
      <c r="C971" s="4">
        <v>1</v>
      </c>
      <c r="D971" s="8">
        <v>0.72</v>
      </c>
      <c r="E971" s="4">
        <v>1</v>
      </c>
      <c r="F971" s="8">
        <v>0.95</v>
      </c>
      <c r="G971" s="4">
        <v>0</v>
      </c>
      <c r="H971" s="8">
        <v>0</v>
      </c>
      <c r="I971" s="4">
        <v>0</v>
      </c>
    </row>
    <row r="972" spans="1:9" x14ac:dyDescent="0.2">
      <c r="A972" s="2">
        <v>20</v>
      </c>
      <c r="B972" s="1" t="s">
        <v>79</v>
      </c>
      <c r="C972" s="4">
        <v>1</v>
      </c>
      <c r="D972" s="8">
        <v>0.72</v>
      </c>
      <c r="E972" s="4">
        <v>1</v>
      </c>
      <c r="F972" s="8">
        <v>0.95</v>
      </c>
      <c r="G972" s="4">
        <v>0</v>
      </c>
      <c r="H972" s="8">
        <v>0</v>
      </c>
      <c r="I972" s="4">
        <v>0</v>
      </c>
    </row>
    <row r="973" spans="1:9" x14ac:dyDescent="0.2">
      <c r="A973" s="2">
        <v>20</v>
      </c>
      <c r="B973" s="1" t="s">
        <v>104</v>
      </c>
      <c r="C973" s="4">
        <v>1</v>
      </c>
      <c r="D973" s="8">
        <v>0.72</v>
      </c>
      <c r="E973" s="4">
        <v>1</v>
      </c>
      <c r="F973" s="8">
        <v>0.95</v>
      </c>
      <c r="G973" s="4">
        <v>0</v>
      </c>
      <c r="H973" s="8">
        <v>0</v>
      </c>
      <c r="I973" s="4">
        <v>0</v>
      </c>
    </row>
    <row r="974" spans="1:9" x14ac:dyDescent="0.2">
      <c r="A974" s="2">
        <v>20</v>
      </c>
      <c r="B974" s="1" t="s">
        <v>84</v>
      </c>
      <c r="C974" s="4">
        <v>1</v>
      </c>
      <c r="D974" s="8">
        <v>0.72</v>
      </c>
      <c r="E974" s="4">
        <v>0</v>
      </c>
      <c r="F974" s="8">
        <v>0</v>
      </c>
      <c r="G974" s="4">
        <v>1</v>
      </c>
      <c r="H974" s="8">
        <v>3.57</v>
      </c>
      <c r="I974" s="4">
        <v>0</v>
      </c>
    </row>
    <row r="975" spans="1:9" x14ac:dyDescent="0.2">
      <c r="A975" s="1"/>
      <c r="C975" s="4"/>
      <c r="D975" s="8"/>
      <c r="E975" s="4"/>
      <c r="F975" s="8"/>
      <c r="G975" s="4"/>
      <c r="H975" s="8"/>
      <c r="I975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C949A-F24C-4121-9582-477356F5106F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288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81</v>
      </c>
      <c r="D6" s="8">
        <v>22.95</v>
      </c>
      <c r="E6" s="12">
        <v>30</v>
      </c>
      <c r="F6" s="8">
        <v>13.39</v>
      </c>
      <c r="G6" s="12">
        <v>51</v>
      </c>
      <c r="H6" s="8">
        <v>41.13</v>
      </c>
      <c r="I6" s="12">
        <v>0</v>
      </c>
    </row>
    <row r="7" spans="2:9" ht="15" customHeight="1" x14ac:dyDescent="0.2">
      <c r="B7" t="s">
        <v>44</v>
      </c>
      <c r="C7" s="12">
        <v>26</v>
      </c>
      <c r="D7" s="8">
        <v>7.37</v>
      </c>
      <c r="E7" s="12">
        <v>14</v>
      </c>
      <c r="F7" s="8">
        <v>6.25</v>
      </c>
      <c r="G7" s="12">
        <v>12</v>
      </c>
      <c r="H7" s="8">
        <v>9.68</v>
      </c>
      <c r="I7" s="12">
        <v>0</v>
      </c>
    </row>
    <row r="8" spans="2:9" ht="15" customHeight="1" x14ac:dyDescent="0.2">
      <c r="B8" t="s">
        <v>45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46</v>
      </c>
      <c r="C9" s="12">
        <v>3</v>
      </c>
      <c r="D9" s="8">
        <v>0.85</v>
      </c>
      <c r="E9" s="12">
        <v>1</v>
      </c>
      <c r="F9" s="8">
        <v>0.45</v>
      </c>
      <c r="G9" s="12">
        <v>2</v>
      </c>
      <c r="H9" s="8">
        <v>1.61</v>
      </c>
      <c r="I9" s="12">
        <v>0</v>
      </c>
    </row>
    <row r="10" spans="2:9" ht="15" customHeight="1" x14ac:dyDescent="0.2">
      <c r="B10" t="s">
        <v>47</v>
      </c>
      <c r="C10" s="12">
        <v>7</v>
      </c>
      <c r="D10" s="8">
        <v>1.98</v>
      </c>
      <c r="E10" s="12">
        <v>5</v>
      </c>
      <c r="F10" s="8">
        <v>2.23</v>
      </c>
      <c r="G10" s="12">
        <v>2</v>
      </c>
      <c r="H10" s="8">
        <v>1.61</v>
      </c>
      <c r="I10" s="12">
        <v>0</v>
      </c>
    </row>
    <row r="11" spans="2:9" ht="15" customHeight="1" x14ac:dyDescent="0.2">
      <c r="B11" t="s">
        <v>48</v>
      </c>
      <c r="C11" s="12">
        <v>75</v>
      </c>
      <c r="D11" s="8">
        <v>21.25</v>
      </c>
      <c r="E11" s="12">
        <v>47</v>
      </c>
      <c r="F11" s="8">
        <v>20.98</v>
      </c>
      <c r="G11" s="12">
        <v>28</v>
      </c>
      <c r="H11" s="8">
        <v>22.58</v>
      </c>
      <c r="I11" s="12">
        <v>0</v>
      </c>
    </row>
    <row r="12" spans="2:9" ht="15" customHeight="1" x14ac:dyDescent="0.2">
      <c r="B12" t="s">
        <v>49</v>
      </c>
      <c r="C12" s="12">
        <v>1</v>
      </c>
      <c r="D12" s="8">
        <v>0.28000000000000003</v>
      </c>
      <c r="E12" s="12">
        <v>1</v>
      </c>
      <c r="F12" s="8">
        <v>0.45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50</v>
      </c>
      <c r="C13" s="12">
        <v>30</v>
      </c>
      <c r="D13" s="8">
        <v>8.5</v>
      </c>
      <c r="E13" s="12">
        <v>19</v>
      </c>
      <c r="F13" s="8">
        <v>8.48</v>
      </c>
      <c r="G13" s="12">
        <v>11</v>
      </c>
      <c r="H13" s="8">
        <v>8.8699999999999992</v>
      </c>
      <c r="I13" s="12">
        <v>0</v>
      </c>
    </row>
    <row r="14" spans="2:9" ht="15" customHeight="1" x14ac:dyDescent="0.2">
      <c r="B14" t="s">
        <v>51</v>
      </c>
      <c r="C14" s="12">
        <v>15</v>
      </c>
      <c r="D14" s="8">
        <v>4.25</v>
      </c>
      <c r="E14" s="12">
        <v>11</v>
      </c>
      <c r="F14" s="8">
        <v>4.91</v>
      </c>
      <c r="G14" s="12">
        <v>4</v>
      </c>
      <c r="H14" s="8">
        <v>3.23</v>
      </c>
      <c r="I14" s="12">
        <v>0</v>
      </c>
    </row>
    <row r="15" spans="2:9" ht="15" customHeight="1" x14ac:dyDescent="0.2">
      <c r="B15" t="s">
        <v>52</v>
      </c>
      <c r="C15" s="12">
        <v>14</v>
      </c>
      <c r="D15" s="8">
        <v>3.97</v>
      </c>
      <c r="E15" s="12">
        <v>13</v>
      </c>
      <c r="F15" s="8">
        <v>5.8</v>
      </c>
      <c r="G15" s="12">
        <v>1</v>
      </c>
      <c r="H15" s="8">
        <v>0.81</v>
      </c>
      <c r="I15" s="12">
        <v>0</v>
      </c>
    </row>
    <row r="16" spans="2:9" ht="15" customHeight="1" x14ac:dyDescent="0.2">
      <c r="B16" t="s">
        <v>53</v>
      </c>
      <c r="C16" s="12">
        <v>34</v>
      </c>
      <c r="D16" s="8">
        <v>9.6300000000000008</v>
      </c>
      <c r="E16" s="12">
        <v>27</v>
      </c>
      <c r="F16" s="8">
        <v>12.05</v>
      </c>
      <c r="G16" s="12">
        <v>6</v>
      </c>
      <c r="H16" s="8">
        <v>4.84</v>
      </c>
      <c r="I16" s="12">
        <v>0</v>
      </c>
    </row>
    <row r="17" spans="2:9" ht="15" customHeight="1" x14ac:dyDescent="0.2">
      <c r="B17" t="s">
        <v>54</v>
      </c>
      <c r="C17" s="12">
        <v>15</v>
      </c>
      <c r="D17" s="8">
        <v>4.25</v>
      </c>
      <c r="E17" s="12">
        <v>14</v>
      </c>
      <c r="F17" s="8">
        <v>6.25</v>
      </c>
      <c r="G17" s="12">
        <v>1</v>
      </c>
      <c r="H17" s="8">
        <v>0.81</v>
      </c>
      <c r="I17" s="12">
        <v>0</v>
      </c>
    </row>
    <row r="18" spans="2:9" ht="15" customHeight="1" x14ac:dyDescent="0.2">
      <c r="B18" t="s">
        <v>55</v>
      </c>
      <c r="C18" s="12">
        <v>15</v>
      </c>
      <c r="D18" s="8">
        <v>4.25</v>
      </c>
      <c r="E18" s="12">
        <v>7</v>
      </c>
      <c r="F18" s="8">
        <v>3.13</v>
      </c>
      <c r="G18" s="12">
        <v>6</v>
      </c>
      <c r="H18" s="8">
        <v>4.84</v>
      </c>
      <c r="I18" s="12">
        <v>0</v>
      </c>
    </row>
    <row r="19" spans="2:9" ht="15" customHeight="1" x14ac:dyDescent="0.2">
      <c r="B19" t="s">
        <v>56</v>
      </c>
      <c r="C19" s="12">
        <v>37</v>
      </c>
      <c r="D19" s="8">
        <v>10.48</v>
      </c>
      <c r="E19" s="12">
        <v>35</v>
      </c>
      <c r="F19" s="8">
        <v>15.63</v>
      </c>
      <c r="G19" s="12">
        <v>0</v>
      </c>
      <c r="H19" s="8">
        <v>0</v>
      </c>
      <c r="I19" s="12">
        <v>1</v>
      </c>
    </row>
    <row r="20" spans="2:9" ht="15" customHeight="1" x14ac:dyDescent="0.2">
      <c r="B20" s="9" t="s">
        <v>260</v>
      </c>
      <c r="C20" s="12">
        <f>SUM(LTBL_47328[総数／事業所数])</f>
        <v>353</v>
      </c>
      <c r="E20" s="12">
        <f>SUBTOTAL(109,LTBL_47328[個人／事業所数])</f>
        <v>224</v>
      </c>
      <c r="G20" s="12">
        <f>SUBTOTAL(109,LTBL_47328[法人／事業所数])</f>
        <v>124</v>
      </c>
      <c r="I20" s="12">
        <f>SUBTOTAL(109,LTBL_47328[法人以外の団体／事業所数])</f>
        <v>1</v>
      </c>
    </row>
    <row r="21" spans="2:9" ht="15" customHeight="1" x14ac:dyDescent="0.2">
      <c r="E21" s="11">
        <f>LTBL_47328[[#Totals],[個人／事業所数]]/LTBL_47328[[#Totals],[総数／事業所数]]</f>
        <v>0.63456090651558072</v>
      </c>
      <c r="G21" s="11">
        <f>LTBL_47328[[#Totals],[法人／事業所数]]/LTBL_47328[[#Totals],[総数／事業所数]]</f>
        <v>0.35127478753541075</v>
      </c>
      <c r="I21" s="11">
        <f>LTBL_47328[[#Totals],[法人以外の団体／事業所数]]/LTBL_47328[[#Totals],[総数／事業所数]]</f>
        <v>2.8328611898016999E-3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66</v>
      </c>
      <c r="C24" s="12">
        <v>39</v>
      </c>
      <c r="D24" s="8">
        <v>11.05</v>
      </c>
      <c r="E24" s="12">
        <v>18</v>
      </c>
      <c r="F24" s="8">
        <v>8.0399999999999991</v>
      </c>
      <c r="G24" s="12">
        <v>21</v>
      </c>
      <c r="H24" s="8">
        <v>16.940000000000001</v>
      </c>
      <c r="I24" s="12">
        <v>0</v>
      </c>
    </row>
    <row r="25" spans="2:9" ht="15" customHeight="1" x14ac:dyDescent="0.2">
      <c r="B25" t="s">
        <v>84</v>
      </c>
      <c r="C25" s="12">
        <v>34</v>
      </c>
      <c r="D25" s="8">
        <v>9.6300000000000008</v>
      </c>
      <c r="E25" s="12">
        <v>34</v>
      </c>
      <c r="F25" s="8">
        <v>15.18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78</v>
      </c>
      <c r="C26" s="12">
        <v>29</v>
      </c>
      <c r="D26" s="8">
        <v>8.2200000000000006</v>
      </c>
      <c r="E26" s="12">
        <v>24</v>
      </c>
      <c r="F26" s="8">
        <v>10.71</v>
      </c>
      <c r="G26" s="12">
        <v>5</v>
      </c>
      <c r="H26" s="8">
        <v>4.03</v>
      </c>
      <c r="I26" s="12">
        <v>0</v>
      </c>
    </row>
    <row r="27" spans="2:9" ht="15" customHeight="1" x14ac:dyDescent="0.2">
      <c r="B27" t="s">
        <v>73</v>
      </c>
      <c r="C27" s="12">
        <v>26</v>
      </c>
      <c r="D27" s="8">
        <v>7.37</v>
      </c>
      <c r="E27" s="12">
        <v>18</v>
      </c>
      <c r="F27" s="8">
        <v>8.0399999999999991</v>
      </c>
      <c r="G27" s="12">
        <v>8</v>
      </c>
      <c r="H27" s="8">
        <v>6.45</v>
      </c>
      <c r="I27" s="12">
        <v>0</v>
      </c>
    </row>
    <row r="28" spans="2:9" ht="15" customHeight="1" x14ac:dyDescent="0.2">
      <c r="B28" t="s">
        <v>71</v>
      </c>
      <c r="C28" s="12">
        <v>24</v>
      </c>
      <c r="D28" s="8">
        <v>6.8</v>
      </c>
      <c r="E28" s="12">
        <v>19</v>
      </c>
      <c r="F28" s="8">
        <v>8.48</v>
      </c>
      <c r="G28" s="12">
        <v>5</v>
      </c>
      <c r="H28" s="8">
        <v>4.03</v>
      </c>
      <c r="I28" s="12">
        <v>0</v>
      </c>
    </row>
    <row r="29" spans="2:9" ht="15" customHeight="1" x14ac:dyDescent="0.2">
      <c r="B29" t="s">
        <v>65</v>
      </c>
      <c r="C29" s="12">
        <v>21</v>
      </c>
      <c r="D29" s="8">
        <v>5.95</v>
      </c>
      <c r="E29" s="12">
        <v>6</v>
      </c>
      <c r="F29" s="8">
        <v>2.68</v>
      </c>
      <c r="G29" s="12">
        <v>15</v>
      </c>
      <c r="H29" s="8">
        <v>12.1</v>
      </c>
      <c r="I29" s="12">
        <v>0</v>
      </c>
    </row>
    <row r="30" spans="2:9" ht="15" customHeight="1" x14ac:dyDescent="0.2">
      <c r="B30" t="s">
        <v>67</v>
      </c>
      <c r="C30" s="12">
        <v>21</v>
      </c>
      <c r="D30" s="8">
        <v>5.95</v>
      </c>
      <c r="E30" s="12">
        <v>6</v>
      </c>
      <c r="F30" s="8">
        <v>2.68</v>
      </c>
      <c r="G30" s="12">
        <v>15</v>
      </c>
      <c r="H30" s="8">
        <v>12.1</v>
      </c>
      <c r="I30" s="12">
        <v>0</v>
      </c>
    </row>
    <row r="31" spans="2:9" ht="15" customHeight="1" x14ac:dyDescent="0.2">
      <c r="B31" t="s">
        <v>69</v>
      </c>
      <c r="C31" s="12">
        <v>16</v>
      </c>
      <c r="D31" s="8">
        <v>4.53</v>
      </c>
      <c r="E31" s="12">
        <v>11</v>
      </c>
      <c r="F31" s="8">
        <v>4.91</v>
      </c>
      <c r="G31" s="12">
        <v>5</v>
      </c>
      <c r="H31" s="8">
        <v>4.03</v>
      </c>
      <c r="I31" s="12">
        <v>0</v>
      </c>
    </row>
    <row r="32" spans="2:9" ht="15" customHeight="1" x14ac:dyDescent="0.2">
      <c r="B32" t="s">
        <v>81</v>
      </c>
      <c r="C32" s="12">
        <v>15</v>
      </c>
      <c r="D32" s="8">
        <v>4.25</v>
      </c>
      <c r="E32" s="12">
        <v>14</v>
      </c>
      <c r="F32" s="8">
        <v>6.25</v>
      </c>
      <c r="G32" s="12">
        <v>1</v>
      </c>
      <c r="H32" s="8">
        <v>0.81</v>
      </c>
      <c r="I32" s="12">
        <v>0</v>
      </c>
    </row>
    <row r="33" spans="2:9" ht="15" customHeight="1" x14ac:dyDescent="0.2">
      <c r="B33" t="s">
        <v>70</v>
      </c>
      <c r="C33" s="12">
        <v>14</v>
      </c>
      <c r="D33" s="8">
        <v>3.97</v>
      </c>
      <c r="E33" s="12">
        <v>12</v>
      </c>
      <c r="F33" s="8">
        <v>5.36</v>
      </c>
      <c r="G33" s="12">
        <v>2</v>
      </c>
      <c r="H33" s="8">
        <v>1.61</v>
      </c>
      <c r="I33" s="12">
        <v>0</v>
      </c>
    </row>
    <row r="34" spans="2:9" ht="15" customHeight="1" x14ac:dyDescent="0.2">
      <c r="B34" t="s">
        <v>77</v>
      </c>
      <c r="C34" s="12">
        <v>12</v>
      </c>
      <c r="D34" s="8">
        <v>3.4</v>
      </c>
      <c r="E34" s="12">
        <v>12</v>
      </c>
      <c r="F34" s="8">
        <v>5.36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83</v>
      </c>
      <c r="C35" s="12">
        <v>10</v>
      </c>
      <c r="D35" s="8">
        <v>2.83</v>
      </c>
      <c r="E35" s="12">
        <v>3</v>
      </c>
      <c r="F35" s="8">
        <v>1.34</v>
      </c>
      <c r="G35" s="12">
        <v>5</v>
      </c>
      <c r="H35" s="8">
        <v>4.03</v>
      </c>
      <c r="I35" s="12">
        <v>0</v>
      </c>
    </row>
    <row r="36" spans="2:9" ht="15" customHeight="1" x14ac:dyDescent="0.2">
      <c r="B36" t="s">
        <v>75</v>
      </c>
      <c r="C36" s="12">
        <v>8</v>
      </c>
      <c r="D36" s="8">
        <v>2.27</v>
      </c>
      <c r="E36" s="12">
        <v>5</v>
      </c>
      <c r="F36" s="8">
        <v>2.23</v>
      </c>
      <c r="G36" s="12">
        <v>3</v>
      </c>
      <c r="H36" s="8">
        <v>2.42</v>
      </c>
      <c r="I36" s="12">
        <v>0</v>
      </c>
    </row>
    <row r="37" spans="2:9" ht="15" customHeight="1" x14ac:dyDescent="0.2">
      <c r="B37" t="s">
        <v>85</v>
      </c>
      <c r="C37" s="12">
        <v>7</v>
      </c>
      <c r="D37" s="8">
        <v>1.98</v>
      </c>
      <c r="E37" s="12">
        <v>3</v>
      </c>
      <c r="F37" s="8">
        <v>1.34</v>
      </c>
      <c r="G37" s="12">
        <v>4</v>
      </c>
      <c r="H37" s="8">
        <v>3.23</v>
      </c>
      <c r="I37" s="12">
        <v>0</v>
      </c>
    </row>
    <row r="38" spans="2:9" ht="15" customHeight="1" x14ac:dyDescent="0.2">
      <c r="B38" t="s">
        <v>74</v>
      </c>
      <c r="C38" s="12">
        <v>7</v>
      </c>
      <c r="D38" s="8">
        <v>1.98</v>
      </c>
      <c r="E38" s="12">
        <v>6</v>
      </c>
      <c r="F38" s="8">
        <v>2.68</v>
      </c>
      <c r="G38" s="12">
        <v>1</v>
      </c>
      <c r="H38" s="8">
        <v>0.81</v>
      </c>
      <c r="I38" s="12">
        <v>0</v>
      </c>
    </row>
    <row r="39" spans="2:9" ht="15" customHeight="1" x14ac:dyDescent="0.2">
      <c r="B39" t="s">
        <v>92</v>
      </c>
      <c r="C39" s="12">
        <v>6</v>
      </c>
      <c r="D39" s="8">
        <v>1.7</v>
      </c>
      <c r="E39" s="12">
        <v>2</v>
      </c>
      <c r="F39" s="8">
        <v>0.89</v>
      </c>
      <c r="G39" s="12">
        <v>4</v>
      </c>
      <c r="H39" s="8">
        <v>3.23</v>
      </c>
      <c r="I39" s="12">
        <v>0</v>
      </c>
    </row>
    <row r="40" spans="2:9" ht="15" customHeight="1" x14ac:dyDescent="0.2">
      <c r="B40" t="s">
        <v>96</v>
      </c>
      <c r="C40" s="12">
        <v>5</v>
      </c>
      <c r="D40" s="8">
        <v>1.42</v>
      </c>
      <c r="E40" s="12">
        <v>5</v>
      </c>
      <c r="F40" s="8">
        <v>2.23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89</v>
      </c>
      <c r="C41" s="12">
        <v>5</v>
      </c>
      <c r="D41" s="8">
        <v>1.42</v>
      </c>
      <c r="E41" s="12">
        <v>1</v>
      </c>
      <c r="F41" s="8">
        <v>0.45</v>
      </c>
      <c r="G41" s="12">
        <v>4</v>
      </c>
      <c r="H41" s="8">
        <v>3.23</v>
      </c>
      <c r="I41" s="12">
        <v>0</v>
      </c>
    </row>
    <row r="42" spans="2:9" ht="15" customHeight="1" x14ac:dyDescent="0.2">
      <c r="B42" t="s">
        <v>90</v>
      </c>
      <c r="C42" s="12">
        <v>5</v>
      </c>
      <c r="D42" s="8">
        <v>1.42</v>
      </c>
      <c r="E42" s="12">
        <v>0</v>
      </c>
      <c r="F42" s="8">
        <v>0</v>
      </c>
      <c r="G42" s="12">
        <v>5</v>
      </c>
      <c r="H42" s="8">
        <v>4.03</v>
      </c>
      <c r="I42" s="12">
        <v>0</v>
      </c>
    </row>
    <row r="43" spans="2:9" ht="15" customHeight="1" x14ac:dyDescent="0.2">
      <c r="B43" t="s">
        <v>82</v>
      </c>
      <c r="C43" s="12">
        <v>5</v>
      </c>
      <c r="D43" s="8">
        <v>1.42</v>
      </c>
      <c r="E43" s="12">
        <v>4</v>
      </c>
      <c r="F43" s="8">
        <v>1.79</v>
      </c>
      <c r="G43" s="12">
        <v>1</v>
      </c>
      <c r="H43" s="8">
        <v>0.81</v>
      </c>
      <c r="I43" s="12">
        <v>0</v>
      </c>
    </row>
    <row r="46" spans="2:9" ht="33" customHeight="1" x14ac:dyDescent="0.2">
      <c r="B46" t="s">
        <v>262</v>
      </c>
      <c r="C46" s="10" t="s">
        <v>58</v>
      </c>
      <c r="D46" s="10" t="s">
        <v>59</v>
      </c>
      <c r="E46" s="10" t="s">
        <v>60</v>
      </c>
      <c r="F46" s="10" t="s">
        <v>61</v>
      </c>
      <c r="G46" s="10" t="s">
        <v>62</v>
      </c>
      <c r="H46" s="10" t="s">
        <v>63</v>
      </c>
      <c r="I46" s="10" t="s">
        <v>64</v>
      </c>
    </row>
    <row r="47" spans="2:9" ht="15" customHeight="1" x14ac:dyDescent="0.2">
      <c r="B47" t="s">
        <v>141</v>
      </c>
      <c r="C47" s="12">
        <v>34</v>
      </c>
      <c r="D47" s="8">
        <v>9.6300000000000008</v>
      </c>
      <c r="E47" s="12">
        <v>34</v>
      </c>
      <c r="F47" s="8">
        <v>15.18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128</v>
      </c>
      <c r="C48" s="12">
        <v>21</v>
      </c>
      <c r="D48" s="8">
        <v>5.95</v>
      </c>
      <c r="E48" s="12">
        <v>16</v>
      </c>
      <c r="F48" s="8">
        <v>7.14</v>
      </c>
      <c r="G48" s="12">
        <v>5</v>
      </c>
      <c r="H48" s="8">
        <v>4.03</v>
      </c>
      <c r="I48" s="12">
        <v>0</v>
      </c>
    </row>
    <row r="49" spans="2:9" ht="15" customHeight="1" x14ac:dyDescent="0.2">
      <c r="B49" t="s">
        <v>136</v>
      </c>
      <c r="C49" s="12">
        <v>17</v>
      </c>
      <c r="D49" s="8">
        <v>4.82</v>
      </c>
      <c r="E49" s="12">
        <v>16</v>
      </c>
      <c r="F49" s="8">
        <v>7.14</v>
      </c>
      <c r="G49" s="12">
        <v>1</v>
      </c>
      <c r="H49" s="8">
        <v>0.81</v>
      </c>
      <c r="I49" s="12">
        <v>0</v>
      </c>
    </row>
    <row r="50" spans="2:9" ht="15" customHeight="1" x14ac:dyDescent="0.2">
      <c r="B50" t="s">
        <v>124</v>
      </c>
      <c r="C50" s="12">
        <v>13</v>
      </c>
      <c r="D50" s="8">
        <v>3.68</v>
      </c>
      <c r="E50" s="12">
        <v>11</v>
      </c>
      <c r="F50" s="8">
        <v>4.91</v>
      </c>
      <c r="G50" s="12">
        <v>2</v>
      </c>
      <c r="H50" s="8">
        <v>1.61</v>
      </c>
      <c r="I50" s="12">
        <v>0</v>
      </c>
    </row>
    <row r="51" spans="2:9" ht="15" customHeight="1" x14ac:dyDescent="0.2">
      <c r="B51" t="s">
        <v>139</v>
      </c>
      <c r="C51" s="12">
        <v>12</v>
      </c>
      <c r="D51" s="8">
        <v>3.4</v>
      </c>
      <c r="E51" s="12">
        <v>12</v>
      </c>
      <c r="F51" s="8">
        <v>5.36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147</v>
      </c>
      <c r="C52" s="12">
        <v>10</v>
      </c>
      <c r="D52" s="8">
        <v>2.83</v>
      </c>
      <c r="E52" s="12">
        <v>2</v>
      </c>
      <c r="F52" s="8">
        <v>0.89</v>
      </c>
      <c r="G52" s="12">
        <v>8</v>
      </c>
      <c r="H52" s="8">
        <v>6.45</v>
      </c>
      <c r="I52" s="12">
        <v>0</v>
      </c>
    </row>
    <row r="53" spans="2:9" ht="15" customHeight="1" x14ac:dyDescent="0.2">
      <c r="B53" t="s">
        <v>153</v>
      </c>
      <c r="C53" s="12">
        <v>10</v>
      </c>
      <c r="D53" s="8">
        <v>2.83</v>
      </c>
      <c r="E53" s="12">
        <v>10</v>
      </c>
      <c r="F53" s="8">
        <v>4.46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122</v>
      </c>
      <c r="C54" s="12">
        <v>8</v>
      </c>
      <c r="D54" s="8">
        <v>2.27</v>
      </c>
      <c r="E54" s="12">
        <v>1</v>
      </c>
      <c r="F54" s="8">
        <v>0.45</v>
      </c>
      <c r="G54" s="12">
        <v>7</v>
      </c>
      <c r="H54" s="8">
        <v>5.65</v>
      </c>
      <c r="I54" s="12">
        <v>0</v>
      </c>
    </row>
    <row r="55" spans="2:9" ht="15" customHeight="1" x14ac:dyDescent="0.2">
      <c r="B55" t="s">
        <v>151</v>
      </c>
      <c r="C55" s="12">
        <v>8</v>
      </c>
      <c r="D55" s="8">
        <v>2.27</v>
      </c>
      <c r="E55" s="12">
        <v>3</v>
      </c>
      <c r="F55" s="8">
        <v>1.34</v>
      </c>
      <c r="G55" s="12">
        <v>5</v>
      </c>
      <c r="H55" s="8">
        <v>4.03</v>
      </c>
      <c r="I55" s="12">
        <v>0</v>
      </c>
    </row>
    <row r="56" spans="2:9" ht="15" customHeight="1" x14ac:dyDescent="0.2">
      <c r="B56" t="s">
        <v>187</v>
      </c>
      <c r="C56" s="12">
        <v>8</v>
      </c>
      <c r="D56" s="8">
        <v>2.27</v>
      </c>
      <c r="E56" s="12">
        <v>1</v>
      </c>
      <c r="F56" s="8">
        <v>0.45</v>
      </c>
      <c r="G56" s="12">
        <v>7</v>
      </c>
      <c r="H56" s="8">
        <v>5.65</v>
      </c>
      <c r="I56" s="12">
        <v>0</v>
      </c>
    </row>
    <row r="57" spans="2:9" ht="15" customHeight="1" x14ac:dyDescent="0.2">
      <c r="B57" t="s">
        <v>211</v>
      </c>
      <c r="C57" s="12">
        <v>8</v>
      </c>
      <c r="D57" s="8">
        <v>2.27</v>
      </c>
      <c r="E57" s="12">
        <v>3</v>
      </c>
      <c r="F57" s="8">
        <v>1.34</v>
      </c>
      <c r="G57" s="12">
        <v>5</v>
      </c>
      <c r="H57" s="8">
        <v>4.03</v>
      </c>
      <c r="I57" s="12">
        <v>0</v>
      </c>
    </row>
    <row r="58" spans="2:9" ht="15" customHeight="1" x14ac:dyDescent="0.2">
      <c r="B58" t="s">
        <v>146</v>
      </c>
      <c r="C58" s="12">
        <v>8</v>
      </c>
      <c r="D58" s="8">
        <v>2.27</v>
      </c>
      <c r="E58" s="12">
        <v>4</v>
      </c>
      <c r="F58" s="8">
        <v>1.79</v>
      </c>
      <c r="G58" s="12">
        <v>4</v>
      </c>
      <c r="H58" s="8">
        <v>3.23</v>
      </c>
      <c r="I58" s="12">
        <v>0</v>
      </c>
    </row>
    <row r="59" spans="2:9" ht="15" customHeight="1" x14ac:dyDescent="0.2">
      <c r="B59" t="s">
        <v>123</v>
      </c>
      <c r="C59" s="12">
        <v>8</v>
      </c>
      <c r="D59" s="8">
        <v>2.27</v>
      </c>
      <c r="E59" s="12">
        <v>6</v>
      </c>
      <c r="F59" s="8">
        <v>2.68</v>
      </c>
      <c r="G59" s="12">
        <v>2</v>
      </c>
      <c r="H59" s="8">
        <v>1.61</v>
      </c>
      <c r="I59" s="12">
        <v>0</v>
      </c>
    </row>
    <row r="60" spans="2:9" ht="15" customHeight="1" x14ac:dyDescent="0.2">
      <c r="B60" t="s">
        <v>212</v>
      </c>
      <c r="C60" s="12">
        <v>7</v>
      </c>
      <c r="D60" s="8">
        <v>1.98</v>
      </c>
      <c r="E60" s="12">
        <v>3</v>
      </c>
      <c r="F60" s="8">
        <v>1.34</v>
      </c>
      <c r="G60" s="12">
        <v>4</v>
      </c>
      <c r="H60" s="8">
        <v>3.23</v>
      </c>
      <c r="I60" s="12">
        <v>0</v>
      </c>
    </row>
    <row r="61" spans="2:9" ht="15" customHeight="1" x14ac:dyDescent="0.2">
      <c r="B61" t="s">
        <v>152</v>
      </c>
      <c r="C61" s="12">
        <v>6</v>
      </c>
      <c r="D61" s="8">
        <v>1.7</v>
      </c>
      <c r="E61" s="12">
        <v>3</v>
      </c>
      <c r="F61" s="8">
        <v>1.34</v>
      </c>
      <c r="G61" s="12">
        <v>1</v>
      </c>
      <c r="H61" s="8">
        <v>0.81</v>
      </c>
      <c r="I61" s="12">
        <v>0</v>
      </c>
    </row>
    <row r="62" spans="2:9" ht="15" customHeight="1" x14ac:dyDescent="0.2">
      <c r="B62" t="s">
        <v>201</v>
      </c>
      <c r="C62" s="12">
        <v>5</v>
      </c>
      <c r="D62" s="8">
        <v>1.42</v>
      </c>
      <c r="E62" s="12">
        <v>2</v>
      </c>
      <c r="F62" s="8">
        <v>0.89</v>
      </c>
      <c r="G62" s="12">
        <v>3</v>
      </c>
      <c r="H62" s="8">
        <v>2.42</v>
      </c>
      <c r="I62" s="12">
        <v>0</v>
      </c>
    </row>
    <row r="63" spans="2:9" ht="15" customHeight="1" x14ac:dyDescent="0.2">
      <c r="B63" t="s">
        <v>157</v>
      </c>
      <c r="C63" s="12">
        <v>5</v>
      </c>
      <c r="D63" s="8">
        <v>1.42</v>
      </c>
      <c r="E63" s="12">
        <v>5</v>
      </c>
      <c r="F63" s="8">
        <v>2.23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202</v>
      </c>
      <c r="C64" s="12">
        <v>5</v>
      </c>
      <c r="D64" s="8">
        <v>1.42</v>
      </c>
      <c r="E64" s="12">
        <v>1</v>
      </c>
      <c r="F64" s="8">
        <v>0.45</v>
      </c>
      <c r="G64" s="12">
        <v>4</v>
      </c>
      <c r="H64" s="8">
        <v>3.23</v>
      </c>
      <c r="I64" s="12">
        <v>0</v>
      </c>
    </row>
    <row r="65" spans="2:9" ht="15" customHeight="1" x14ac:dyDescent="0.2">
      <c r="B65" t="s">
        <v>126</v>
      </c>
      <c r="C65" s="12">
        <v>5</v>
      </c>
      <c r="D65" s="8">
        <v>1.42</v>
      </c>
      <c r="E65" s="12">
        <v>5</v>
      </c>
      <c r="F65" s="8">
        <v>2.23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135</v>
      </c>
      <c r="C66" s="12">
        <v>5</v>
      </c>
      <c r="D66" s="8">
        <v>1.42</v>
      </c>
      <c r="E66" s="12">
        <v>5</v>
      </c>
      <c r="F66" s="8">
        <v>2.23</v>
      </c>
      <c r="G66" s="12">
        <v>0</v>
      </c>
      <c r="H66" s="8">
        <v>0</v>
      </c>
      <c r="I66" s="12">
        <v>0</v>
      </c>
    </row>
    <row r="68" spans="2:9" ht="15" customHeight="1" x14ac:dyDescent="0.2">
      <c r="B68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3F92C-7843-4FBE-BE3E-353BC15C56C3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289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121</v>
      </c>
      <c r="D6" s="8">
        <v>16.03</v>
      </c>
      <c r="E6" s="12">
        <v>53</v>
      </c>
      <c r="F6" s="8">
        <v>11.6</v>
      </c>
      <c r="G6" s="12">
        <v>68</v>
      </c>
      <c r="H6" s="8">
        <v>23.78</v>
      </c>
      <c r="I6" s="12">
        <v>0</v>
      </c>
    </row>
    <row r="7" spans="2:9" ht="15" customHeight="1" x14ac:dyDescent="0.2">
      <c r="B7" t="s">
        <v>44</v>
      </c>
      <c r="C7" s="12">
        <v>68</v>
      </c>
      <c r="D7" s="8">
        <v>9.01</v>
      </c>
      <c r="E7" s="12">
        <v>29</v>
      </c>
      <c r="F7" s="8">
        <v>6.35</v>
      </c>
      <c r="G7" s="12">
        <v>39</v>
      </c>
      <c r="H7" s="8">
        <v>13.64</v>
      </c>
      <c r="I7" s="12">
        <v>0</v>
      </c>
    </row>
    <row r="8" spans="2:9" ht="15" customHeight="1" x14ac:dyDescent="0.2">
      <c r="B8" t="s">
        <v>45</v>
      </c>
      <c r="C8" s="12">
        <v>3</v>
      </c>
      <c r="D8" s="8">
        <v>0.4</v>
      </c>
      <c r="E8" s="12">
        <v>0</v>
      </c>
      <c r="F8" s="8">
        <v>0</v>
      </c>
      <c r="G8" s="12">
        <v>2</v>
      </c>
      <c r="H8" s="8">
        <v>0.7</v>
      </c>
      <c r="I8" s="12">
        <v>0</v>
      </c>
    </row>
    <row r="9" spans="2:9" ht="15" customHeight="1" x14ac:dyDescent="0.2">
      <c r="B9" t="s">
        <v>46</v>
      </c>
      <c r="C9" s="12">
        <v>5</v>
      </c>
      <c r="D9" s="8">
        <v>0.66</v>
      </c>
      <c r="E9" s="12">
        <v>0</v>
      </c>
      <c r="F9" s="8">
        <v>0</v>
      </c>
      <c r="G9" s="12">
        <v>5</v>
      </c>
      <c r="H9" s="8">
        <v>1.75</v>
      </c>
      <c r="I9" s="12">
        <v>0</v>
      </c>
    </row>
    <row r="10" spans="2:9" ht="15" customHeight="1" x14ac:dyDescent="0.2">
      <c r="B10" t="s">
        <v>47</v>
      </c>
      <c r="C10" s="12">
        <v>9</v>
      </c>
      <c r="D10" s="8">
        <v>1.19</v>
      </c>
      <c r="E10" s="12">
        <v>4</v>
      </c>
      <c r="F10" s="8">
        <v>0.88</v>
      </c>
      <c r="G10" s="12">
        <v>5</v>
      </c>
      <c r="H10" s="8">
        <v>1.75</v>
      </c>
      <c r="I10" s="12">
        <v>0</v>
      </c>
    </row>
    <row r="11" spans="2:9" ht="15" customHeight="1" x14ac:dyDescent="0.2">
      <c r="B11" t="s">
        <v>48</v>
      </c>
      <c r="C11" s="12">
        <v>162</v>
      </c>
      <c r="D11" s="8">
        <v>21.46</v>
      </c>
      <c r="E11" s="12">
        <v>100</v>
      </c>
      <c r="F11" s="8">
        <v>21.88</v>
      </c>
      <c r="G11" s="12">
        <v>62</v>
      </c>
      <c r="H11" s="8">
        <v>21.68</v>
      </c>
      <c r="I11" s="12">
        <v>0</v>
      </c>
    </row>
    <row r="12" spans="2:9" ht="15" customHeight="1" x14ac:dyDescent="0.2">
      <c r="B12" t="s">
        <v>49</v>
      </c>
      <c r="C12" s="12">
        <v>4</v>
      </c>
      <c r="D12" s="8">
        <v>0.53</v>
      </c>
      <c r="E12" s="12">
        <v>2</v>
      </c>
      <c r="F12" s="8">
        <v>0.44</v>
      </c>
      <c r="G12" s="12">
        <v>2</v>
      </c>
      <c r="H12" s="8">
        <v>0.7</v>
      </c>
      <c r="I12" s="12">
        <v>0</v>
      </c>
    </row>
    <row r="13" spans="2:9" ht="15" customHeight="1" x14ac:dyDescent="0.2">
      <c r="B13" t="s">
        <v>50</v>
      </c>
      <c r="C13" s="12">
        <v>54</v>
      </c>
      <c r="D13" s="8">
        <v>7.15</v>
      </c>
      <c r="E13" s="12">
        <v>15</v>
      </c>
      <c r="F13" s="8">
        <v>3.28</v>
      </c>
      <c r="G13" s="12">
        <v>39</v>
      </c>
      <c r="H13" s="8">
        <v>13.64</v>
      </c>
      <c r="I13" s="12">
        <v>0</v>
      </c>
    </row>
    <row r="14" spans="2:9" ht="15" customHeight="1" x14ac:dyDescent="0.2">
      <c r="B14" t="s">
        <v>51</v>
      </c>
      <c r="C14" s="12">
        <v>32</v>
      </c>
      <c r="D14" s="8">
        <v>4.24</v>
      </c>
      <c r="E14" s="12">
        <v>16</v>
      </c>
      <c r="F14" s="8">
        <v>3.5</v>
      </c>
      <c r="G14" s="12">
        <v>14</v>
      </c>
      <c r="H14" s="8">
        <v>4.9000000000000004</v>
      </c>
      <c r="I14" s="12">
        <v>2</v>
      </c>
    </row>
    <row r="15" spans="2:9" ht="15" customHeight="1" x14ac:dyDescent="0.2">
      <c r="B15" t="s">
        <v>52</v>
      </c>
      <c r="C15" s="12">
        <v>76</v>
      </c>
      <c r="D15" s="8">
        <v>10.07</v>
      </c>
      <c r="E15" s="12">
        <v>68</v>
      </c>
      <c r="F15" s="8">
        <v>14.88</v>
      </c>
      <c r="G15" s="12">
        <v>8</v>
      </c>
      <c r="H15" s="8">
        <v>2.8</v>
      </c>
      <c r="I15" s="12">
        <v>0</v>
      </c>
    </row>
    <row r="16" spans="2:9" ht="15" customHeight="1" x14ac:dyDescent="0.2">
      <c r="B16" t="s">
        <v>53</v>
      </c>
      <c r="C16" s="12">
        <v>81</v>
      </c>
      <c r="D16" s="8">
        <v>10.73</v>
      </c>
      <c r="E16" s="12">
        <v>67</v>
      </c>
      <c r="F16" s="8">
        <v>14.66</v>
      </c>
      <c r="G16" s="12">
        <v>12</v>
      </c>
      <c r="H16" s="8">
        <v>4.2</v>
      </c>
      <c r="I16" s="12">
        <v>0</v>
      </c>
    </row>
    <row r="17" spans="2:9" ht="15" customHeight="1" x14ac:dyDescent="0.2">
      <c r="B17" t="s">
        <v>54</v>
      </c>
      <c r="C17" s="12">
        <v>55</v>
      </c>
      <c r="D17" s="8">
        <v>7.28</v>
      </c>
      <c r="E17" s="12">
        <v>53</v>
      </c>
      <c r="F17" s="8">
        <v>11.6</v>
      </c>
      <c r="G17" s="12">
        <v>1</v>
      </c>
      <c r="H17" s="8">
        <v>0.35</v>
      </c>
      <c r="I17" s="12">
        <v>0</v>
      </c>
    </row>
    <row r="18" spans="2:9" ht="15" customHeight="1" x14ac:dyDescent="0.2">
      <c r="B18" t="s">
        <v>55</v>
      </c>
      <c r="C18" s="12">
        <v>28</v>
      </c>
      <c r="D18" s="8">
        <v>3.71</v>
      </c>
      <c r="E18" s="12">
        <v>13</v>
      </c>
      <c r="F18" s="8">
        <v>2.84</v>
      </c>
      <c r="G18" s="12">
        <v>11</v>
      </c>
      <c r="H18" s="8">
        <v>3.85</v>
      </c>
      <c r="I18" s="12">
        <v>0</v>
      </c>
    </row>
    <row r="19" spans="2:9" ht="15" customHeight="1" x14ac:dyDescent="0.2">
      <c r="B19" t="s">
        <v>56</v>
      </c>
      <c r="C19" s="12">
        <v>57</v>
      </c>
      <c r="D19" s="8">
        <v>7.55</v>
      </c>
      <c r="E19" s="12">
        <v>37</v>
      </c>
      <c r="F19" s="8">
        <v>8.1</v>
      </c>
      <c r="G19" s="12">
        <v>18</v>
      </c>
      <c r="H19" s="8">
        <v>6.29</v>
      </c>
      <c r="I19" s="12">
        <v>2</v>
      </c>
    </row>
    <row r="20" spans="2:9" ht="15" customHeight="1" x14ac:dyDescent="0.2">
      <c r="B20" s="9" t="s">
        <v>260</v>
      </c>
      <c r="C20" s="12">
        <f>SUM(LTBL_47329[総数／事業所数])</f>
        <v>755</v>
      </c>
      <c r="E20" s="12">
        <f>SUBTOTAL(109,LTBL_47329[個人／事業所数])</f>
        <v>457</v>
      </c>
      <c r="G20" s="12">
        <f>SUBTOTAL(109,LTBL_47329[法人／事業所数])</f>
        <v>286</v>
      </c>
      <c r="I20" s="12">
        <f>SUBTOTAL(109,LTBL_47329[法人以外の団体／事業所数])</f>
        <v>4</v>
      </c>
    </row>
    <row r="21" spans="2:9" ht="15" customHeight="1" x14ac:dyDescent="0.2">
      <c r="E21" s="11">
        <f>LTBL_47329[[#Totals],[個人／事業所数]]/LTBL_47329[[#Totals],[総数／事業所数]]</f>
        <v>0.60529801324503307</v>
      </c>
      <c r="G21" s="11">
        <f>LTBL_47329[[#Totals],[法人／事業所数]]/LTBL_47329[[#Totals],[総数／事業所数]]</f>
        <v>0.37880794701986753</v>
      </c>
      <c r="I21" s="11">
        <f>LTBL_47329[[#Totals],[法人以外の団体／事業所数]]/LTBL_47329[[#Totals],[総数／事業所数]]</f>
        <v>5.2980132450331126E-3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77</v>
      </c>
      <c r="C24" s="12">
        <v>68</v>
      </c>
      <c r="D24" s="8">
        <v>9.01</v>
      </c>
      <c r="E24" s="12">
        <v>62</v>
      </c>
      <c r="F24" s="8">
        <v>13.57</v>
      </c>
      <c r="G24" s="12">
        <v>6</v>
      </c>
      <c r="H24" s="8">
        <v>2.1</v>
      </c>
      <c r="I24" s="12">
        <v>0</v>
      </c>
    </row>
    <row r="25" spans="2:9" ht="15" customHeight="1" x14ac:dyDescent="0.2">
      <c r="B25" t="s">
        <v>78</v>
      </c>
      <c r="C25" s="12">
        <v>67</v>
      </c>
      <c r="D25" s="8">
        <v>8.8699999999999992</v>
      </c>
      <c r="E25" s="12">
        <v>61</v>
      </c>
      <c r="F25" s="8">
        <v>13.35</v>
      </c>
      <c r="G25" s="12">
        <v>6</v>
      </c>
      <c r="H25" s="8">
        <v>2.1</v>
      </c>
      <c r="I25" s="12">
        <v>0</v>
      </c>
    </row>
    <row r="26" spans="2:9" ht="15" customHeight="1" x14ac:dyDescent="0.2">
      <c r="B26" t="s">
        <v>81</v>
      </c>
      <c r="C26" s="12">
        <v>55</v>
      </c>
      <c r="D26" s="8">
        <v>7.28</v>
      </c>
      <c r="E26" s="12">
        <v>53</v>
      </c>
      <c r="F26" s="8">
        <v>11.6</v>
      </c>
      <c r="G26" s="12">
        <v>1</v>
      </c>
      <c r="H26" s="8">
        <v>0.35</v>
      </c>
      <c r="I26" s="12">
        <v>0</v>
      </c>
    </row>
    <row r="27" spans="2:9" ht="15" customHeight="1" x14ac:dyDescent="0.2">
      <c r="B27" t="s">
        <v>66</v>
      </c>
      <c r="C27" s="12">
        <v>50</v>
      </c>
      <c r="D27" s="8">
        <v>6.62</v>
      </c>
      <c r="E27" s="12">
        <v>27</v>
      </c>
      <c r="F27" s="8">
        <v>5.91</v>
      </c>
      <c r="G27" s="12">
        <v>23</v>
      </c>
      <c r="H27" s="8">
        <v>8.0399999999999991</v>
      </c>
      <c r="I27" s="12">
        <v>0</v>
      </c>
    </row>
    <row r="28" spans="2:9" ht="15" customHeight="1" x14ac:dyDescent="0.2">
      <c r="B28" t="s">
        <v>70</v>
      </c>
      <c r="C28" s="12">
        <v>48</v>
      </c>
      <c r="D28" s="8">
        <v>6.36</v>
      </c>
      <c r="E28" s="12">
        <v>36</v>
      </c>
      <c r="F28" s="8">
        <v>7.88</v>
      </c>
      <c r="G28" s="12">
        <v>12</v>
      </c>
      <c r="H28" s="8">
        <v>4.2</v>
      </c>
      <c r="I28" s="12">
        <v>0</v>
      </c>
    </row>
    <row r="29" spans="2:9" ht="15" customHeight="1" x14ac:dyDescent="0.2">
      <c r="B29" t="s">
        <v>71</v>
      </c>
      <c r="C29" s="12">
        <v>48</v>
      </c>
      <c r="D29" s="8">
        <v>6.36</v>
      </c>
      <c r="E29" s="12">
        <v>35</v>
      </c>
      <c r="F29" s="8">
        <v>7.66</v>
      </c>
      <c r="G29" s="12">
        <v>13</v>
      </c>
      <c r="H29" s="8">
        <v>4.55</v>
      </c>
      <c r="I29" s="12">
        <v>0</v>
      </c>
    </row>
    <row r="30" spans="2:9" ht="15" customHeight="1" x14ac:dyDescent="0.2">
      <c r="B30" t="s">
        <v>73</v>
      </c>
      <c r="C30" s="12">
        <v>39</v>
      </c>
      <c r="D30" s="8">
        <v>5.17</v>
      </c>
      <c r="E30" s="12">
        <v>13</v>
      </c>
      <c r="F30" s="8">
        <v>2.84</v>
      </c>
      <c r="G30" s="12">
        <v>26</v>
      </c>
      <c r="H30" s="8">
        <v>9.09</v>
      </c>
      <c r="I30" s="12">
        <v>0</v>
      </c>
    </row>
    <row r="31" spans="2:9" ht="15" customHeight="1" x14ac:dyDescent="0.2">
      <c r="B31" t="s">
        <v>67</v>
      </c>
      <c r="C31" s="12">
        <v>36</v>
      </c>
      <c r="D31" s="8">
        <v>4.7699999999999996</v>
      </c>
      <c r="E31" s="12">
        <v>16</v>
      </c>
      <c r="F31" s="8">
        <v>3.5</v>
      </c>
      <c r="G31" s="12">
        <v>20</v>
      </c>
      <c r="H31" s="8">
        <v>6.99</v>
      </c>
      <c r="I31" s="12">
        <v>0</v>
      </c>
    </row>
    <row r="32" spans="2:9" ht="15" customHeight="1" x14ac:dyDescent="0.2">
      <c r="B32" t="s">
        <v>65</v>
      </c>
      <c r="C32" s="12">
        <v>35</v>
      </c>
      <c r="D32" s="8">
        <v>4.6399999999999997</v>
      </c>
      <c r="E32" s="12">
        <v>10</v>
      </c>
      <c r="F32" s="8">
        <v>2.19</v>
      </c>
      <c r="G32" s="12">
        <v>25</v>
      </c>
      <c r="H32" s="8">
        <v>8.74</v>
      </c>
      <c r="I32" s="12">
        <v>0</v>
      </c>
    </row>
    <row r="33" spans="2:9" ht="15" customHeight="1" x14ac:dyDescent="0.2">
      <c r="B33" t="s">
        <v>84</v>
      </c>
      <c r="C33" s="12">
        <v>27</v>
      </c>
      <c r="D33" s="8">
        <v>3.58</v>
      </c>
      <c r="E33" s="12">
        <v>26</v>
      </c>
      <c r="F33" s="8">
        <v>5.69</v>
      </c>
      <c r="G33" s="12">
        <v>1</v>
      </c>
      <c r="H33" s="8">
        <v>0.35</v>
      </c>
      <c r="I33" s="12">
        <v>0</v>
      </c>
    </row>
    <row r="34" spans="2:9" ht="15" customHeight="1" x14ac:dyDescent="0.2">
      <c r="B34" t="s">
        <v>69</v>
      </c>
      <c r="C34" s="12">
        <v>24</v>
      </c>
      <c r="D34" s="8">
        <v>3.18</v>
      </c>
      <c r="E34" s="12">
        <v>18</v>
      </c>
      <c r="F34" s="8">
        <v>3.94</v>
      </c>
      <c r="G34" s="12">
        <v>6</v>
      </c>
      <c r="H34" s="8">
        <v>2.1</v>
      </c>
      <c r="I34" s="12">
        <v>0</v>
      </c>
    </row>
    <row r="35" spans="2:9" ht="15" customHeight="1" x14ac:dyDescent="0.2">
      <c r="B35" t="s">
        <v>92</v>
      </c>
      <c r="C35" s="12">
        <v>23</v>
      </c>
      <c r="D35" s="8">
        <v>3.05</v>
      </c>
      <c r="E35" s="12">
        <v>13</v>
      </c>
      <c r="F35" s="8">
        <v>2.84</v>
      </c>
      <c r="G35" s="12">
        <v>10</v>
      </c>
      <c r="H35" s="8">
        <v>3.5</v>
      </c>
      <c r="I35" s="12">
        <v>0</v>
      </c>
    </row>
    <row r="36" spans="2:9" ht="15" customHeight="1" x14ac:dyDescent="0.2">
      <c r="B36" t="s">
        <v>83</v>
      </c>
      <c r="C36" s="12">
        <v>16</v>
      </c>
      <c r="D36" s="8">
        <v>2.12</v>
      </c>
      <c r="E36" s="12">
        <v>3</v>
      </c>
      <c r="F36" s="8">
        <v>0.66</v>
      </c>
      <c r="G36" s="12">
        <v>9</v>
      </c>
      <c r="H36" s="8">
        <v>3.15</v>
      </c>
      <c r="I36" s="12">
        <v>0</v>
      </c>
    </row>
    <row r="37" spans="2:9" ht="15" customHeight="1" x14ac:dyDescent="0.2">
      <c r="B37" t="s">
        <v>74</v>
      </c>
      <c r="C37" s="12">
        <v>15</v>
      </c>
      <c r="D37" s="8">
        <v>1.99</v>
      </c>
      <c r="E37" s="12">
        <v>11</v>
      </c>
      <c r="F37" s="8">
        <v>2.41</v>
      </c>
      <c r="G37" s="12">
        <v>4</v>
      </c>
      <c r="H37" s="8">
        <v>1.4</v>
      </c>
      <c r="I37" s="12">
        <v>0</v>
      </c>
    </row>
    <row r="38" spans="2:9" ht="15" customHeight="1" x14ac:dyDescent="0.2">
      <c r="B38" t="s">
        <v>72</v>
      </c>
      <c r="C38" s="12">
        <v>13</v>
      </c>
      <c r="D38" s="8">
        <v>1.72</v>
      </c>
      <c r="E38" s="12">
        <v>2</v>
      </c>
      <c r="F38" s="8">
        <v>0.44</v>
      </c>
      <c r="G38" s="12">
        <v>11</v>
      </c>
      <c r="H38" s="8">
        <v>3.85</v>
      </c>
      <c r="I38" s="12">
        <v>0</v>
      </c>
    </row>
    <row r="39" spans="2:9" ht="15" customHeight="1" x14ac:dyDescent="0.2">
      <c r="B39" t="s">
        <v>82</v>
      </c>
      <c r="C39" s="12">
        <v>12</v>
      </c>
      <c r="D39" s="8">
        <v>1.59</v>
      </c>
      <c r="E39" s="12">
        <v>10</v>
      </c>
      <c r="F39" s="8">
        <v>2.19</v>
      </c>
      <c r="G39" s="12">
        <v>2</v>
      </c>
      <c r="H39" s="8">
        <v>0.7</v>
      </c>
      <c r="I39" s="12">
        <v>0</v>
      </c>
    </row>
    <row r="40" spans="2:9" ht="15" customHeight="1" x14ac:dyDescent="0.2">
      <c r="B40" t="s">
        <v>110</v>
      </c>
      <c r="C40" s="12">
        <v>12</v>
      </c>
      <c r="D40" s="8">
        <v>1.59</v>
      </c>
      <c r="E40" s="12">
        <v>8</v>
      </c>
      <c r="F40" s="8">
        <v>1.75</v>
      </c>
      <c r="G40" s="12">
        <v>4</v>
      </c>
      <c r="H40" s="8">
        <v>1.4</v>
      </c>
      <c r="I40" s="12">
        <v>0</v>
      </c>
    </row>
    <row r="41" spans="2:9" ht="15" customHeight="1" x14ac:dyDescent="0.2">
      <c r="B41" t="s">
        <v>75</v>
      </c>
      <c r="C41" s="12">
        <v>11</v>
      </c>
      <c r="D41" s="8">
        <v>1.46</v>
      </c>
      <c r="E41" s="12">
        <v>4</v>
      </c>
      <c r="F41" s="8">
        <v>0.88</v>
      </c>
      <c r="G41" s="12">
        <v>7</v>
      </c>
      <c r="H41" s="8">
        <v>2.4500000000000002</v>
      </c>
      <c r="I41" s="12">
        <v>0</v>
      </c>
    </row>
    <row r="42" spans="2:9" ht="15" customHeight="1" x14ac:dyDescent="0.2">
      <c r="B42" t="s">
        <v>90</v>
      </c>
      <c r="C42" s="12">
        <v>10</v>
      </c>
      <c r="D42" s="8">
        <v>1.32</v>
      </c>
      <c r="E42" s="12">
        <v>3</v>
      </c>
      <c r="F42" s="8">
        <v>0.66</v>
      </c>
      <c r="G42" s="12">
        <v>7</v>
      </c>
      <c r="H42" s="8">
        <v>2.4500000000000002</v>
      </c>
      <c r="I42" s="12">
        <v>0</v>
      </c>
    </row>
    <row r="43" spans="2:9" ht="15" customHeight="1" x14ac:dyDescent="0.2">
      <c r="B43" t="s">
        <v>68</v>
      </c>
      <c r="C43" s="12">
        <v>10</v>
      </c>
      <c r="D43" s="8">
        <v>1.32</v>
      </c>
      <c r="E43" s="12">
        <v>3</v>
      </c>
      <c r="F43" s="8">
        <v>0.66</v>
      </c>
      <c r="G43" s="12">
        <v>7</v>
      </c>
      <c r="H43" s="8">
        <v>2.4500000000000002</v>
      </c>
      <c r="I43" s="12">
        <v>0</v>
      </c>
    </row>
    <row r="46" spans="2:9" ht="33" customHeight="1" x14ac:dyDescent="0.2">
      <c r="B46" t="s">
        <v>262</v>
      </c>
      <c r="C46" s="10" t="s">
        <v>58</v>
      </c>
      <c r="D46" s="10" t="s">
        <v>59</v>
      </c>
      <c r="E46" s="10" t="s">
        <v>60</v>
      </c>
      <c r="F46" s="10" t="s">
        <v>61</v>
      </c>
      <c r="G46" s="10" t="s">
        <v>62</v>
      </c>
      <c r="H46" s="10" t="s">
        <v>63</v>
      </c>
      <c r="I46" s="10" t="s">
        <v>64</v>
      </c>
    </row>
    <row r="47" spans="2:9" ht="15" customHeight="1" x14ac:dyDescent="0.2">
      <c r="B47" t="s">
        <v>139</v>
      </c>
      <c r="C47" s="12">
        <v>43</v>
      </c>
      <c r="D47" s="8">
        <v>5.7</v>
      </c>
      <c r="E47" s="12">
        <v>43</v>
      </c>
      <c r="F47" s="8">
        <v>9.41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124</v>
      </c>
      <c r="C48" s="12">
        <v>37</v>
      </c>
      <c r="D48" s="8">
        <v>4.9000000000000004</v>
      </c>
      <c r="E48" s="12">
        <v>29</v>
      </c>
      <c r="F48" s="8">
        <v>6.35</v>
      </c>
      <c r="G48" s="12">
        <v>8</v>
      </c>
      <c r="H48" s="8">
        <v>2.8</v>
      </c>
      <c r="I48" s="12">
        <v>0</v>
      </c>
    </row>
    <row r="49" spans="2:9" ht="15" customHeight="1" x14ac:dyDescent="0.2">
      <c r="B49" t="s">
        <v>136</v>
      </c>
      <c r="C49" s="12">
        <v>35</v>
      </c>
      <c r="D49" s="8">
        <v>4.6399999999999997</v>
      </c>
      <c r="E49" s="12">
        <v>33</v>
      </c>
      <c r="F49" s="8">
        <v>7.22</v>
      </c>
      <c r="G49" s="12">
        <v>2</v>
      </c>
      <c r="H49" s="8">
        <v>0.7</v>
      </c>
      <c r="I49" s="12">
        <v>0</v>
      </c>
    </row>
    <row r="50" spans="2:9" ht="15" customHeight="1" x14ac:dyDescent="0.2">
      <c r="B50" t="s">
        <v>128</v>
      </c>
      <c r="C50" s="12">
        <v>29</v>
      </c>
      <c r="D50" s="8">
        <v>3.84</v>
      </c>
      <c r="E50" s="12">
        <v>7</v>
      </c>
      <c r="F50" s="8">
        <v>1.53</v>
      </c>
      <c r="G50" s="12">
        <v>22</v>
      </c>
      <c r="H50" s="8">
        <v>7.69</v>
      </c>
      <c r="I50" s="12">
        <v>0</v>
      </c>
    </row>
    <row r="51" spans="2:9" ht="15" customHeight="1" x14ac:dyDescent="0.2">
      <c r="B51" t="s">
        <v>132</v>
      </c>
      <c r="C51" s="12">
        <v>28</v>
      </c>
      <c r="D51" s="8">
        <v>3.71</v>
      </c>
      <c r="E51" s="12">
        <v>24</v>
      </c>
      <c r="F51" s="8">
        <v>5.25</v>
      </c>
      <c r="G51" s="12">
        <v>4</v>
      </c>
      <c r="H51" s="8">
        <v>1.4</v>
      </c>
      <c r="I51" s="12">
        <v>0</v>
      </c>
    </row>
    <row r="52" spans="2:9" ht="15" customHeight="1" x14ac:dyDescent="0.2">
      <c r="B52" t="s">
        <v>141</v>
      </c>
      <c r="C52" s="12">
        <v>27</v>
      </c>
      <c r="D52" s="8">
        <v>3.58</v>
      </c>
      <c r="E52" s="12">
        <v>26</v>
      </c>
      <c r="F52" s="8">
        <v>5.69</v>
      </c>
      <c r="G52" s="12">
        <v>1</v>
      </c>
      <c r="H52" s="8">
        <v>0.35</v>
      </c>
      <c r="I52" s="12">
        <v>0</v>
      </c>
    </row>
    <row r="53" spans="2:9" ht="15" customHeight="1" x14ac:dyDescent="0.2">
      <c r="B53" t="s">
        <v>135</v>
      </c>
      <c r="C53" s="12">
        <v>22</v>
      </c>
      <c r="D53" s="8">
        <v>2.91</v>
      </c>
      <c r="E53" s="12">
        <v>22</v>
      </c>
      <c r="F53" s="8">
        <v>4.8099999999999996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146</v>
      </c>
      <c r="C54" s="12">
        <v>20</v>
      </c>
      <c r="D54" s="8">
        <v>2.65</v>
      </c>
      <c r="E54" s="12">
        <v>12</v>
      </c>
      <c r="F54" s="8">
        <v>2.63</v>
      </c>
      <c r="G54" s="12">
        <v>8</v>
      </c>
      <c r="H54" s="8">
        <v>2.8</v>
      </c>
      <c r="I54" s="12">
        <v>0</v>
      </c>
    </row>
    <row r="55" spans="2:9" ht="15" customHeight="1" x14ac:dyDescent="0.2">
      <c r="B55" t="s">
        <v>201</v>
      </c>
      <c r="C55" s="12">
        <v>20</v>
      </c>
      <c r="D55" s="8">
        <v>2.65</v>
      </c>
      <c r="E55" s="12">
        <v>12</v>
      </c>
      <c r="F55" s="8">
        <v>2.63</v>
      </c>
      <c r="G55" s="12">
        <v>8</v>
      </c>
      <c r="H55" s="8">
        <v>2.8</v>
      </c>
      <c r="I55" s="12">
        <v>0</v>
      </c>
    </row>
    <row r="56" spans="2:9" ht="15" customHeight="1" x14ac:dyDescent="0.2">
      <c r="B56" t="s">
        <v>151</v>
      </c>
      <c r="C56" s="12">
        <v>19</v>
      </c>
      <c r="D56" s="8">
        <v>2.52</v>
      </c>
      <c r="E56" s="12">
        <v>6</v>
      </c>
      <c r="F56" s="8">
        <v>1.31</v>
      </c>
      <c r="G56" s="12">
        <v>13</v>
      </c>
      <c r="H56" s="8">
        <v>4.55</v>
      </c>
      <c r="I56" s="12">
        <v>0</v>
      </c>
    </row>
    <row r="57" spans="2:9" ht="15" customHeight="1" x14ac:dyDescent="0.2">
      <c r="B57" t="s">
        <v>133</v>
      </c>
      <c r="C57" s="12">
        <v>16</v>
      </c>
      <c r="D57" s="8">
        <v>2.12</v>
      </c>
      <c r="E57" s="12">
        <v>16</v>
      </c>
      <c r="F57" s="8">
        <v>3.5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187</v>
      </c>
      <c r="C58" s="12">
        <v>14</v>
      </c>
      <c r="D58" s="8">
        <v>1.85</v>
      </c>
      <c r="E58" s="12">
        <v>5</v>
      </c>
      <c r="F58" s="8">
        <v>1.0900000000000001</v>
      </c>
      <c r="G58" s="12">
        <v>9</v>
      </c>
      <c r="H58" s="8">
        <v>3.15</v>
      </c>
      <c r="I58" s="12">
        <v>0</v>
      </c>
    </row>
    <row r="59" spans="2:9" ht="15" customHeight="1" x14ac:dyDescent="0.2">
      <c r="B59" t="s">
        <v>123</v>
      </c>
      <c r="C59" s="12">
        <v>12</v>
      </c>
      <c r="D59" s="8">
        <v>1.59</v>
      </c>
      <c r="E59" s="12">
        <v>9</v>
      </c>
      <c r="F59" s="8">
        <v>1.97</v>
      </c>
      <c r="G59" s="12">
        <v>3</v>
      </c>
      <c r="H59" s="8">
        <v>1.05</v>
      </c>
      <c r="I59" s="12">
        <v>0</v>
      </c>
    </row>
    <row r="60" spans="2:9" ht="15" customHeight="1" x14ac:dyDescent="0.2">
      <c r="B60" t="s">
        <v>126</v>
      </c>
      <c r="C60" s="12">
        <v>12</v>
      </c>
      <c r="D60" s="8">
        <v>1.59</v>
      </c>
      <c r="E60" s="12">
        <v>9</v>
      </c>
      <c r="F60" s="8">
        <v>1.97</v>
      </c>
      <c r="G60" s="12">
        <v>3</v>
      </c>
      <c r="H60" s="8">
        <v>1.05</v>
      </c>
      <c r="I60" s="12">
        <v>0</v>
      </c>
    </row>
    <row r="61" spans="2:9" ht="15" customHeight="1" x14ac:dyDescent="0.2">
      <c r="B61" t="s">
        <v>122</v>
      </c>
      <c r="C61" s="12">
        <v>11</v>
      </c>
      <c r="D61" s="8">
        <v>1.46</v>
      </c>
      <c r="E61" s="12">
        <v>3</v>
      </c>
      <c r="F61" s="8">
        <v>0.66</v>
      </c>
      <c r="G61" s="12">
        <v>8</v>
      </c>
      <c r="H61" s="8">
        <v>2.8</v>
      </c>
      <c r="I61" s="12">
        <v>0</v>
      </c>
    </row>
    <row r="62" spans="2:9" ht="15" customHeight="1" x14ac:dyDescent="0.2">
      <c r="B62" t="s">
        <v>125</v>
      </c>
      <c r="C62" s="12">
        <v>11</v>
      </c>
      <c r="D62" s="8">
        <v>1.46</v>
      </c>
      <c r="E62" s="12">
        <v>6</v>
      </c>
      <c r="F62" s="8">
        <v>1.31</v>
      </c>
      <c r="G62" s="12">
        <v>5</v>
      </c>
      <c r="H62" s="8">
        <v>1.75</v>
      </c>
      <c r="I62" s="12">
        <v>0</v>
      </c>
    </row>
    <row r="63" spans="2:9" ht="15" customHeight="1" x14ac:dyDescent="0.2">
      <c r="B63" t="s">
        <v>131</v>
      </c>
      <c r="C63" s="12">
        <v>11</v>
      </c>
      <c r="D63" s="8">
        <v>1.46</v>
      </c>
      <c r="E63" s="12">
        <v>11</v>
      </c>
      <c r="F63" s="8">
        <v>2.41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152</v>
      </c>
      <c r="C64" s="12">
        <v>11</v>
      </c>
      <c r="D64" s="8">
        <v>1.46</v>
      </c>
      <c r="E64" s="12">
        <v>3</v>
      </c>
      <c r="F64" s="8">
        <v>0.66</v>
      </c>
      <c r="G64" s="12">
        <v>4</v>
      </c>
      <c r="H64" s="8">
        <v>1.4</v>
      </c>
      <c r="I64" s="12">
        <v>0</v>
      </c>
    </row>
    <row r="65" spans="2:9" ht="15" customHeight="1" x14ac:dyDescent="0.2">
      <c r="B65" t="s">
        <v>175</v>
      </c>
      <c r="C65" s="12">
        <v>10</v>
      </c>
      <c r="D65" s="8">
        <v>1.32</v>
      </c>
      <c r="E65" s="12">
        <v>7</v>
      </c>
      <c r="F65" s="8">
        <v>1.53</v>
      </c>
      <c r="G65" s="12">
        <v>3</v>
      </c>
      <c r="H65" s="8">
        <v>1.05</v>
      </c>
      <c r="I65" s="12">
        <v>0</v>
      </c>
    </row>
    <row r="66" spans="2:9" ht="15" customHeight="1" x14ac:dyDescent="0.2">
      <c r="B66" t="s">
        <v>145</v>
      </c>
      <c r="C66" s="12">
        <v>10</v>
      </c>
      <c r="D66" s="8">
        <v>1.32</v>
      </c>
      <c r="E66" s="12">
        <v>1</v>
      </c>
      <c r="F66" s="8">
        <v>0.22</v>
      </c>
      <c r="G66" s="12">
        <v>9</v>
      </c>
      <c r="H66" s="8">
        <v>3.15</v>
      </c>
      <c r="I66" s="12">
        <v>0</v>
      </c>
    </row>
    <row r="67" spans="2:9" ht="15" customHeight="1" x14ac:dyDescent="0.2">
      <c r="B67" t="s">
        <v>138</v>
      </c>
      <c r="C67" s="12">
        <v>10</v>
      </c>
      <c r="D67" s="8">
        <v>1.32</v>
      </c>
      <c r="E67" s="12">
        <v>10</v>
      </c>
      <c r="F67" s="8">
        <v>2.19</v>
      </c>
      <c r="G67" s="12">
        <v>0</v>
      </c>
      <c r="H67" s="8">
        <v>0</v>
      </c>
      <c r="I67" s="12">
        <v>0</v>
      </c>
    </row>
    <row r="69" spans="2:9" ht="15" customHeight="1" x14ac:dyDescent="0.2">
      <c r="B69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BFCFA-6594-4882-B686-5480742A7B03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290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39</v>
      </c>
      <c r="D6" s="8">
        <v>9.2899999999999991</v>
      </c>
      <c r="E6" s="12">
        <v>16</v>
      </c>
      <c r="F6" s="8">
        <v>5.82</v>
      </c>
      <c r="G6" s="12">
        <v>23</v>
      </c>
      <c r="H6" s="8">
        <v>16.55</v>
      </c>
      <c r="I6" s="12">
        <v>0</v>
      </c>
    </row>
    <row r="7" spans="2:9" ht="15" customHeight="1" x14ac:dyDescent="0.2">
      <c r="B7" t="s">
        <v>44</v>
      </c>
      <c r="C7" s="12">
        <v>19</v>
      </c>
      <c r="D7" s="8">
        <v>4.5199999999999996</v>
      </c>
      <c r="E7" s="12">
        <v>12</v>
      </c>
      <c r="F7" s="8">
        <v>4.3600000000000003</v>
      </c>
      <c r="G7" s="12">
        <v>7</v>
      </c>
      <c r="H7" s="8">
        <v>5.04</v>
      </c>
      <c r="I7" s="12">
        <v>0</v>
      </c>
    </row>
    <row r="8" spans="2:9" ht="15" customHeight="1" x14ac:dyDescent="0.2">
      <c r="B8" t="s">
        <v>45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46</v>
      </c>
      <c r="C9" s="12">
        <v>4</v>
      </c>
      <c r="D9" s="8">
        <v>0.95</v>
      </c>
      <c r="E9" s="12">
        <v>1</v>
      </c>
      <c r="F9" s="8">
        <v>0.36</v>
      </c>
      <c r="G9" s="12">
        <v>3</v>
      </c>
      <c r="H9" s="8">
        <v>2.16</v>
      </c>
      <c r="I9" s="12">
        <v>0</v>
      </c>
    </row>
    <row r="10" spans="2:9" ht="15" customHeight="1" x14ac:dyDescent="0.2">
      <c r="B10" t="s">
        <v>47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48</v>
      </c>
      <c r="C11" s="12">
        <v>97</v>
      </c>
      <c r="D11" s="8">
        <v>23.1</v>
      </c>
      <c r="E11" s="12">
        <v>51</v>
      </c>
      <c r="F11" s="8">
        <v>18.55</v>
      </c>
      <c r="G11" s="12">
        <v>46</v>
      </c>
      <c r="H11" s="8">
        <v>33.090000000000003</v>
      </c>
      <c r="I11" s="12">
        <v>0</v>
      </c>
    </row>
    <row r="12" spans="2:9" ht="15" customHeight="1" x14ac:dyDescent="0.2">
      <c r="B12" t="s">
        <v>49</v>
      </c>
      <c r="C12" s="12">
        <v>4</v>
      </c>
      <c r="D12" s="8">
        <v>0.95</v>
      </c>
      <c r="E12" s="12">
        <v>2</v>
      </c>
      <c r="F12" s="8">
        <v>0.73</v>
      </c>
      <c r="G12" s="12">
        <v>2</v>
      </c>
      <c r="H12" s="8">
        <v>1.44</v>
      </c>
      <c r="I12" s="12">
        <v>0</v>
      </c>
    </row>
    <row r="13" spans="2:9" ht="15" customHeight="1" x14ac:dyDescent="0.2">
      <c r="B13" t="s">
        <v>50</v>
      </c>
      <c r="C13" s="12">
        <v>43</v>
      </c>
      <c r="D13" s="8">
        <v>10.24</v>
      </c>
      <c r="E13" s="12">
        <v>22</v>
      </c>
      <c r="F13" s="8">
        <v>8</v>
      </c>
      <c r="G13" s="12">
        <v>21</v>
      </c>
      <c r="H13" s="8">
        <v>15.11</v>
      </c>
      <c r="I13" s="12">
        <v>0</v>
      </c>
    </row>
    <row r="14" spans="2:9" ht="15" customHeight="1" x14ac:dyDescent="0.2">
      <c r="B14" t="s">
        <v>51</v>
      </c>
      <c r="C14" s="12">
        <v>20</v>
      </c>
      <c r="D14" s="8">
        <v>4.76</v>
      </c>
      <c r="E14" s="12">
        <v>13</v>
      </c>
      <c r="F14" s="8">
        <v>4.7300000000000004</v>
      </c>
      <c r="G14" s="12">
        <v>6</v>
      </c>
      <c r="H14" s="8">
        <v>4.32</v>
      </c>
      <c r="I14" s="12">
        <v>0</v>
      </c>
    </row>
    <row r="15" spans="2:9" ht="15" customHeight="1" x14ac:dyDescent="0.2">
      <c r="B15" t="s">
        <v>52</v>
      </c>
      <c r="C15" s="12">
        <v>70</v>
      </c>
      <c r="D15" s="8">
        <v>16.670000000000002</v>
      </c>
      <c r="E15" s="12">
        <v>67</v>
      </c>
      <c r="F15" s="8">
        <v>24.36</v>
      </c>
      <c r="G15" s="12">
        <v>3</v>
      </c>
      <c r="H15" s="8">
        <v>2.16</v>
      </c>
      <c r="I15" s="12">
        <v>0</v>
      </c>
    </row>
    <row r="16" spans="2:9" ht="15" customHeight="1" x14ac:dyDescent="0.2">
      <c r="B16" t="s">
        <v>53</v>
      </c>
      <c r="C16" s="12">
        <v>49</v>
      </c>
      <c r="D16" s="8">
        <v>11.67</v>
      </c>
      <c r="E16" s="12">
        <v>40</v>
      </c>
      <c r="F16" s="8">
        <v>14.55</v>
      </c>
      <c r="G16" s="12">
        <v>9</v>
      </c>
      <c r="H16" s="8">
        <v>6.47</v>
      </c>
      <c r="I16" s="12">
        <v>0</v>
      </c>
    </row>
    <row r="17" spans="2:9" ht="15" customHeight="1" x14ac:dyDescent="0.2">
      <c r="B17" t="s">
        <v>54</v>
      </c>
      <c r="C17" s="12">
        <v>31</v>
      </c>
      <c r="D17" s="8">
        <v>7.38</v>
      </c>
      <c r="E17" s="12">
        <v>26</v>
      </c>
      <c r="F17" s="8">
        <v>9.4499999999999993</v>
      </c>
      <c r="G17" s="12">
        <v>2</v>
      </c>
      <c r="H17" s="8">
        <v>1.44</v>
      </c>
      <c r="I17" s="12">
        <v>0</v>
      </c>
    </row>
    <row r="18" spans="2:9" ht="15" customHeight="1" x14ac:dyDescent="0.2">
      <c r="B18" t="s">
        <v>55</v>
      </c>
      <c r="C18" s="12">
        <v>24</v>
      </c>
      <c r="D18" s="8">
        <v>5.71</v>
      </c>
      <c r="E18" s="12">
        <v>11</v>
      </c>
      <c r="F18" s="8">
        <v>4</v>
      </c>
      <c r="G18" s="12">
        <v>11</v>
      </c>
      <c r="H18" s="8">
        <v>7.91</v>
      </c>
      <c r="I18" s="12">
        <v>0</v>
      </c>
    </row>
    <row r="19" spans="2:9" ht="15" customHeight="1" x14ac:dyDescent="0.2">
      <c r="B19" t="s">
        <v>56</v>
      </c>
      <c r="C19" s="12">
        <v>20</v>
      </c>
      <c r="D19" s="8">
        <v>4.76</v>
      </c>
      <c r="E19" s="12">
        <v>14</v>
      </c>
      <c r="F19" s="8">
        <v>5.09</v>
      </c>
      <c r="G19" s="12">
        <v>6</v>
      </c>
      <c r="H19" s="8">
        <v>4.32</v>
      </c>
      <c r="I19" s="12">
        <v>0</v>
      </c>
    </row>
    <row r="20" spans="2:9" ht="15" customHeight="1" x14ac:dyDescent="0.2">
      <c r="B20" s="9" t="s">
        <v>260</v>
      </c>
      <c r="C20" s="12">
        <f>SUM(LTBL_47348[総数／事業所数])</f>
        <v>420</v>
      </c>
      <c r="E20" s="12">
        <f>SUBTOTAL(109,LTBL_47348[個人／事業所数])</f>
        <v>275</v>
      </c>
      <c r="G20" s="12">
        <f>SUBTOTAL(109,LTBL_47348[法人／事業所数])</f>
        <v>139</v>
      </c>
      <c r="I20" s="12">
        <f>SUBTOTAL(109,LTBL_47348[法人以外の団体／事業所数])</f>
        <v>0</v>
      </c>
    </row>
    <row r="21" spans="2:9" ht="15" customHeight="1" x14ac:dyDescent="0.2">
      <c r="E21" s="11">
        <f>LTBL_47348[[#Totals],[個人／事業所数]]/LTBL_47348[[#Totals],[総数／事業所数]]</f>
        <v>0.65476190476190477</v>
      </c>
      <c r="G21" s="11">
        <f>LTBL_47348[[#Totals],[法人／事業所数]]/LTBL_47348[[#Totals],[総数／事業所数]]</f>
        <v>0.33095238095238094</v>
      </c>
      <c r="I21" s="11">
        <f>LTBL_47348[[#Totals],[法人以外の団体／事業所数]]/LTBL_47348[[#Totals],[総数／事業所数]]</f>
        <v>0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77</v>
      </c>
      <c r="C24" s="12">
        <v>63</v>
      </c>
      <c r="D24" s="8">
        <v>15</v>
      </c>
      <c r="E24" s="12">
        <v>62</v>
      </c>
      <c r="F24" s="8">
        <v>22.55</v>
      </c>
      <c r="G24" s="12">
        <v>1</v>
      </c>
      <c r="H24" s="8">
        <v>0.72</v>
      </c>
      <c r="I24" s="12">
        <v>0</v>
      </c>
    </row>
    <row r="25" spans="2:9" ht="15" customHeight="1" x14ac:dyDescent="0.2">
      <c r="B25" t="s">
        <v>78</v>
      </c>
      <c r="C25" s="12">
        <v>43</v>
      </c>
      <c r="D25" s="8">
        <v>10.24</v>
      </c>
      <c r="E25" s="12">
        <v>38</v>
      </c>
      <c r="F25" s="8">
        <v>13.82</v>
      </c>
      <c r="G25" s="12">
        <v>5</v>
      </c>
      <c r="H25" s="8">
        <v>3.6</v>
      </c>
      <c r="I25" s="12">
        <v>0</v>
      </c>
    </row>
    <row r="26" spans="2:9" ht="15" customHeight="1" x14ac:dyDescent="0.2">
      <c r="B26" t="s">
        <v>73</v>
      </c>
      <c r="C26" s="12">
        <v>39</v>
      </c>
      <c r="D26" s="8">
        <v>9.2899999999999991</v>
      </c>
      <c r="E26" s="12">
        <v>22</v>
      </c>
      <c r="F26" s="8">
        <v>8</v>
      </c>
      <c r="G26" s="12">
        <v>17</v>
      </c>
      <c r="H26" s="8">
        <v>12.23</v>
      </c>
      <c r="I26" s="12">
        <v>0</v>
      </c>
    </row>
    <row r="27" spans="2:9" ht="15" customHeight="1" x14ac:dyDescent="0.2">
      <c r="B27" t="s">
        <v>71</v>
      </c>
      <c r="C27" s="12">
        <v>36</v>
      </c>
      <c r="D27" s="8">
        <v>8.57</v>
      </c>
      <c r="E27" s="12">
        <v>23</v>
      </c>
      <c r="F27" s="8">
        <v>8.36</v>
      </c>
      <c r="G27" s="12">
        <v>13</v>
      </c>
      <c r="H27" s="8">
        <v>9.35</v>
      </c>
      <c r="I27" s="12">
        <v>0</v>
      </c>
    </row>
    <row r="28" spans="2:9" ht="15" customHeight="1" x14ac:dyDescent="0.2">
      <c r="B28" t="s">
        <v>81</v>
      </c>
      <c r="C28" s="12">
        <v>31</v>
      </c>
      <c r="D28" s="8">
        <v>7.38</v>
      </c>
      <c r="E28" s="12">
        <v>26</v>
      </c>
      <c r="F28" s="8">
        <v>9.4499999999999993</v>
      </c>
      <c r="G28" s="12">
        <v>2</v>
      </c>
      <c r="H28" s="8">
        <v>1.44</v>
      </c>
      <c r="I28" s="12">
        <v>0</v>
      </c>
    </row>
    <row r="29" spans="2:9" ht="15" customHeight="1" x14ac:dyDescent="0.2">
      <c r="B29" t="s">
        <v>65</v>
      </c>
      <c r="C29" s="12">
        <v>17</v>
      </c>
      <c r="D29" s="8">
        <v>4.05</v>
      </c>
      <c r="E29" s="12">
        <v>2</v>
      </c>
      <c r="F29" s="8">
        <v>0.73</v>
      </c>
      <c r="G29" s="12">
        <v>15</v>
      </c>
      <c r="H29" s="8">
        <v>10.79</v>
      </c>
      <c r="I29" s="12">
        <v>0</v>
      </c>
    </row>
    <row r="30" spans="2:9" ht="15" customHeight="1" x14ac:dyDescent="0.2">
      <c r="B30" t="s">
        <v>66</v>
      </c>
      <c r="C30" s="12">
        <v>15</v>
      </c>
      <c r="D30" s="8">
        <v>3.57</v>
      </c>
      <c r="E30" s="12">
        <v>11</v>
      </c>
      <c r="F30" s="8">
        <v>4</v>
      </c>
      <c r="G30" s="12">
        <v>4</v>
      </c>
      <c r="H30" s="8">
        <v>2.88</v>
      </c>
      <c r="I30" s="12">
        <v>0</v>
      </c>
    </row>
    <row r="31" spans="2:9" ht="15" customHeight="1" x14ac:dyDescent="0.2">
      <c r="B31" t="s">
        <v>70</v>
      </c>
      <c r="C31" s="12">
        <v>14</v>
      </c>
      <c r="D31" s="8">
        <v>3.33</v>
      </c>
      <c r="E31" s="12">
        <v>9</v>
      </c>
      <c r="F31" s="8">
        <v>3.27</v>
      </c>
      <c r="G31" s="12">
        <v>5</v>
      </c>
      <c r="H31" s="8">
        <v>3.6</v>
      </c>
      <c r="I31" s="12">
        <v>0</v>
      </c>
    </row>
    <row r="32" spans="2:9" ht="15" customHeight="1" x14ac:dyDescent="0.2">
      <c r="B32" t="s">
        <v>84</v>
      </c>
      <c r="C32" s="12">
        <v>14</v>
      </c>
      <c r="D32" s="8">
        <v>3.33</v>
      </c>
      <c r="E32" s="12">
        <v>14</v>
      </c>
      <c r="F32" s="8">
        <v>5.09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69</v>
      </c>
      <c r="C33" s="12">
        <v>13</v>
      </c>
      <c r="D33" s="8">
        <v>3.1</v>
      </c>
      <c r="E33" s="12">
        <v>11</v>
      </c>
      <c r="F33" s="8">
        <v>4</v>
      </c>
      <c r="G33" s="12">
        <v>2</v>
      </c>
      <c r="H33" s="8">
        <v>1.44</v>
      </c>
      <c r="I33" s="12">
        <v>0</v>
      </c>
    </row>
    <row r="34" spans="2:9" ht="15" customHeight="1" x14ac:dyDescent="0.2">
      <c r="B34" t="s">
        <v>83</v>
      </c>
      <c r="C34" s="12">
        <v>13</v>
      </c>
      <c r="D34" s="8">
        <v>3.1</v>
      </c>
      <c r="E34" s="12">
        <v>1</v>
      </c>
      <c r="F34" s="8">
        <v>0.36</v>
      </c>
      <c r="G34" s="12">
        <v>10</v>
      </c>
      <c r="H34" s="8">
        <v>7.19</v>
      </c>
      <c r="I34" s="12">
        <v>0</v>
      </c>
    </row>
    <row r="35" spans="2:9" ht="15" customHeight="1" x14ac:dyDescent="0.2">
      <c r="B35" t="s">
        <v>74</v>
      </c>
      <c r="C35" s="12">
        <v>11</v>
      </c>
      <c r="D35" s="8">
        <v>2.62</v>
      </c>
      <c r="E35" s="12">
        <v>9</v>
      </c>
      <c r="F35" s="8">
        <v>3.27</v>
      </c>
      <c r="G35" s="12">
        <v>2</v>
      </c>
      <c r="H35" s="8">
        <v>1.44</v>
      </c>
      <c r="I35" s="12">
        <v>0</v>
      </c>
    </row>
    <row r="36" spans="2:9" ht="15" customHeight="1" x14ac:dyDescent="0.2">
      <c r="B36" t="s">
        <v>82</v>
      </c>
      <c r="C36" s="12">
        <v>11</v>
      </c>
      <c r="D36" s="8">
        <v>2.62</v>
      </c>
      <c r="E36" s="12">
        <v>10</v>
      </c>
      <c r="F36" s="8">
        <v>3.64</v>
      </c>
      <c r="G36" s="12">
        <v>1</v>
      </c>
      <c r="H36" s="8">
        <v>0.72</v>
      </c>
      <c r="I36" s="12">
        <v>0</v>
      </c>
    </row>
    <row r="37" spans="2:9" ht="15" customHeight="1" x14ac:dyDescent="0.2">
      <c r="B37" t="s">
        <v>85</v>
      </c>
      <c r="C37" s="12">
        <v>10</v>
      </c>
      <c r="D37" s="8">
        <v>2.38</v>
      </c>
      <c r="E37" s="12">
        <v>1</v>
      </c>
      <c r="F37" s="8">
        <v>0.36</v>
      </c>
      <c r="G37" s="12">
        <v>9</v>
      </c>
      <c r="H37" s="8">
        <v>6.47</v>
      </c>
      <c r="I37" s="12">
        <v>0</v>
      </c>
    </row>
    <row r="38" spans="2:9" ht="15" customHeight="1" x14ac:dyDescent="0.2">
      <c r="B38" t="s">
        <v>67</v>
      </c>
      <c r="C38" s="12">
        <v>7</v>
      </c>
      <c r="D38" s="8">
        <v>1.67</v>
      </c>
      <c r="E38" s="12">
        <v>3</v>
      </c>
      <c r="F38" s="8">
        <v>1.0900000000000001</v>
      </c>
      <c r="G38" s="12">
        <v>4</v>
      </c>
      <c r="H38" s="8">
        <v>2.88</v>
      </c>
      <c r="I38" s="12">
        <v>0</v>
      </c>
    </row>
    <row r="39" spans="2:9" ht="15" customHeight="1" x14ac:dyDescent="0.2">
      <c r="B39" t="s">
        <v>68</v>
      </c>
      <c r="C39" s="12">
        <v>7</v>
      </c>
      <c r="D39" s="8">
        <v>1.67</v>
      </c>
      <c r="E39" s="12">
        <v>6</v>
      </c>
      <c r="F39" s="8">
        <v>2.1800000000000002</v>
      </c>
      <c r="G39" s="12">
        <v>1</v>
      </c>
      <c r="H39" s="8">
        <v>0.72</v>
      </c>
      <c r="I39" s="12">
        <v>0</v>
      </c>
    </row>
    <row r="40" spans="2:9" ht="15" customHeight="1" x14ac:dyDescent="0.2">
      <c r="B40" t="s">
        <v>106</v>
      </c>
      <c r="C40" s="12">
        <v>6</v>
      </c>
      <c r="D40" s="8">
        <v>1.43</v>
      </c>
      <c r="E40" s="12">
        <v>0</v>
      </c>
      <c r="F40" s="8">
        <v>0</v>
      </c>
      <c r="G40" s="12">
        <v>6</v>
      </c>
      <c r="H40" s="8">
        <v>4.32</v>
      </c>
      <c r="I40" s="12">
        <v>0</v>
      </c>
    </row>
    <row r="41" spans="2:9" ht="15" customHeight="1" x14ac:dyDescent="0.2">
      <c r="B41" t="s">
        <v>75</v>
      </c>
      <c r="C41" s="12">
        <v>6</v>
      </c>
      <c r="D41" s="8">
        <v>1.43</v>
      </c>
      <c r="E41" s="12">
        <v>4</v>
      </c>
      <c r="F41" s="8">
        <v>1.45</v>
      </c>
      <c r="G41" s="12">
        <v>1</v>
      </c>
      <c r="H41" s="8">
        <v>0.72</v>
      </c>
      <c r="I41" s="12">
        <v>0</v>
      </c>
    </row>
    <row r="42" spans="2:9" ht="15" customHeight="1" x14ac:dyDescent="0.2">
      <c r="B42" t="s">
        <v>86</v>
      </c>
      <c r="C42" s="12">
        <v>5</v>
      </c>
      <c r="D42" s="8">
        <v>1.19</v>
      </c>
      <c r="E42" s="12">
        <v>0</v>
      </c>
      <c r="F42" s="8">
        <v>0</v>
      </c>
      <c r="G42" s="12">
        <v>5</v>
      </c>
      <c r="H42" s="8">
        <v>3.6</v>
      </c>
      <c r="I42" s="12">
        <v>0</v>
      </c>
    </row>
    <row r="43" spans="2:9" ht="15" customHeight="1" x14ac:dyDescent="0.2">
      <c r="B43" t="s">
        <v>91</v>
      </c>
      <c r="C43" s="12">
        <v>5</v>
      </c>
      <c r="D43" s="8">
        <v>1.19</v>
      </c>
      <c r="E43" s="12">
        <v>3</v>
      </c>
      <c r="F43" s="8">
        <v>1.0900000000000001</v>
      </c>
      <c r="G43" s="12">
        <v>2</v>
      </c>
      <c r="H43" s="8">
        <v>1.44</v>
      </c>
      <c r="I43" s="12">
        <v>0</v>
      </c>
    </row>
    <row r="46" spans="2:9" ht="33" customHeight="1" x14ac:dyDescent="0.2">
      <c r="B46" t="s">
        <v>262</v>
      </c>
      <c r="C46" s="10" t="s">
        <v>58</v>
      </c>
      <c r="D46" s="10" t="s">
        <v>59</v>
      </c>
      <c r="E46" s="10" t="s">
        <v>60</v>
      </c>
      <c r="F46" s="10" t="s">
        <v>61</v>
      </c>
      <c r="G46" s="10" t="s">
        <v>62</v>
      </c>
      <c r="H46" s="10" t="s">
        <v>63</v>
      </c>
      <c r="I46" s="10" t="s">
        <v>64</v>
      </c>
    </row>
    <row r="47" spans="2:9" ht="15" customHeight="1" x14ac:dyDescent="0.2">
      <c r="B47" t="s">
        <v>133</v>
      </c>
      <c r="C47" s="12">
        <v>35</v>
      </c>
      <c r="D47" s="8">
        <v>8.33</v>
      </c>
      <c r="E47" s="12">
        <v>35</v>
      </c>
      <c r="F47" s="8">
        <v>12.73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128</v>
      </c>
      <c r="C48" s="12">
        <v>31</v>
      </c>
      <c r="D48" s="8">
        <v>7.38</v>
      </c>
      <c r="E48" s="12">
        <v>22</v>
      </c>
      <c r="F48" s="8">
        <v>8</v>
      </c>
      <c r="G48" s="12">
        <v>9</v>
      </c>
      <c r="H48" s="8">
        <v>6.47</v>
      </c>
      <c r="I48" s="12">
        <v>0</v>
      </c>
    </row>
    <row r="49" spans="2:9" ht="15" customHeight="1" x14ac:dyDescent="0.2">
      <c r="B49" t="s">
        <v>136</v>
      </c>
      <c r="C49" s="12">
        <v>23</v>
      </c>
      <c r="D49" s="8">
        <v>5.48</v>
      </c>
      <c r="E49" s="12">
        <v>23</v>
      </c>
      <c r="F49" s="8">
        <v>8.36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139</v>
      </c>
      <c r="C50" s="12">
        <v>22</v>
      </c>
      <c r="D50" s="8">
        <v>5.24</v>
      </c>
      <c r="E50" s="12">
        <v>21</v>
      </c>
      <c r="F50" s="8">
        <v>7.64</v>
      </c>
      <c r="G50" s="12">
        <v>1</v>
      </c>
      <c r="H50" s="8">
        <v>0.72</v>
      </c>
      <c r="I50" s="12">
        <v>0</v>
      </c>
    </row>
    <row r="51" spans="2:9" ht="15" customHeight="1" x14ac:dyDescent="0.2">
      <c r="B51" t="s">
        <v>132</v>
      </c>
      <c r="C51" s="12">
        <v>16</v>
      </c>
      <c r="D51" s="8">
        <v>3.81</v>
      </c>
      <c r="E51" s="12">
        <v>16</v>
      </c>
      <c r="F51" s="8">
        <v>5.82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141</v>
      </c>
      <c r="C52" s="12">
        <v>14</v>
      </c>
      <c r="D52" s="8">
        <v>3.33</v>
      </c>
      <c r="E52" s="12">
        <v>14</v>
      </c>
      <c r="F52" s="8">
        <v>5.09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126</v>
      </c>
      <c r="C53" s="12">
        <v>10</v>
      </c>
      <c r="D53" s="8">
        <v>2.38</v>
      </c>
      <c r="E53" s="12">
        <v>4</v>
      </c>
      <c r="F53" s="8">
        <v>1.45</v>
      </c>
      <c r="G53" s="12">
        <v>6</v>
      </c>
      <c r="H53" s="8">
        <v>4.32</v>
      </c>
      <c r="I53" s="12">
        <v>0</v>
      </c>
    </row>
    <row r="54" spans="2:9" ht="15" customHeight="1" x14ac:dyDescent="0.2">
      <c r="B54" t="s">
        <v>140</v>
      </c>
      <c r="C54" s="12">
        <v>10</v>
      </c>
      <c r="D54" s="8">
        <v>2.38</v>
      </c>
      <c r="E54" s="12">
        <v>9</v>
      </c>
      <c r="F54" s="8">
        <v>3.27</v>
      </c>
      <c r="G54" s="12">
        <v>1</v>
      </c>
      <c r="H54" s="8">
        <v>0.72</v>
      </c>
      <c r="I54" s="12">
        <v>0</v>
      </c>
    </row>
    <row r="55" spans="2:9" ht="15" customHeight="1" x14ac:dyDescent="0.2">
      <c r="B55" t="s">
        <v>122</v>
      </c>
      <c r="C55" s="12">
        <v>8</v>
      </c>
      <c r="D55" s="8">
        <v>1.9</v>
      </c>
      <c r="E55" s="12">
        <v>1</v>
      </c>
      <c r="F55" s="8">
        <v>0.36</v>
      </c>
      <c r="G55" s="12">
        <v>7</v>
      </c>
      <c r="H55" s="8">
        <v>5.04</v>
      </c>
      <c r="I55" s="12">
        <v>0</v>
      </c>
    </row>
    <row r="56" spans="2:9" ht="15" customHeight="1" x14ac:dyDescent="0.2">
      <c r="B56" t="s">
        <v>124</v>
      </c>
      <c r="C56" s="12">
        <v>8</v>
      </c>
      <c r="D56" s="8">
        <v>1.9</v>
      </c>
      <c r="E56" s="12">
        <v>7</v>
      </c>
      <c r="F56" s="8">
        <v>2.5499999999999998</v>
      </c>
      <c r="G56" s="12">
        <v>1</v>
      </c>
      <c r="H56" s="8">
        <v>0.72</v>
      </c>
      <c r="I56" s="12">
        <v>0</v>
      </c>
    </row>
    <row r="57" spans="2:9" ht="15" customHeight="1" x14ac:dyDescent="0.2">
      <c r="B57" t="s">
        <v>135</v>
      </c>
      <c r="C57" s="12">
        <v>8</v>
      </c>
      <c r="D57" s="8">
        <v>1.9</v>
      </c>
      <c r="E57" s="12">
        <v>8</v>
      </c>
      <c r="F57" s="8">
        <v>2.91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125</v>
      </c>
      <c r="C58" s="12">
        <v>7</v>
      </c>
      <c r="D58" s="8">
        <v>1.67</v>
      </c>
      <c r="E58" s="12">
        <v>5</v>
      </c>
      <c r="F58" s="8">
        <v>1.82</v>
      </c>
      <c r="G58" s="12">
        <v>2</v>
      </c>
      <c r="H58" s="8">
        <v>1.44</v>
      </c>
      <c r="I58" s="12">
        <v>0</v>
      </c>
    </row>
    <row r="59" spans="2:9" ht="15" customHeight="1" x14ac:dyDescent="0.2">
      <c r="B59" t="s">
        <v>137</v>
      </c>
      <c r="C59" s="12">
        <v>7</v>
      </c>
      <c r="D59" s="8">
        <v>1.67</v>
      </c>
      <c r="E59" s="12">
        <v>5</v>
      </c>
      <c r="F59" s="8">
        <v>1.82</v>
      </c>
      <c r="G59" s="12">
        <v>2</v>
      </c>
      <c r="H59" s="8">
        <v>1.44</v>
      </c>
      <c r="I59" s="12">
        <v>0</v>
      </c>
    </row>
    <row r="60" spans="2:9" ht="15" customHeight="1" x14ac:dyDescent="0.2">
      <c r="B60" t="s">
        <v>151</v>
      </c>
      <c r="C60" s="12">
        <v>6</v>
      </c>
      <c r="D60" s="8">
        <v>1.43</v>
      </c>
      <c r="E60" s="12">
        <v>1</v>
      </c>
      <c r="F60" s="8">
        <v>0.36</v>
      </c>
      <c r="G60" s="12">
        <v>5</v>
      </c>
      <c r="H60" s="8">
        <v>3.6</v>
      </c>
      <c r="I60" s="12">
        <v>0</v>
      </c>
    </row>
    <row r="61" spans="2:9" ht="15" customHeight="1" x14ac:dyDescent="0.2">
      <c r="B61" t="s">
        <v>175</v>
      </c>
      <c r="C61" s="12">
        <v>6</v>
      </c>
      <c r="D61" s="8">
        <v>1.43</v>
      </c>
      <c r="E61" s="12">
        <v>2</v>
      </c>
      <c r="F61" s="8">
        <v>0.73</v>
      </c>
      <c r="G61" s="12">
        <v>4</v>
      </c>
      <c r="H61" s="8">
        <v>2.88</v>
      </c>
      <c r="I61" s="12">
        <v>0</v>
      </c>
    </row>
    <row r="62" spans="2:9" ht="15" customHeight="1" x14ac:dyDescent="0.2">
      <c r="B62" t="s">
        <v>127</v>
      </c>
      <c r="C62" s="12">
        <v>6</v>
      </c>
      <c r="D62" s="8">
        <v>1.43</v>
      </c>
      <c r="E62" s="12">
        <v>0</v>
      </c>
      <c r="F62" s="8">
        <v>0</v>
      </c>
      <c r="G62" s="12">
        <v>6</v>
      </c>
      <c r="H62" s="8">
        <v>4.32</v>
      </c>
      <c r="I62" s="12">
        <v>0</v>
      </c>
    </row>
    <row r="63" spans="2:9" ht="15" customHeight="1" x14ac:dyDescent="0.2">
      <c r="B63" t="s">
        <v>152</v>
      </c>
      <c r="C63" s="12">
        <v>6</v>
      </c>
      <c r="D63" s="8">
        <v>1.43</v>
      </c>
      <c r="E63" s="12">
        <v>1</v>
      </c>
      <c r="F63" s="8">
        <v>0.36</v>
      </c>
      <c r="G63" s="12">
        <v>3</v>
      </c>
      <c r="H63" s="8">
        <v>2.16</v>
      </c>
      <c r="I63" s="12">
        <v>0</v>
      </c>
    </row>
    <row r="64" spans="2:9" ht="15" customHeight="1" x14ac:dyDescent="0.2">
      <c r="B64" t="s">
        <v>123</v>
      </c>
      <c r="C64" s="12">
        <v>5</v>
      </c>
      <c r="D64" s="8">
        <v>1.19</v>
      </c>
      <c r="E64" s="12">
        <v>4</v>
      </c>
      <c r="F64" s="8">
        <v>1.45</v>
      </c>
      <c r="G64" s="12">
        <v>1</v>
      </c>
      <c r="H64" s="8">
        <v>0.72</v>
      </c>
      <c r="I64" s="12">
        <v>0</v>
      </c>
    </row>
    <row r="65" spans="2:9" ht="15" customHeight="1" x14ac:dyDescent="0.2">
      <c r="B65" t="s">
        <v>176</v>
      </c>
      <c r="C65" s="12">
        <v>5</v>
      </c>
      <c r="D65" s="8">
        <v>1.19</v>
      </c>
      <c r="E65" s="12">
        <v>4</v>
      </c>
      <c r="F65" s="8">
        <v>1.45</v>
      </c>
      <c r="G65" s="12">
        <v>1</v>
      </c>
      <c r="H65" s="8">
        <v>0.72</v>
      </c>
      <c r="I65" s="12">
        <v>0</v>
      </c>
    </row>
    <row r="66" spans="2:9" ht="15" customHeight="1" x14ac:dyDescent="0.2">
      <c r="B66" t="s">
        <v>205</v>
      </c>
      <c r="C66" s="12">
        <v>5</v>
      </c>
      <c r="D66" s="8">
        <v>1.19</v>
      </c>
      <c r="E66" s="12">
        <v>0</v>
      </c>
      <c r="F66" s="8">
        <v>0</v>
      </c>
      <c r="G66" s="12">
        <v>5</v>
      </c>
      <c r="H66" s="8">
        <v>3.6</v>
      </c>
      <c r="I66" s="12">
        <v>0</v>
      </c>
    </row>
    <row r="67" spans="2:9" ht="15" customHeight="1" x14ac:dyDescent="0.2">
      <c r="B67" t="s">
        <v>177</v>
      </c>
      <c r="C67" s="12">
        <v>5</v>
      </c>
      <c r="D67" s="8">
        <v>1.19</v>
      </c>
      <c r="E67" s="12">
        <v>5</v>
      </c>
      <c r="F67" s="8">
        <v>1.82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138</v>
      </c>
      <c r="C68" s="12">
        <v>5</v>
      </c>
      <c r="D68" s="8">
        <v>1.19</v>
      </c>
      <c r="E68" s="12">
        <v>5</v>
      </c>
      <c r="F68" s="8">
        <v>1.82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C4170-C93D-4A98-9323-2B5FC582B271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291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1</v>
      </c>
      <c r="D5" s="8">
        <v>0.11</v>
      </c>
      <c r="E5" s="12">
        <v>1</v>
      </c>
      <c r="F5" s="8">
        <v>0.17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105</v>
      </c>
      <c r="D6" s="8">
        <v>11.69</v>
      </c>
      <c r="E6" s="12">
        <v>35</v>
      </c>
      <c r="F6" s="8">
        <v>5.98</v>
      </c>
      <c r="G6" s="12">
        <v>70</v>
      </c>
      <c r="H6" s="8">
        <v>23.1</v>
      </c>
      <c r="I6" s="12">
        <v>0</v>
      </c>
    </row>
    <row r="7" spans="2:9" ht="15" customHeight="1" x14ac:dyDescent="0.2">
      <c r="B7" t="s">
        <v>44</v>
      </c>
      <c r="C7" s="12">
        <v>72</v>
      </c>
      <c r="D7" s="8">
        <v>8.02</v>
      </c>
      <c r="E7" s="12">
        <v>55</v>
      </c>
      <c r="F7" s="8">
        <v>9.4</v>
      </c>
      <c r="G7" s="12">
        <v>17</v>
      </c>
      <c r="H7" s="8">
        <v>5.61</v>
      </c>
      <c r="I7" s="12">
        <v>0</v>
      </c>
    </row>
    <row r="8" spans="2:9" ht="15" customHeight="1" x14ac:dyDescent="0.2">
      <c r="B8" t="s">
        <v>45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46</v>
      </c>
      <c r="C9" s="12">
        <v>3</v>
      </c>
      <c r="D9" s="8">
        <v>0.33</v>
      </c>
      <c r="E9" s="12">
        <v>1</v>
      </c>
      <c r="F9" s="8">
        <v>0.17</v>
      </c>
      <c r="G9" s="12">
        <v>2</v>
      </c>
      <c r="H9" s="8">
        <v>0.66</v>
      </c>
      <c r="I9" s="12">
        <v>0</v>
      </c>
    </row>
    <row r="10" spans="2:9" ht="15" customHeight="1" x14ac:dyDescent="0.2">
      <c r="B10" t="s">
        <v>47</v>
      </c>
      <c r="C10" s="12">
        <v>6</v>
      </c>
      <c r="D10" s="8">
        <v>0.67</v>
      </c>
      <c r="E10" s="12">
        <v>5</v>
      </c>
      <c r="F10" s="8">
        <v>0.85</v>
      </c>
      <c r="G10" s="12">
        <v>1</v>
      </c>
      <c r="H10" s="8">
        <v>0.33</v>
      </c>
      <c r="I10" s="12">
        <v>0</v>
      </c>
    </row>
    <row r="11" spans="2:9" ht="15" customHeight="1" x14ac:dyDescent="0.2">
      <c r="B11" t="s">
        <v>48</v>
      </c>
      <c r="C11" s="12">
        <v>145</v>
      </c>
      <c r="D11" s="8">
        <v>16.149999999999999</v>
      </c>
      <c r="E11" s="12">
        <v>79</v>
      </c>
      <c r="F11" s="8">
        <v>13.5</v>
      </c>
      <c r="G11" s="12">
        <v>66</v>
      </c>
      <c r="H11" s="8">
        <v>21.78</v>
      </c>
      <c r="I11" s="12">
        <v>0</v>
      </c>
    </row>
    <row r="12" spans="2:9" ht="15" customHeight="1" x14ac:dyDescent="0.2">
      <c r="B12" t="s">
        <v>49</v>
      </c>
      <c r="C12" s="12">
        <v>7</v>
      </c>
      <c r="D12" s="8">
        <v>0.78</v>
      </c>
      <c r="E12" s="12">
        <v>2</v>
      </c>
      <c r="F12" s="8">
        <v>0.34</v>
      </c>
      <c r="G12" s="12">
        <v>5</v>
      </c>
      <c r="H12" s="8">
        <v>1.65</v>
      </c>
      <c r="I12" s="12">
        <v>0</v>
      </c>
    </row>
    <row r="13" spans="2:9" ht="15" customHeight="1" x14ac:dyDescent="0.2">
      <c r="B13" t="s">
        <v>50</v>
      </c>
      <c r="C13" s="12">
        <v>212</v>
      </c>
      <c r="D13" s="8">
        <v>23.61</v>
      </c>
      <c r="E13" s="12">
        <v>151</v>
      </c>
      <c r="F13" s="8">
        <v>25.81</v>
      </c>
      <c r="G13" s="12">
        <v>61</v>
      </c>
      <c r="H13" s="8">
        <v>20.13</v>
      </c>
      <c r="I13" s="12">
        <v>0</v>
      </c>
    </row>
    <row r="14" spans="2:9" ht="15" customHeight="1" x14ac:dyDescent="0.2">
      <c r="B14" t="s">
        <v>51</v>
      </c>
      <c r="C14" s="12">
        <v>38</v>
      </c>
      <c r="D14" s="8">
        <v>4.2300000000000004</v>
      </c>
      <c r="E14" s="12">
        <v>23</v>
      </c>
      <c r="F14" s="8">
        <v>3.93</v>
      </c>
      <c r="G14" s="12">
        <v>15</v>
      </c>
      <c r="H14" s="8">
        <v>4.95</v>
      </c>
      <c r="I14" s="12">
        <v>0</v>
      </c>
    </row>
    <row r="15" spans="2:9" ht="15" customHeight="1" x14ac:dyDescent="0.2">
      <c r="B15" t="s">
        <v>52</v>
      </c>
      <c r="C15" s="12">
        <v>74</v>
      </c>
      <c r="D15" s="8">
        <v>8.24</v>
      </c>
      <c r="E15" s="12">
        <v>64</v>
      </c>
      <c r="F15" s="8">
        <v>10.94</v>
      </c>
      <c r="G15" s="12">
        <v>10</v>
      </c>
      <c r="H15" s="8">
        <v>3.3</v>
      </c>
      <c r="I15" s="12">
        <v>0</v>
      </c>
    </row>
    <row r="16" spans="2:9" ht="15" customHeight="1" x14ac:dyDescent="0.2">
      <c r="B16" t="s">
        <v>53</v>
      </c>
      <c r="C16" s="12">
        <v>110</v>
      </c>
      <c r="D16" s="8">
        <v>12.25</v>
      </c>
      <c r="E16" s="12">
        <v>85</v>
      </c>
      <c r="F16" s="8">
        <v>14.53</v>
      </c>
      <c r="G16" s="12">
        <v>25</v>
      </c>
      <c r="H16" s="8">
        <v>8.25</v>
      </c>
      <c r="I16" s="12">
        <v>0</v>
      </c>
    </row>
    <row r="17" spans="2:9" ht="15" customHeight="1" x14ac:dyDescent="0.2">
      <c r="B17" t="s">
        <v>54</v>
      </c>
      <c r="C17" s="12">
        <v>59</v>
      </c>
      <c r="D17" s="8">
        <v>6.57</v>
      </c>
      <c r="E17" s="12">
        <v>53</v>
      </c>
      <c r="F17" s="8">
        <v>9.06</v>
      </c>
      <c r="G17" s="12">
        <v>5</v>
      </c>
      <c r="H17" s="8">
        <v>1.65</v>
      </c>
      <c r="I17" s="12">
        <v>0</v>
      </c>
    </row>
    <row r="18" spans="2:9" ht="15" customHeight="1" x14ac:dyDescent="0.2">
      <c r="B18" t="s">
        <v>55</v>
      </c>
      <c r="C18" s="12">
        <v>35</v>
      </c>
      <c r="D18" s="8">
        <v>3.9</v>
      </c>
      <c r="E18" s="12">
        <v>15</v>
      </c>
      <c r="F18" s="8">
        <v>2.56</v>
      </c>
      <c r="G18" s="12">
        <v>16</v>
      </c>
      <c r="H18" s="8">
        <v>5.28</v>
      </c>
      <c r="I18" s="12">
        <v>0</v>
      </c>
    </row>
    <row r="19" spans="2:9" ht="15" customHeight="1" x14ac:dyDescent="0.2">
      <c r="B19" t="s">
        <v>56</v>
      </c>
      <c r="C19" s="12">
        <v>31</v>
      </c>
      <c r="D19" s="8">
        <v>3.45</v>
      </c>
      <c r="E19" s="12">
        <v>16</v>
      </c>
      <c r="F19" s="8">
        <v>2.74</v>
      </c>
      <c r="G19" s="12">
        <v>10</v>
      </c>
      <c r="H19" s="8">
        <v>3.3</v>
      </c>
      <c r="I19" s="12">
        <v>4</v>
      </c>
    </row>
    <row r="20" spans="2:9" ht="15" customHeight="1" x14ac:dyDescent="0.2">
      <c r="B20" s="9" t="s">
        <v>260</v>
      </c>
      <c r="C20" s="12">
        <f>SUM(LTBL_47350[総数／事業所数])</f>
        <v>898</v>
      </c>
      <c r="E20" s="12">
        <f>SUBTOTAL(109,LTBL_47350[個人／事業所数])</f>
        <v>585</v>
      </c>
      <c r="G20" s="12">
        <f>SUBTOTAL(109,LTBL_47350[法人／事業所数])</f>
        <v>303</v>
      </c>
      <c r="I20" s="12">
        <f>SUBTOTAL(109,LTBL_47350[法人以外の団体／事業所数])</f>
        <v>4</v>
      </c>
    </row>
    <row r="21" spans="2:9" ht="15" customHeight="1" x14ac:dyDescent="0.2">
      <c r="E21" s="11">
        <f>LTBL_47350[[#Totals],[個人／事業所数]]/LTBL_47350[[#Totals],[総数／事業所数]]</f>
        <v>0.65144766146993316</v>
      </c>
      <c r="G21" s="11">
        <f>LTBL_47350[[#Totals],[法人／事業所数]]/LTBL_47350[[#Totals],[総数／事業所数]]</f>
        <v>0.33741648106904232</v>
      </c>
      <c r="I21" s="11">
        <f>LTBL_47350[[#Totals],[法人以外の団体／事業所数]]/LTBL_47350[[#Totals],[総数／事業所数]]</f>
        <v>4.4543429844097994E-3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73</v>
      </c>
      <c r="C24" s="12">
        <v>195</v>
      </c>
      <c r="D24" s="8">
        <v>21.71</v>
      </c>
      <c r="E24" s="12">
        <v>144</v>
      </c>
      <c r="F24" s="8">
        <v>24.62</v>
      </c>
      <c r="G24" s="12">
        <v>51</v>
      </c>
      <c r="H24" s="8">
        <v>16.829999999999998</v>
      </c>
      <c r="I24" s="12">
        <v>0</v>
      </c>
    </row>
    <row r="25" spans="2:9" ht="15" customHeight="1" x14ac:dyDescent="0.2">
      <c r="B25" t="s">
        <v>78</v>
      </c>
      <c r="C25" s="12">
        <v>92</v>
      </c>
      <c r="D25" s="8">
        <v>10.24</v>
      </c>
      <c r="E25" s="12">
        <v>78</v>
      </c>
      <c r="F25" s="8">
        <v>13.33</v>
      </c>
      <c r="G25" s="12">
        <v>14</v>
      </c>
      <c r="H25" s="8">
        <v>4.62</v>
      </c>
      <c r="I25" s="12">
        <v>0</v>
      </c>
    </row>
    <row r="26" spans="2:9" ht="15" customHeight="1" x14ac:dyDescent="0.2">
      <c r="B26" t="s">
        <v>77</v>
      </c>
      <c r="C26" s="12">
        <v>69</v>
      </c>
      <c r="D26" s="8">
        <v>7.68</v>
      </c>
      <c r="E26" s="12">
        <v>62</v>
      </c>
      <c r="F26" s="8">
        <v>10.6</v>
      </c>
      <c r="G26" s="12">
        <v>7</v>
      </c>
      <c r="H26" s="8">
        <v>2.31</v>
      </c>
      <c r="I26" s="12">
        <v>0</v>
      </c>
    </row>
    <row r="27" spans="2:9" ht="15" customHeight="1" x14ac:dyDescent="0.2">
      <c r="B27" t="s">
        <v>81</v>
      </c>
      <c r="C27" s="12">
        <v>59</v>
      </c>
      <c r="D27" s="8">
        <v>6.57</v>
      </c>
      <c r="E27" s="12">
        <v>53</v>
      </c>
      <c r="F27" s="8">
        <v>9.06</v>
      </c>
      <c r="G27" s="12">
        <v>5</v>
      </c>
      <c r="H27" s="8">
        <v>1.65</v>
      </c>
      <c r="I27" s="12">
        <v>0</v>
      </c>
    </row>
    <row r="28" spans="2:9" ht="15" customHeight="1" x14ac:dyDescent="0.2">
      <c r="B28" t="s">
        <v>65</v>
      </c>
      <c r="C28" s="12">
        <v>43</v>
      </c>
      <c r="D28" s="8">
        <v>4.79</v>
      </c>
      <c r="E28" s="12">
        <v>8</v>
      </c>
      <c r="F28" s="8">
        <v>1.37</v>
      </c>
      <c r="G28" s="12">
        <v>35</v>
      </c>
      <c r="H28" s="8">
        <v>11.55</v>
      </c>
      <c r="I28" s="12">
        <v>0</v>
      </c>
    </row>
    <row r="29" spans="2:9" ht="15" customHeight="1" x14ac:dyDescent="0.2">
      <c r="B29" t="s">
        <v>71</v>
      </c>
      <c r="C29" s="12">
        <v>35</v>
      </c>
      <c r="D29" s="8">
        <v>3.9</v>
      </c>
      <c r="E29" s="12">
        <v>24</v>
      </c>
      <c r="F29" s="8">
        <v>4.0999999999999996</v>
      </c>
      <c r="G29" s="12">
        <v>11</v>
      </c>
      <c r="H29" s="8">
        <v>3.63</v>
      </c>
      <c r="I29" s="12">
        <v>0</v>
      </c>
    </row>
    <row r="30" spans="2:9" ht="15" customHeight="1" x14ac:dyDescent="0.2">
      <c r="B30" t="s">
        <v>67</v>
      </c>
      <c r="C30" s="12">
        <v>34</v>
      </c>
      <c r="D30" s="8">
        <v>3.79</v>
      </c>
      <c r="E30" s="12">
        <v>11</v>
      </c>
      <c r="F30" s="8">
        <v>1.88</v>
      </c>
      <c r="G30" s="12">
        <v>23</v>
      </c>
      <c r="H30" s="8">
        <v>7.59</v>
      </c>
      <c r="I30" s="12">
        <v>0</v>
      </c>
    </row>
    <row r="31" spans="2:9" ht="15" customHeight="1" x14ac:dyDescent="0.2">
      <c r="B31" t="s">
        <v>66</v>
      </c>
      <c r="C31" s="12">
        <v>28</v>
      </c>
      <c r="D31" s="8">
        <v>3.12</v>
      </c>
      <c r="E31" s="12">
        <v>16</v>
      </c>
      <c r="F31" s="8">
        <v>2.74</v>
      </c>
      <c r="G31" s="12">
        <v>12</v>
      </c>
      <c r="H31" s="8">
        <v>3.96</v>
      </c>
      <c r="I31" s="12">
        <v>0</v>
      </c>
    </row>
    <row r="32" spans="2:9" ht="15" customHeight="1" x14ac:dyDescent="0.2">
      <c r="B32" t="s">
        <v>70</v>
      </c>
      <c r="C32" s="12">
        <v>27</v>
      </c>
      <c r="D32" s="8">
        <v>3.01</v>
      </c>
      <c r="E32" s="12">
        <v>20</v>
      </c>
      <c r="F32" s="8">
        <v>3.42</v>
      </c>
      <c r="G32" s="12">
        <v>7</v>
      </c>
      <c r="H32" s="8">
        <v>2.31</v>
      </c>
      <c r="I32" s="12">
        <v>0</v>
      </c>
    </row>
    <row r="33" spans="2:9" ht="15" customHeight="1" x14ac:dyDescent="0.2">
      <c r="B33" t="s">
        <v>69</v>
      </c>
      <c r="C33" s="12">
        <v>22</v>
      </c>
      <c r="D33" s="8">
        <v>2.4500000000000002</v>
      </c>
      <c r="E33" s="12">
        <v>16</v>
      </c>
      <c r="F33" s="8">
        <v>2.74</v>
      </c>
      <c r="G33" s="12">
        <v>6</v>
      </c>
      <c r="H33" s="8">
        <v>1.98</v>
      </c>
      <c r="I33" s="12">
        <v>0</v>
      </c>
    </row>
    <row r="34" spans="2:9" ht="15" customHeight="1" x14ac:dyDescent="0.2">
      <c r="B34" t="s">
        <v>98</v>
      </c>
      <c r="C34" s="12">
        <v>20</v>
      </c>
      <c r="D34" s="8">
        <v>2.23</v>
      </c>
      <c r="E34" s="12">
        <v>19</v>
      </c>
      <c r="F34" s="8">
        <v>3.25</v>
      </c>
      <c r="G34" s="12">
        <v>1</v>
      </c>
      <c r="H34" s="8">
        <v>0.33</v>
      </c>
      <c r="I34" s="12">
        <v>0</v>
      </c>
    </row>
    <row r="35" spans="2:9" ht="15" customHeight="1" x14ac:dyDescent="0.2">
      <c r="B35" t="s">
        <v>74</v>
      </c>
      <c r="C35" s="12">
        <v>20</v>
      </c>
      <c r="D35" s="8">
        <v>2.23</v>
      </c>
      <c r="E35" s="12">
        <v>16</v>
      </c>
      <c r="F35" s="8">
        <v>2.74</v>
      </c>
      <c r="G35" s="12">
        <v>4</v>
      </c>
      <c r="H35" s="8">
        <v>1.32</v>
      </c>
      <c r="I35" s="12">
        <v>0</v>
      </c>
    </row>
    <row r="36" spans="2:9" ht="15" customHeight="1" x14ac:dyDescent="0.2">
      <c r="B36" t="s">
        <v>108</v>
      </c>
      <c r="C36" s="12">
        <v>18</v>
      </c>
      <c r="D36" s="8">
        <v>2</v>
      </c>
      <c r="E36" s="12">
        <v>10</v>
      </c>
      <c r="F36" s="8">
        <v>1.71</v>
      </c>
      <c r="G36" s="12">
        <v>8</v>
      </c>
      <c r="H36" s="8">
        <v>2.64</v>
      </c>
      <c r="I36" s="12">
        <v>0</v>
      </c>
    </row>
    <row r="37" spans="2:9" ht="15" customHeight="1" x14ac:dyDescent="0.2">
      <c r="B37" t="s">
        <v>75</v>
      </c>
      <c r="C37" s="12">
        <v>18</v>
      </c>
      <c r="D37" s="8">
        <v>2</v>
      </c>
      <c r="E37" s="12">
        <v>7</v>
      </c>
      <c r="F37" s="8">
        <v>1.2</v>
      </c>
      <c r="G37" s="12">
        <v>11</v>
      </c>
      <c r="H37" s="8">
        <v>3.63</v>
      </c>
      <c r="I37" s="12">
        <v>0</v>
      </c>
    </row>
    <row r="38" spans="2:9" ht="15" customHeight="1" x14ac:dyDescent="0.2">
      <c r="B38" t="s">
        <v>82</v>
      </c>
      <c r="C38" s="12">
        <v>18</v>
      </c>
      <c r="D38" s="8">
        <v>2</v>
      </c>
      <c r="E38" s="12">
        <v>15</v>
      </c>
      <c r="F38" s="8">
        <v>2.56</v>
      </c>
      <c r="G38" s="12">
        <v>3</v>
      </c>
      <c r="H38" s="8">
        <v>0.99</v>
      </c>
      <c r="I38" s="12">
        <v>0</v>
      </c>
    </row>
    <row r="39" spans="2:9" ht="15" customHeight="1" x14ac:dyDescent="0.2">
      <c r="B39" t="s">
        <v>83</v>
      </c>
      <c r="C39" s="12">
        <v>17</v>
      </c>
      <c r="D39" s="8">
        <v>1.89</v>
      </c>
      <c r="E39" s="12">
        <v>0</v>
      </c>
      <c r="F39" s="8">
        <v>0</v>
      </c>
      <c r="G39" s="12">
        <v>13</v>
      </c>
      <c r="H39" s="8">
        <v>4.29</v>
      </c>
      <c r="I39" s="12">
        <v>0</v>
      </c>
    </row>
    <row r="40" spans="2:9" ht="15" customHeight="1" x14ac:dyDescent="0.2">
      <c r="B40" t="s">
        <v>92</v>
      </c>
      <c r="C40" s="12">
        <v>15</v>
      </c>
      <c r="D40" s="8">
        <v>1.67</v>
      </c>
      <c r="E40" s="12">
        <v>12</v>
      </c>
      <c r="F40" s="8">
        <v>2.0499999999999998</v>
      </c>
      <c r="G40" s="12">
        <v>3</v>
      </c>
      <c r="H40" s="8">
        <v>0.99</v>
      </c>
      <c r="I40" s="12">
        <v>0</v>
      </c>
    </row>
    <row r="41" spans="2:9" ht="15" customHeight="1" x14ac:dyDescent="0.2">
      <c r="B41" t="s">
        <v>68</v>
      </c>
      <c r="C41" s="12">
        <v>15</v>
      </c>
      <c r="D41" s="8">
        <v>1.67</v>
      </c>
      <c r="E41" s="12">
        <v>9</v>
      </c>
      <c r="F41" s="8">
        <v>1.54</v>
      </c>
      <c r="G41" s="12">
        <v>6</v>
      </c>
      <c r="H41" s="8">
        <v>1.98</v>
      </c>
      <c r="I41" s="12">
        <v>0</v>
      </c>
    </row>
    <row r="42" spans="2:9" ht="15" customHeight="1" x14ac:dyDescent="0.2">
      <c r="B42" t="s">
        <v>86</v>
      </c>
      <c r="C42" s="12">
        <v>13</v>
      </c>
      <c r="D42" s="8">
        <v>1.45</v>
      </c>
      <c r="E42" s="12">
        <v>0</v>
      </c>
      <c r="F42" s="8">
        <v>0</v>
      </c>
      <c r="G42" s="12">
        <v>13</v>
      </c>
      <c r="H42" s="8">
        <v>4.29</v>
      </c>
      <c r="I42" s="12">
        <v>0</v>
      </c>
    </row>
    <row r="43" spans="2:9" ht="15" customHeight="1" x14ac:dyDescent="0.2">
      <c r="B43" t="s">
        <v>79</v>
      </c>
      <c r="C43" s="12">
        <v>13</v>
      </c>
      <c r="D43" s="8">
        <v>1.45</v>
      </c>
      <c r="E43" s="12">
        <v>4</v>
      </c>
      <c r="F43" s="8">
        <v>0.68</v>
      </c>
      <c r="G43" s="12">
        <v>9</v>
      </c>
      <c r="H43" s="8">
        <v>2.97</v>
      </c>
      <c r="I43" s="12">
        <v>0</v>
      </c>
    </row>
    <row r="44" spans="2:9" ht="15" customHeight="1" x14ac:dyDescent="0.2">
      <c r="B44" t="s">
        <v>84</v>
      </c>
      <c r="C44" s="12">
        <v>13</v>
      </c>
      <c r="D44" s="8">
        <v>1.45</v>
      </c>
      <c r="E44" s="12">
        <v>12</v>
      </c>
      <c r="F44" s="8">
        <v>2.0499999999999998</v>
      </c>
      <c r="G44" s="12">
        <v>1</v>
      </c>
      <c r="H44" s="8">
        <v>0.33</v>
      </c>
      <c r="I44" s="12">
        <v>0</v>
      </c>
    </row>
    <row r="47" spans="2:9" ht="33" customHeight="1" x14ac:dyDescent="0.2">
      <c r="B47" t="s">
        <v>262</v>
      </c>
      <c r="C47" s="10" t="s">
        <v>58</v>
      </c>
      <c r="D47" s="10" t="s">
        <v>59</v>
      </c>
      <c r="E47" s="10" t="s">
        <v>60</v>
      </c>
      <c r="F47" s="10" t="s">
        <v>61</v>
      </c>
      <c r="G47" s="10" t="s">
        <v>62</v>
      </c>
      <c r="H47" s="10" t="s">
        <v>63</v>
      </c>
      <c r="I47" s="10" t="s">
        <v>64</v>
      </c>
    </row>
    <row r="48" spans="2:9" ht="15" customHeight="1" x14ac:dyDescent="0.2">
      <c r="B48" t="s">
        <v>128</v>
      </c>
      <c r="C48" s="12">
        <v>157</v>
      </c>
      <c r="D48" s="8">
        <v>17.48</v>
      </c>
      <c r="E48" s="12">
        <v>123</v>
      </c>
      <c r="F48" s="8">
        <v>21.03</v>
      </c>
      <c r="G48" s="12">
        <v>34</v>
      </c>
      <c r="H48" s="8">
        <v>11.22</v>
      </c>
      <c r="I48" s="12">
        <v>0</v>
      </c>
    </row>
    <row r="49" spans="2:9" ht="15" customHeight="1" x14ac:dyDescent="0.2">
      <c r="B49" t="s">
        <v>136</v>
      </c>
      <c r="C49" s="12">
        <v>44</v>
      </c>
      <c r="D49" s="8">
        <v>4.9000000000000004</v>
      </c>
      <c r="E49" s="12">
        <v>38</v>
      </c>
      <c r="F49" s="8">
        <v>6.5</v>
      </c>
      <c r="G49" s="12">
        <v>6</v>
      </c>
      <c r="H49" s="8">
        <v>1.98</v>
      </c>
      <c r="I49" s="12">
        <v>0</v>
      </c>
    </row>
    <row r="50" spans="2:9" ht="15" customHeight="1" x14ac:dyDescent="0.2">
      <c r="B50" t="s">
        <v>139</v>
      </c>
      <c r="C50" s="12">
        <v>39</v>
      </c>
      <c r="D50" s="8">
        <v>4.34</v>
      </c>
      <c r="E50" s="12">
        <v>39</v>
      </c>
      <c r="F50" s="8">
        <v>6.67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132</v>
      </c>
      <c r="C51" s="12">
        <v>34</v>
      </c>
      <c r="D51" s="8">
        <v>3.79</v>
      </c>
      <c r="E51" s="12">
        <v>31</v>
      </c>
      <c r="F51" s="8">
        <v>5.3</v>
      </c>
      <c r="G51" s="12">
        <v>3</v>
      </c>
      <c r="H51" s="8">
        <v>0.99</v>
      </c>
      <c r="I51" s="12">
        <v>0</v>
      </c>
    </row>
    <row r="52" spans="2:9" ht="15" customHeight="1" x14ac:dyDescent="0.2">
      <c r="B52" t="s">
        <v>135</v>
      </c>
      <c r="C52" s="12">
        <v>26</v>
      </c>
      <c r="D52" s="8">
        <v>2.9</v>
      </c>
      <c r="E52" s="12">
        <v>26</v>
      </c>
      <c r="F52" s="8">
        <v>4.4400000000000004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127</v>
      </c>
      <c r="C53" s="12">
        <v>23</v>
      </c>
      <c r="D53" s="8">
        <v>2.56</v>
      </c>
      <c r="E53" s="12">
        <v>14</v>
      </c>
      <c r="F53" s="8">
        <v>2.39</v>
      </c>
      <c r="G53" s="12">
        <v>9</v>
      </c>
      <c r="H53" s="8">
        <v>2.97</v>
      </c>
      <c r="I53" s="12">
        <v>0</v>
      </c>
    </row>
    <row r="54" spans="2:9" ht="15" customHeight="1" x14ac:dyDescent="0.2">
      <c r="B54" t="s">
        <v>124</v>
      </c>
      <c r="C54" s="12">
        <v>22</v>
      </c>
      <c r="D54" s="8">
        <v>2.4500000000000002</v>
      </c>
      <c r="E54" s="12">
        <v>18</v>
      </c>
      <c r="F54" s="8">
        <v>3.08</v>
      </c>
      <c r="G54" s="12">
        <v>4</v>
      </c>
      <c r="H54" s="8">
        <v>1.32</v>
      </c>
      <c r="I54" s="12">
        <v>0</v>
      </c>
    </row>
    <row r="55" spans="2:9" ht="15" customHeight="1" x14ac:dyDescent="0.2">
      <c r="B55" t="s">
        <v>122</v>
      </c>
      <c r="C55" s="12">
        <v>20</v>
      </c>
      <c r="D55" s="8">
        <v>2.23</v>
      </c>
      <c r="E55" s="12">
        <v>3</v>
      </c>
      <c r="F55" s="8">
        <v>0.51</v>
      </c>
      <c r="G55" s="12">
        <v>17</v>
      </c>
      <c r="H55" s="8">
        <v>5.61</v>
      </c>
      <c r="I55" s="12">
        <v>0</v>
      </c>
    </row>
    <row r="56" spans="2:9" ht="15" customHeight="1" x14ac:dyDescent="0.2">
      <c r="B56" t="s">
        <v>138</v>
      </c>
      <c r="C56" s="12">
        <v>18</v>
      </c>
      <c r="D56" s="8">
        <v>2</v>
      </c>
      <c r="E56" s="12">
        <v>14</v>
      </c>
      <c r="F56" s="8">
        <v>2.39</v>
      </c>
      <c r="G56" s="12">
        <v>4</v>
      </c>
      <c r="H56" s="8">
        <v>1.32</v>
      </c>
      <c r="I56" s="12">
        <v>0</v>
      </c>
    </row>
    <row r="57" spans="2:9" ht="15" customHeight="1" x14ac:dyDescent="0.2">
      <c r="B57" t="s">
        <v>147</v>
      </c>
      <c r="C57" s="12">
        <v>17</v>
      </c>
      <c r="D57" s="8">
        <v>1.89</v>
      </c>
      <c r="E57" s="12">
        <v>8</v>
      </c>
      <c r="F57" s="8">
        <v>1.37</v>
      </c>
      <c r="G57" s="12">
        <v>9</v>
      </c>
      <c r="H57" s="8">
        <v>2.97</v>
      </c>
      <c r="I57" s="12">
        <v>0</v>
      </c>
    </row>
    <row r="58" spans="2:9" ht="15" customHeight="1" x14ac:dyDescent="0.2">
      <c r="B58" t="s">
        <v>151</v>
      </c>
      <c r="C58" s="12">
        <v>16</v>
      </c>
      <c r="D58" s="8">
        <v>1.78</v>
      </c>
      <c r="E58" s="12">
        <v>4</v>
      </c>
      <c r="F58" s="8">
        <v>0.68</v>
      </c>
      <c r="G58" s="12">
        <v>12</v>
      </c>
      <c r="H58" s="8">
        <v>3.96</v>
      </c>
      <c r="I58" s="12">
        <v>0</v>
      </c>
    </row>
    <row r="59" spans="2:9" ht="15" customHeight="1" x14ac:dyDescent="0.2">
      <c r="B59" t="s">
        <v>167</v>
      </c>
      <c r="C59" s="12">
        <v>16</v>
      </c>
      <c r="D59" s="8">
        <v>1.78</v>
      </c>
      <c r="E59" s="12">
        <v>15</v>
      </c>
      <c r="F59" s="8">
        <v>2.56</v>
      </c>
      <c r="G59" s="12">
        <v>1</v>
      </c>
      <c r="H59" s="8">
        <v>0.33</v>
      </c>
      <c r="I59" s="12">
        <v>0</v>
      </c>
    </row>
    <row r="60" spans="2:9" ht="15" customHeight="1" x14ac:dyDescent="0.2">
      <c r="B60" t="s">
        <v>140</v>
      </c>
      <c r="C60" s="12">
        <v>16</v>
      </c>
      <c r="D60" s="8">
        <v>1.78</v>
      </c>
      <c r="E60" s="12">
        <v>15</v>
      </c>
      <c r="F60" s="8">
        <v>2.56</v>
      </c>
      <c r="G60" s="12">
        <v>1</v>
      </c>
      <c r="H60" s="8">
        <v>0.33</v>
      </c>
      <c r="I60" s="12">
        <v>0</v>
      </c>
    </row>
    <row r="61" spans="2:9" ht="15" customHeight="1" x14ac:dyDescent="0.2">
      <c r="B61" t="s">
        <v>129</v>
      </c>
      <c r="C61" s="12">
        <v>15</v>
      </c>
      <c r="D61" s="8">
        <v>1.67</v>
      </c>
      <c r="E61" s="12">
        <v>6</v>
      </c>
      <c r="F61" s="8">
        <v>1.03</v>
      </c>
      <c r="G61" s="12">
        <v>9</v>
      </c>
      <c r="H61" s="8">
        <v>2.97</v>
      </c>
      <c r="I61" s="12">
        <v>0</v>
      </c>
    </row>
    <row r="62" spans="2:9" ht="15" customHeight="1" x14ac:dyDescent="0.2">
      <c r="B62" t="s">
        <v>146</v>
      </c>
      <c r="C62" s="12">
        <v>14</v>
      </c>
      <c r="D62" s="8">
        <v>1.56</v>
      </c>
      <c r="E62" s="12">
        <v>3</v>
      </c>
      <c r="F62" s="8">
        <v>0.51</v>
      </c>
      <c r="G62" s="12">
        <v>11</v>
      </c>
      <c r="H62" s="8">
        <v>3.63</v>
      </c>
      <c r="I62" s="12">
        <v>0</v>
      </c>
    </row>
    <row r="63" spans="2:9" ht="15" customHeight="1" x14ac:dyDescent="0.2">
      <c r="B63" t="s">
        <v>209</v>
      </c>
      <c r="C63" s="12">
        <v>14</v>
      </c>
      <c r="D63" s="8">
        <v>1.56</v>
      </c>
      <c r="E63" s="12">
        <v>6</v>
      </c>
      <c r="F63" s="8">
        <v>1.03</v>
      </c>
      <c r="G63" s="12">
        <v>8</v>
      </c>
      <c r="H63" s="8">
        <v>2.64</v>
      </c>
      <c r="I63" s="12">
        <v>0</v>
      </c>
    </row>
    <row r="64" spans="2:9" ht="15" customHeight="1" x14ac:dyDescent="0.2">
      <c r="B64" t="s">
        <v>201</v>
      </c>
      <c r="C64" s="12">
        <v>14</v>
      </c>
      <c r="D64" s="8">
        <v>1.56</v>
      </c>
      <c r="E64" s="12">
        <v>11</v>
      </c>
      <c r="F64" s="8">
        <v>1.88</v>
      </c>
      <c r="G64" s="12">
        <v>3</v>
      </c>
      <c r="H64" s="8">
        <v>0.99</v>
      </c>
      <c r="I64" s="12">
        <v>0</v>
      </c>
    </row>
    <row r="65" spans="2:9" ht="15" customHeight="1" x14ac:dyDescent="0.2">
      <c r="B65" t="s">
        <v>123</v>
      </c>
      <c r="C65" s="12">
        <v>14</v>
      </c>
      <c r="D65" s="8">
        <v>1.56</v>
      </c>
      <c r="E65" s="12">
        <v>10</v>
      </c>
      <c r="F65" s="8">
        <v>1.71</v>
      </c>
      <c r="G65" s="12">
        <v>4</v>
      </c>
      <c r="H65" s="8">
        <v>1.32</v>
      </c>
      <c r="I65" s="12">
        <v>0</v>
      </c>
    </row>
    <row r="66" spans="2:9" ht="15" customHeight="1" x14ac:dyDescent="0.2">
      <c r="B66" t="s">
        <v>213</v>
      </c>
      <c r="C66" s="12">
        <v>13</v>
      </c>
      <c r="D66" s="8">
        <v>1.45</v>
      </c>
      <c r="E66" s="12">
        <v>5</v>
      </c>
      <c r="F66" s="8">
        <v>0.85</v>
      </c>
      <c r="G66" s="12">
        <v>8</v>
      </c>
      <c r="H66" s="8">
        <v>2.64</v>
      </c>
      <c r="I66" s="12">
        <v>0</v>
      </c>
    </row>
    <row r="67" spans="2:9" ht="15" customHeight="1" x14ac:dyDescent="0.2">
      <c r="B67" t="s">
        <v>133</v>
      </c>
      <c r="C67" s="12">
        <v>13</v>
      </c>
      <c r="D67" s="8">
        <v>1.45</v>
      </c>
      <c r="E67" s="12">
        <v>13</v>
      </c>
      <c r="F67" s="8">
        <v>2.2200000000000002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141</v>
      </c>
      <c r="C68" s="12">
        <v>13</v>
      </c>
      <c r="D68" s="8">
        <v>1.45</v>
      </c>
      <c r="E68" s="12">
        <v>12</v>
      </c>
      <c r="F68" s="8">
        <v>2.0499999999999998</v>
      </c>
      <c r="G68" s="12">
        <v>1</v>
      </c>
      <c r="H68" s="8">
        <v>0.33</v>
      </c>
      <c r="I68" s="12">
        <v>0</v>
      </c>
    </row>
    <row r="70" spans="2:9" ht="15" customHeight="1" x14ac:dyDescent="0.2">
      <c r="B70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00A5A-B4FA-436B-9CC0-145DA77B5337}">
  <sheetPr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292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4</v>
      </c>
      <c r="D6" s="8">
        <v>5.63</v>
      </c>
      <c r="E6" s="12">
        <v>3</v>
      </c>
      <c r="F6" s="8">
        <v>5.66</v>
      </c>
      <c r="G6" s="12">
        <v>1</v>
      </c>
      <c r="H6" s="8">
        <v>8.33</v>
      </c>
      <c r="I6" s="12">
        <v>0</v>
      </c>
    </row>
    <row r="7" spans="2:9" ht="15" customHeight="1" x14ac:dyDescent="0.2">
      <c r="B7" t="s">
        <v>44</v>
      </c>
      <c r="C7" s="12">
        <v>1</v>
      </c>
      <c r="D7" s="8">
        <v>1.41</v>
      </c>
      <c r="E7" s="12">
        <v>1</v>
      </c>
      <c r="F7" s="8">
        <v>1.89</v>
      </c>
      <c r="G7" s="12">
        <v>0</v>
      </c>
      <c r="H7" s="8">
        <v>0</v>
      </c>
      <c r="I7" s="12">
        <v>0</v>
      </c>
    </row>
    <row r="8" spans="2:9" ht="15" customHeight="1" x14ac:dyDescent="0.2">
      <c r="B8" t="s">
        <v>45</v>
      </c>
      <c r="C8" s="12">
        <v>1</v>
      </c>
      <c r="D8" s="8">
        <v>1.41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46</v>
      </c>
      <c r="C9" s="12">
        <v>1</v>
      </c>
      <c r="D9" s="8">
        <v>1.41</v>
      </c>
      <c r="E9" s="12">
        <v>1</v>
      </c>
      <c r="F9" s="8">
        <v>1.89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47</v>
      </c>
      <c r="C10" s="12">
        <v>3</v>
      </c>
      <c r="D10" s="8">
        <v>4.2300000000000004</v>
      </c>
      <c r="E10" s="12">
        <v>2</v>
      </c>
      <c r="F10" s="8">
        <v>3.77</v>
      </c>
      <c r="G10" s="12">
        <v>1</v>
      </c>
      <c r="H10" s="8">
        <v>8.33</v>
      </c>
      <c r="I10" s="12">
        <v>0</v>
      </c>
    </row>
    <row r="11" spans="2:9" ht="15" customHeight="1" x14ac:dyDescent="0.2">
      <c r="B11" t="s">
        <v>48</v>
      </c>
      <c r="C11" s="12">
        <v>4</v>
      </c>
      <c r="D11" s="8">
        <v>5.63</v>
      </c>
      <c r="E11" s="12">
        <v>3</v>
      </c>
      <c r="F11" s="8">
        <v>5.66</v>
      </c>
      <c r="G11" s="12">
        <v>1</v>
      </c>
      <c r="H11" s="8">
        <v>8.33</v>
      </c>
      <c r="I11" s="12">
        <v>0</v>
      </c>
    </row>
    <row r="12" spans="2:9" ht="15" customHeight="1" x14ac:dyDescent="0.2">
      <c r="B12" t="s">
        <v>49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50</v>
      </c>
      <c r="C13" s="12">
        <v>4</v>
      </c>
      <c r="D13" s="8">
        <v>5.63</v>
      </c>
      <c r="E13" s="12">
        <v>2</v>
      </c>
      <c r="F13" s="8">
        <v>3.77</v>
      </c>
      <c r="G13" s="12">
        <v>2</v>
      </c>
      <c r="H13" s="8">
        <v>16.670000000000002</v>
      </c>
      <c r="I13" s="12">
        <v>0</v>
      </c>
    </row>
    <row r="14" spans="2:9" ht="15" customHeight="1" x14ac:dyDescent="0.2">
      <c r="B14" t="s">
        <v>51</v>
      </c>
      <c r="C14" s="12">
        <v>2</v>
      </c>
      <c r="D14" s="8">
        <v>2.82</v>
      </c>
      <c r="E14" s="12">
        <v>2</v>
      </c>
      <c r="F14" s="8">
        <v>3.77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52</v>
      </c>
      <c r="C15" s="12">
        <v>24</v>
      </c>
      <c r="D15" s="8">
        <v>33.799999999999997</v>
      </c>
      <c r="E15" s="12">
        <v>20</v>
      </c>
      <c r="F15" s="8">
        <v>37.74</v>
      </c>
      <c r="G15" s="12">
        <v>3</v>
      </c>
      <c r="H15" s="8">
        <v>25</v>
      </c>
      <c r="I15" s="12">
        <v>0</v>
      </c>
    </row>
    <row r="16" spans="2:9" ht="15" customHeight="1" x14ac:dyDescent="0.2">
      <c r="B16" t="s">
        <v>53</v>
      </c>
      <c r="C16" s="12">
        <v>20</v>
      </c>
      <c r="D16" s="8">
        <v>28.17</v>
      </c>
      <c r="E16" s="12">
        <v>17</v>
      </c>
      <c r="F16" s="8">
        <v>32.08</v>
      </c>
      <c r="G16" s="12">
        <v>2</v>
      </c>
      <c r="H16" s="8">
        <v>16.670000000000002</v>
      </c>
      <c r="I16" s="12">
        <v>0</v>
      </c>
    </row>
    <row r="17" spans="2:9" ht="15" customHeight="1" x14ac:dyDescent="0.2">
      <c r="B17" t="s">
        <v>54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55</v>
      </c>
      <c r="C18" s="12">
        <v>3</v>
      </c>
      <c r="D18" s="8">
        <v>4.2300000000000004</v>
      </c>
      <c r="E18" s="12">
        <v>1</v>
      </c>
      <c r="F18" s="8">
        <v>1.89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56</v>
      </c>
      <c r="C19" s="12">
        <v>4</v>
      </c>
      <c r="D19" s="8">
        <v>5.63</v>
      </c>
      <c r="E19" s="12">
        <v>1</v>
      </c>
      <c r="F19" s="8">
        <v>1.89</v>
      </c>
      <c r="G19" s="12">
        <v>2</v>
      </c>
      <c r="H19" s="8">
        <v>16.670000000000002</v>
      </c>
      <c r="I19" s="12">
        <v>0</v>
      </c>
    </row>
    <row r="20" spans="2:9" ht="15" customHeight="1" x14ac:dyDescent="0.2">
      <c r="B20" s="9" t="s">
        <v>260</v>
      </c>
      <c r="C20" s="12">
        <f>SUM(LTBL_47353[総数／事業所数])</f>
        <v>71</v>
      </c>
      <c r="E20" s="12">
        <f>SUBTOTAL(109,LTBL_47353[個人／事業所数])</f>
        <v>53</v>
      </c>
      <c r="G20" s="12">
        <f>SUBTOTAL(109,LTBL_47353[法人／事業所数])</f>
        <v>12</v>
      </c>
      <c r="I20" s="12">
        <f>SUBTOTAL(109,LTBL_47353[法人以外の団体／事業所数])</f>
        <v>0</v>
      </c>
    </row>
    <row r="21" spans="2:9" ht="15" customHeight="1" x14ac:dyDescent="0.2">
      <c r="E21" s="11">
        <f>LTBL_47353[[#Totals],[個人／事業所数]]/LTBL_47353[[#Totals],[総数／事業所数]]</f>
        <v>0.74647887323943662</v>
      </c>
      <c r="G21" s="11">
        <f>LTBL_47353[[#Totals],[法人／事業所数]]/LTBL_47353[[#Totals],[総数／事業所数]]</f>
        <v>0.16901408450704225</v>
      </c>
      <c r="I21" s="11">
        <f>LTBL_47353[[#Totals],[法人以外の団体／事業所数]]/LTBL_47353[[#Totals],[総数／事業所数]]</f>
        <v>0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80</v>
      </c>
      <c r="C24" s="12">
        <v>16</v>
      </c>
      <c r="D24" s="8">
        <v>22.54</v>
      </c>
      <c r="E24" s="12">
        <v>13</v>
      </c>
      <c r="F24" s="8">
        <v>24.53</v>
      </c>
      <c r="G24" s="12">
        <v>2</v>
      </c>
      <c r="H24" s="8">
        <v>16.670000000000002</v>
      </c>
      <c r="I24" s="12">
        <v>0</v>
      </c>
    </row>
    <row r="25" spans="2:9" ht="15" customHeight="1" x14ac:dyDescent="0.2">
      <c r="B25" t="s">
        <v>76</v>
      </c>
      <c r="C25" s="12">
        <v>12</v>
      </c>
      <c r="D25" s="8">
        <v>16.899999999999999</v>
      </c>
      <c r="E25" s="12">
        <v>11</v>
      </c>
      <c r="F25" s="8">
        <v>20.75</v>
      </c>
      <c r="G25" s="12">
        <v>1</v>
      </c>
      <c r="H25" s="8">
        <v>8.33</v>
      </c>
      <c r="I25" s="12">
        <v>0</v>
      </c>
    </row>
    <row r="26" spans="2:9" ht="15" customHeight="1" x14ac:dyDescent="0.2">
      <c r="B26" t="s">
        <v>77</v>
      </c>
      <c r="C26" s="12">
        <v>9</v>
      </c>
      <c r="D26" s="8">
        <v>12.68</v>
      </c>
      <c r="E26" s="12">
        <v>7</v>
      </c>
      <c r="F26" s="8">
        <v>13.21</v>
      </c>
      <c r="G26" s="12">
        <v>2</v>
      </c>
      <c r="H26" s="8">
        <v>16.670000000000002</v>
      </c>
      <c r="I26" s="12">
        <v>0</v>
      </c>
    </row>
    <row r="27" spans="2:9" ht="15" customHeight="1" x14ac:dyDescent="0.2">
      <c r="B27" t="s">
        <v>69</v>
      </c>
      <c r="C27" s="12">
        <v>4</v>
      </c>
      <c r="D27" s="8">
        <v>5.63</v>
      </c>
      <c r="E27" s="12">
        <v>3</v>
      </c>
      <c r="F27" s="8">
        <v>5.66</v>
      </c>
      <c r="G27" s="12">
        <v>1</v>
      </c>
      <c r="H27" s="8">
        <v>8.33</v>
      </c>
      <c r="I27" s="12">
        <v>0</v>
      </c>
    </row>
    <row r="28" spans="2:9" ht="15" customHeight="1" x14ac:dyDescent="0.2">
      <c r="B28" t="s">
        <v>65</v>
      </c>
      <c r="C28" s="12">
        <v>3</v>
      </c>
      <c r="D28" s="8">
        <v>4.2300000000000004</v>
      </c>
      <c r="E28" s="12">
        <v>2</v>
      </c>
      <c r="F28" s="8">
        <v>3.77</v>
      </c>
      <c r="G28" s="12">
        <v>1</v>
      </c>
      <c r="H28" s="8">
        <v>8.33</v>
      </c>
      <c r="I28" s="12">
        <v>0</v>
      </c>
    </row>
    <row r="29" spans="2:9" ht="15" customHeight="1" x14ac:dyDescent="0.2">
      <c r="B29" t="s">
        <v>91</v>
      </c>
      <c r="C29" s="12">
        <v>3</v>
      </c>
      <c r="D29" s="8">
        <v>4.2300000000000004</v>
      </c>
      <c r="E29" s="12">
        <v>2</v>
      </c>
      <c r="F29" s="8">
        <v>3.77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87</v>
      </c>
      <c r="C30" s="12">
        <v>3</v>
      </c>
      <c r="D30" s="8">
        <v>4.2300000000000004</v>
      </c>
      <c r="E30" s="12">
        <v>1</v>
      </c>
      <c r="F30" s="8">
        <v>1.89</v>
      </c>
      <c r="G30" s="12">
        <v>2</v>
      </c>
      <c r="H30" s="8">
        <v>16.670000000000002</v>
      </c>
      <c r="I30" s="12">
        <v>0</v>
      </c>
    </row>
    <row r="31" spans="2:9" ht="15" customHeight="1" x14ac:dyDescent="0.2">
      <c r="B31" t="s">
        <v>73</v>
      </c>
      <c r="C31" s="12">
        <v>2</v>
      </c>
      <c r="D31" s="8">
        <v>2.82</v>
      </c>
      <c r="E31" s="12">
        <v>0</v>
      </c>
      <c r="F31" s="8">
        <v>0</v>
      </c>
      <c r="G31" s="12">
        <v>2</v>
      </c>
      <c r="H31" s="8">
        <v>16.670000000000002</v>
      </c>
      <c r="I31" s="12">
        <v>0</v>
      </c>
    </row>
    <row r="32" spans="2:9" ht="15" customHeight="1" x14ac:dyDescent="0.2">
      <c r="B32" t="s">
        <v>94</v>
      </c>
      <c r="C32" s="12">
        <v>2</v>
      </c>
      <c r="D32" s="8">
        <v>2.82</v>
      </c>
      <c r="E32" s="12">
        <v>2</v>
      </c>
      <c r="F32" s="8">
        <v>3.77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78</v>
      </c>
      <c r="C33" s="12">
        <v>2</v>
      </c>
      <c r="D33" s="8">
        <v>2.82</v>
      </c>
      <c r="E33" s="12">
        <v>2</v>
      </c>
      <c r="F33" s="8">
        <v>3.77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79</v>
      </c>
      <c r="C34" s="12">
        <v>2</v>
      </c>
      <c r="D34" s="8">
        <v>2.82</v>
      </c>
      <c r="E34" s="12">
        <v>2</v>
      </c>
      <c r="F34" s="8">
        <v>3.77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83</v>
      </c>
      <c r="C35" s="12">
        <v>2</v>
      </c>
      <c r="D35" s="8">
        <v>2.82</v>
      </c>
      <c r="E35" s="12">
        <v>0</v>
      </c>
      <c r="F35" s="8">
        <v>0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67</v>
      </c>
      <c r="C36" s="12">
        <v>1</v>
      </c>
      <c r="D36" s="8">
        <v>1.41</v>
      </c>
      <c r="E36" s="12">
        <v>1</v>
      </c>
      <c r="F36" s="8">
        <v>1.89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95</v>
      </c>
      <c r="C37" s="12">
        <v>1</v>
      </c>
      <c r="D37" s="8">
        <v>1.41</v>
      </c>
      <c r="E37" s="12">
        <v>1</v>
      </c>
      <c r="F37" s="8">
        <v>1.89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101</v>
      </c>
      <c r="C38" s="12">
        <v>1</v>
      </c>
      <c r="D38" s="8">
        <v>1.41</v>
      </c>
      <c r="E38" s="12">
        <v>0</v>
      </c>
      <c r="F38" s="8">
        <v>0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111</v>
      </c>
      <c r="C39" s="12">
        <v>1</v>
      </c>
      <c r="D39" s="8">
        <v>1.41</v>
      </c>
      <c r="E39" s="12">
        <v>1</v>
      </c>
      <c r="F39" s="8">
        <v>1.89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96</v>
      </c>
      <c r="C40" s="12">
        <v>1</v>
      </c>
      <c r="D40" s="8">
        <v>1.41</v>
      </c>
      <c r="E40" s="12">
        <v>1</v>
      </c>
      <c r="F40" s="8">
        <v>1.89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93</v>
      </c>
      <c r="C41" s="12">
        <v>1</v>
      </c>
      <c r="D41" s="8">
        <v>1.41</v>
      </c>
      <c r="E41" s="12">
        <v>1</v>
      </c>
      <c r="F41" s="8">
        <v>1.89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103</v>
      </c>
      <c r="C42" s="12">
        <v>1</v>
      </c>
      <c r="D42" s="8">
        <v>1.41</v>
      </c>
      <c r="E42" s="12">
        <v>0</v>
      </c>
      <c r="F42" s="8">
        <v>0</v>
      </c>
      <c r="G42" s="12">
        <v>1</v>
      </c>
      <c r="H42" s="8">
        <v>8.33</v>
      </c>
      <c r="I42" s="12">
        <v>0</v>
      </c>
    </row>
    <row r="43" spans="2:9" ht="15" customHeight="1" x14ac:dyDescent="0.2">
      <c r="B43" t="s">
        <v>74</v>
      </c>
      <c r="C43" s="12">
        <v>1</v>
      </c>
      <c r="D43" s="8">
        <v>1.41</v>
      </c>
      <c r="E43" s="12">
        <v>1</v>
      </c>
      <c r="F43" s="8">
        <v>1.89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112</v>
      </c>
      <c r="C44" s="12">
        <v>1</v>
      </c>
      <c r="D44" s="8">
        <v>1.41</v>
      </c>
      <c r="E44" s="12">
        <v>1</v>
      </c>
      <c r="F44" s="8">
        <v>1.89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82</v>
      </c>
      <c r="C45" s="12">
        <v>1</v>
      </c>
      <c r="D45" s="8">
        <v>1.41</v>
      </c>
      <c r="E45" s="12">
        <v>1</v>
      </c>
      <c r="F45" s="8">
        <v>1.89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104</v>
      </c>
      <c r="C46" s="12">
        <v>1</v>
      </c>
      <c r="D46" s="8">
        <v>1.41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9" spans="2:9" ht="33" customHeight="1" x14ac:dyDescent="0.2">
      <c r="B49" t="s">
        <v>262</v>
      </c>
      <c r="C49" s="10" t="s">
        <v>58</v>
      </c>
      <c r="D49" s="10" t="s">
        <v>59</v>
      </c>
      <c r="E49" s="10" t="s">
        <v>60</v>
      </c>
      <c r="F49" s="10" t="s">
        <v>61</v>
      </c>
      <c r="G49" s="10" t="s">
        <v>62</v>
      </c>
      <c r="H49" s="10" t="s">
        <v>63</v>
      </c>
      <c r="I49" s="10" t="s">
        <v>64</v>
      </c>
    </row>
    <row r="50" spans="2:9" ht="15" customHeight="1" x14ac:dyDescent="0.2">
      <c r="B50" t="s">
        <v>150</v>
      </c>
      <c r="C50" s="12">
        <v>15</v>
      </c>
      <c r="D50" s="8">
        <v>21.13</v>
      </c>
      <c r="E50" s="12">
        <v>13</v>
      </c>
      <c r="F50" s="8">
        <v>24.53</v>
      </c>
      <c r="G50" s="12">
        <v>2</v>
      </c>
      <c r="H50" s="8">
        <v>16.670000000000002</v>
      </c>
      <c r="I50" s="12">
        <v>0</v>
      </c>
    </row>
    <row r="51" spans="2:9" ht="15" customHeight="1" x14ac:dyDescent="0.2">
      <c r="B51" t="s">
        <v>130</v>
      </c>
      <c r="C51" s="12">
        <v>12</v>
      </c>
      <c r="D51" s="8">
        <v>16.899999999999999</v>
      </c>
      <c r="E51" s="12">
        <v>11</v>
      </c>
      <c r="F51" s="8">
        <v>20.75</v>
      </c>
      <c r="G51" s="12">
        <v>1</v>
      </c>
      <c r="H51" s="8">
        <v>8.33</v>
      </c>
      <c r="I51" s="12">
        <v>0</v>
      </c>
    </row>
    <row r="52" spans="2:9" ht="15" customHeight="1" x14ac:dyDescent="0.2">
      <c r="B52" t="s">
        <v>132</v>
      </c>
      <c r="C52" s="12">
        <v>4</v>
      </c>
      <c r="D52" s="8">
        <v>5.63</v>
      </c>
      <c r="E52" s="12">
        <v>4</v>
      </c>
      <c r="F52" s="8">
        <v>7.55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122</v>
      </c>
      <c r="C53" s="12">
        <v>3</v>
      </c>
      <c r="D53" s="8">
        <v>4.2300000000000004</v>
      </c>
      <c r="E53" s="12">
        <v>2</v>
      </c>
      <c r="F53" s="8">
        <v>3.77</v>
      </c>
      <c r="G53" s="12">
        <v>1</v>
      </c>
      <c r="H53" s="8">
        <v>8.33</v>
      </c>
      <c r="I53" s="12">
        <v>0</v>
      </c>
    </row>
    <row r="54" spans="2:9" ht="15" customHeight="1" x14ac:dyDescent="0.2">
      <c r="B54" t="s">
        <v>156</v>
      </c>
      <c r="C54" s="12">
        <v>2</v>
      </c>
      <c r="D54" s="8">
        <v>2.82</v>
      </c>
      <c r="E54" s="12">
        <v>1</v>
      </c>
      <c r="F54" s="8">
        <v>1.89</v>
      </c>
      <c r="G54" s="12">
        <v>1</v>
      </c>
      <c r="H54" s="8">
        <v>8.33</v>
      </c>
      <c r="I54" s="12">
        <v>0</v>
      </c>
    </row>
    <row r="55" spans="2:9" ht="15" customHeight="1" x14ac:dyDescent="0.2">
      <c r="B55" t="s">
        <v>123</v>
      </c>
      <c r="C55" s="12">
        <v>2</v>
      </c>
      <c r="D55" s="8">
        <v>2.82</v>
      </c>
      <c r="E55" s="12">
        <v>2</v>
      </c>
      <c r="F55" s="8">
        <v>3.77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217</v>
      </c>
      <c r="C56" s="12">
        <v>2</v>
      </c>
      <c r="D56" s="8">
        <v>2.82</v>
      </c>
      <c r="E56" s="12">
        <v>2</v>
      </c>
      <c r="F56" s="8">
        <v>3.77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149</v>
      </c>
      <c r="C57" s="12">
        <v>2</v>
      </c>
      <c r="D57" s="8">
        <v>2.82</v>
      </c>
      <c r="E57" s="12">
        <v>2</v>
      </c>
      <c r="F57" s="8">
        <v>3.77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133</v>
      </c>
      <c r="C58" s="12">
        <v>2</v>
      </c>
      <c r="D58" s="8">
        <v>2.82</v>
      </c>
      <c r="E58" s="12">
        <v>1</v>
      </c>
      <c r="F58" s="8">
        <v>1.89</v>
      </c>
      <c r="G58" s="12">
        <v>1</v>
      </c>
      <c r="H58" s="8">
        <v>8.33</v>
      </c>
      <c r="I58" s="12">
        <v>0</v>
      </c>
    </row>
    <row r="59" spans="2:9" ht="15" customHeight="1" x14ac:dyDescent="0.2">
      <c r="B59" t="s">
        <v>206</v>
      </c>
      <c r="C59" s="12">
        <v>2</v>
      </c>
      <c r="D59" s="8">
        <v>2.82</v>
      </c>
      <c r="E59" s="12">
        <v>2</v>
      </c>
      <c r="F59" s="8">
        <v>3.77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194</v>
      </c>
      <c r="C60" s="12">
        <v>2</v>
      </c>
      <c r="D60" s="8">
        <v>2.82</v>
      </c>
      <c r="E60" s="12">
        <v>2</v>
      </c>
      <c r="F60" s="8">
        <v>3.77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183</v>
      </c>
      <c r="C61" s="12">
        <v>2</v>
      </c>
      <c r="D61" s="8">
        <v>2.82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204</v>
      </c>
      <c r="C62" s="12">
        <v>2</v>
      </c>
      <c r="D62" s="8">
        <v>2.82</v>
      </c>
      <c r="E62" s="12">
        <v>1</v>
      </c>
      <c r="F62" s="8">
        <v>1.89</v>
      </c>
      <c r="G62" s="12">
        <v>1</v>
      </c>
      <c r="H62" s="8">
        <v>8.33</v>
      </c>
      <c r="I62" s="12">
        <v>0</v>
      </c>
    </row>
    <row r="63" spans="2:9" ht="15" customHeight="1" x14ac:dyDescent="0.2">
      <c r="B63" t="s">
        <v>146</v>
      </c>
      <c r="C63" s="12">
        <v>1</v>
      </c>
      <c r="D63" s="8">
        <v>1.41</v>
      </c>
      <c r="E63" s="12">
        <v>1</v>
      </c>
      <c r="F63" s="8">
        <v>1.89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214</v>
      </c>
      <c r="C64" s="12">
        <v>1</v>
      </c>
      <c r="D64" s="8">
        <v>1.41</v>
      </c>
      <c r="E64" s="12">
        <v>1</v>
      </c>
      <c r="F64" s="8">
        <v>1.89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171</v>
      </c>
      <c r="C65" s="12">
        <v>1</v>
      </c>
      <c r="D65" s="8">
        <v>1.41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215</v>
      </c>
      <c r="C66" s="12">
        <v>1</v>
      </c>
      <c r="D66" s="8">
        <v>1.41</v>
      </c>
      <c r="E66" s="12">
        <v>1</v>
      </c>
      <c r="F66" s="8">
        <v>1.89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157</v>
      </c>
      <c r="C67" s="12">
        <v>1</v>
      </c>
      <c r="D67" s="8">
        <v>1.41</v>
      </c>
      <c r="E67" s="12">
        <v>1</v>
      </c>
      <c r="F67" s="8">
        <v>1.89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155</v>
      </c>
      <c r="C68" s="12">
        <v>1</v>
      </c>
      <c r="D68" s="8">
        <v>1.41</v>
      </c>
      <c r="E68" s="12">
        <v>1</v>
      </c>
      <c r="F68" s="8">
        <v>1.89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216</v>
      </c>
      <c r="C69" s="12">
        <v>1</v>
      </c>
      <c r="D69" s="8">
        <v>1.41</v>
      </c>
      <c r="E69" s="12">
        <v>0</v>
      </c>
      <c r="F69" s="8">
        <v>0</v>
      </c>
      <c r="G69" s="12">
        <v>1</v>
      </c>
      <c r="H69" s="8">
        <v>8.33</v>
      </c>
      <c r="I69" s="12">
        <v>0</v>
      </c>
    </row>
    <row r="70" spans="2:9" ht="15" customHeight="1" x14ac:dyDescent="0.2">
      <c r="B70" t="s">
        <v>128</v>
      </c>
      <c r="C70" s="12">
        <v>1</v>
      </c>
      <c r="D70" s="8">
        <v>1.41</v>
      </c>
      <c r="E70" s="12">
        <v>0</v>
      </c>
      <c r="F70" s="8">
        <v>0</v>
      </c>
      <c r="G70" s="12">
        <v>1</v>
      </c>
      <c r="H70" s="8">
        <v>8.33</v>
      </c>
      <c r="I70" s="12">
        <v>0</v>
      </c>
    </row>
    <row r="71" spans="2:9" ht="15" customHeight="1" x14ac:dyDescent="0.2">
      <c r="B71" t="s">
        <v>213</v>
      </c>
      <c r="C71" s="12">
        <v>1</v>
      </c>
      <c r="D71" s="8">
        <v>1.41</v>
      </c>
      <c r="E71" s="12">
        <v>0</v>
      </c>
      <c r="F71" s="8">
        <v>0</v>
      </c>
      <c r="G71" s="12">
        <v>1</v>
      </c>
      <c r="H71" s="8">
        <v>8.33</v>
      </c>
      <c r="I71" s="12">
        <v>0</v>
      </c>
    </row>
    <row r="72" spans="2:9" ht="15" customHeight="1" x14ac:dyDescent="0.2">
      <c r="B72" t="s">
        <v>218</v>
      </c>
      <c r="C72" s="12">
        <v>1</v>
      </c>
      <c r="D72" s="8">
        <v>1.41</v>
      </c>
      <c r="E72" s="12">
        <v>1</v>
      </c>
      <c r="F72" s="8">
        <v>1.89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219</v>
      </c>
      <c r="C73" s="12">
        <v>1</v>
      </c>
      <c r="D73" s="8">
        <v>1.41</v>
      </c>
      <c r="E73" s="12">
        <v>1</v>
      </c>
      <c r="F73" s="8">
        <v>1.89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131</v>
      </c>
      <c r="C74" s="12">
        <v>1</v>
      </c>
      <c r="D74" s="8">
        <v>1.41</v>
      </c>
      <c r="E74" s="12">
        <v>0</v>
      </c>
      <c r="F74" s="8">
        <v>0</v>
      </c>
      <c r="G74" s="12">
        <v>1</v>
      </c>
      <c r="H74" s="8">
        <v>8.33</v>
      </c>
      <c r="I74" s="12">
        <v>0</v>
      </c>
    </row>
    <row r="75" spans="2:9" ht="15" customHeight="1" x14ac:dyDescent="0.2">
      <c r="B75" t="s">
        <v>180</v>
      </c>
      <c r="C75" s="12">
        <v>1</v>
      </c>
      <c r="D75" s="8">
        <v>1.41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135</v>
      </c>
      <c r="C76" s="12">
        <v>1</v>
      </c>
      <c r="D76" s="8">
        <v>1.41</v>
      </c>
      <c r="E76" s="12">
        <v>1</v>
      </c>
      <c r="F76" s="8">
        <v>1.89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137</v>
      </c>
      <c r="C77" s="12">
        <v>1</v>
      </c>
      <c r="D77" s="8">
        <v>1.41</v>
      </c>
      <c r="E77" s="12">
        <v>1</v>
      </c>
      <c r="F77" s="8">
        <v>1.89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220</v>
      </c>
      <c r="C78" s="12">
        <v>1</v>
      </c>
      <c r="D78" s="8">
        <v>1.41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196</v>
      </c>
      <c r="C79" s="12">
        <v>1</v>
      </c>
      <c r="D79" s="8">
        <v>1.41</v>
      </c>
      <c r="E79" s="12">
        <v>1</v>
      </c>
      <c r="F79" s="8">
        <v>1.89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203</v>
      </c>
      <c r="C80" s="12">
        <v>1</v>
      </c>
      <c r="D80" s="8">
        <v>1.41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221</v>
      </c>
      <c r="C81" s="12">
        <v>1</v>
      </c>
      <c r="D81" s="8">
        <v>1.41</v>
      </c>
      <c r="E81" s="12">
        <v>0</v>
      </c>
      <c r="F81" s="8">
        <v>0</v>
      </c>
      <c r="G81" s="12">
        <v>1</v>
      </c>
      <c r="H81" s="8">
        <v>8.33</v>
      </c>
      <c r="I81" s="12">
        <v>0</v>
      </c>
    </row>
    <row r="83" spans="2:9" ht="15" customHeight="1" x14ac:dyDescent="0.2">
      <c r="B83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E87BB-E8C9-4B7E-87E6-CCDC63FE01DB}">
  <sheetPr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293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4</v>
      </c>
      <c r="D6" s="8">
        <v>2.67</v>
      </c>
      <c r="E6" s="12">
        <v>3</v>
      </c>
      <c r="F6" s="8">
        <v>2.38</v>
      </c>
      <c r="G6" s="12">
        <v>1</v>
      </c>
      <c r="H6" s="8">
        <v>5.26</v>
      </c>
      <c r="I6" s="12">
        <v>0</v>
      </c>
    </row>
    <row r="7" spans="2:9" ht="15" customHeight="1" x14ac:dyDescent="0.2">
      <c r="B7" t="s">
        <v>44</v>
      </c>
      <c r="C7" s="12">
        <v>2</v>
      </c>
      <c r="D7" s="8">
        <v>1.33</v>
      </c>
      <c r="E7" s="12">
        <v>1</v>
      </c>
      <c r="F7" s="8">
        <v>0.79</v>
      </c>
      <c r="G7" s="12">
        <v>1</v>
      </c>
      <c r="H7" s="8">
        <v>5.26</v>
      </c>
      <c r="I7" s="12">
        <v>0</v>
      </c>
    </row>
    <row r="8" spans="2:9" ht="15" customHeight="1" x14ac:dyDescent="0.2">
      <c r="B8" t="s">
        <v>45</v>
      </c>
      <c r="C8" s="12">
        <v>1</v>
      </c>
      <c r="D8" s="8">
        <v>0.67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47</v>
      </c>
      <c r="C10" s="12">
        <v>3</v>
      </c>
      <c r="D10" s="8">
        <v>2</v>
      </c>
      <c r="E10" s="12">
        <v>2</v>
      </c>
      <c r="F10" s="8">
        <v>1.59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48</v>
      </c>
      <c r="C11" s="12">
        <v>15</v>
      </c>
      <c r="D11" s="8">
        <v>10</v>
      </c>
      <c r="E11" s="12">
        <v>12</v>
      </c>
      <c r="F11" s="8">
        <v>9.52</v>
      </c>
      <c r="G11" s="12">
        <v>3</v>
      </c>
      <c r="H11" s="8">
        <v>15.79</v>
      </c>
      <c r="I11" s="12">
        <v>0</v>
      </c>
    </row>
    <row r="12" spans="2:9" ht="15" customHeight="1" x14ac:dyDescent="0.2">
      <c r="B12" t="s">
        <v>49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50</v>
      </c>
      <c r="C13" s="12">
        <v>9</v>
      </c>
      <c r="D13" s="8">
        <v>6</v>
      </c>
      <c r="E13" s="12">
        <v>8</v>
      </c>
      <c r="F13" s="8">
        <v>6.35</v>
      </c>
      <c r="G13" s="12">
        <v>1</v>
      </c>
      <c r="H13" s="8">
        <v>5.26</v>
      </c>
      <c r="I13" s="12">
        <v>0</v>
      </c>
    </row>
    <row r="14" spans="2:9" ht="15" customHeight="1" x14ac:dyDescent="0.2">
      <c r="B14" t="s">
        <v>51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52</v>
      </c>
      <c r="C15" s="12">
        <v>75</v>
      </c>
      <c r="D15" s="8">
        <v>50</v>
      </c>
      <c r="E15" s="12">
        <v>66</v>
      </c>
      <c r="F15" s="8">
        <v>52.38</v>
      </c>
      <c r="G15" s="12">
        <v>8</v>
      </c>
      <c r="H15" s="8">
        <v>42.11</v>
      </c>
      <c r="I15" s="12">
        <v>0</v>
      </c>
    </row>
    <row r="16" spans="2:9" ht="15" customHeight="1" x14ac:dyDescent="0.2">
      <c r="B16" t="s">
        <v>53</v>
      </c>
      <c r="C16" s="12">
        <v>36</v>
      </c>
      <c r="D16" s="8">
        <v>24</v>
      </c>
      <c r="E16" s="12">
        <v>31</v>
      </c>
      <c r="F16" s="8">
        <v>24.6</v>
      </c>
      <c r="G16" s="12">
        <v>4</v>
      </c>
      <c r="H16" s="8">
        <v>21.05</v>
      </c>
      <c r="I16" s="12">
        <v>0</v>
      </c>
    </row>
    <row r="17" spans="2:9" ht="15" customHeight="1" x14ac:dyDescent="0.2">
      <c r="B17" t="s">
        <v>54</v>
      </c>
      <c r="C17" s="12">
        <v>3</v>
      </c>
      <c r="D17" s="8">
        <v>2</v>
      </c>
      <c r="E17" s="12">
        <v>3</v>
      </c>
      <c r="F17" s="8">
        <v>2.38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55</v>
      </c>
      <c r="C18" s="12">
        <v>2</v>
      </c>
      <c r="D18" s="8">
        <v>1.33</v>
      </c>
      <c r="E18" s="12">
        <v>0</v>
      </c>
      <c r="F18" s="8">
        <v>0</v>
      </c>
      <c r="G18" s="12">
        <v>1</v>
      </c>
      <c r="H18" s="8">
        <v>5.26</v>
      </c>
      <c r="I18" s="12">
        <v>0</v>
      </c>
    </row>
    <row r="19" spans="2:9" ht="15" customHeight="1" x14ac:dyDescent="0.2">
      <c r="B19" t="s">
        <v>56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260</v>
      </c>
      <c r="C20" s="12">
        <f>SUM(LTBL_47354[総数／事業所数])</f>
        <v>150</v>
      </c>
      <c r="E20" s="12">
        <f>SUBTOTAL(109,LTBL_47354[個人／事業所数])</f>
        <v>126</v>
      </c>
      <c r="G20" s="12">
        <f>SUBTOTAL(109,LTBL_47354[法人／事業所数])</f>
        <v>19</v>
      </c>
      <c r="I20" s="12">
        <f>SUBTOTAL(109,LTBL_47354[法人以外の団体／事業所数])</f>
        <v>0</v>
      </c>
    </row>
    <row r="21" spans="2:9" ht="15" customHeight="1" x14ac:dyDescent="0.2">
      <c r="E21" s="11">
        <f>LTBL_47354[[#Totals],[個人／事業所数]]/LTBL_47354[[#Totals],[総数／事業所数]]</f>
        <v>0.84</v>
      </c>
      <c r="G21" s="11">
        <f>LTBL_47354[[#Totals],[法人／事業所数]]/LTBL_47354[[#Totals],[総数／事業所数]]</f>
        <v>0.12666666666666668</v>
      </c>
      <c r="I21" s="11">
        <f>LTBL_47354[[#Totals],[法人以外の団体／事業所数]]/LTBL_47354[[#Totals],[総数／事業所数]]</f>
        <v>0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76</v>
      </c>
      <c r="C24" s="12">
        <v>51</v>
      </c>
      <c r="D24" s="8">
        <v>34</v>
      </c>
      <c r="E24" s="12">
        <v>44</v>
      </c>
      <c r="F24" s="8">
        <v>34.92</v>
      </c>
      <c r="G24" s="12">
        <v>7</v>
      </c>
      <c r="H24" s="8">
        <v>36.840000000000003</v>
      </c>
      <c r="I24" s="12">
        <v>0</v>
      </c>
    </row>
    <row r="25" spans="2:9" ht="15" customHeight="1" x14ac:dyDescent="0.2">
      <c r="B25" t="s">
        <v>80</v>
      </c>
      <c r="C25" s="12">
        <v>36</v>
      </c>
      <c r="D25" s="8">
        <v>24</v>
      </c>
      <c r="E25" s="12">
        <v>31</v>
      </c>
      <c r="F25" s="8">
        <v>24.6</v>
      </c>
      <c r="G25" s="12">
        <v>4</v>
      </c>
      <c r="H25" s="8">
        <v>21.05</v>
      </c>
      <c r="I25" s="12">
        <v>0</v>
      </c>
    </row>
    <row r="26" spans="2:9" ht="15" customHeight="1" x14ac:dyDescent="0.2">
      <c r="B26" t="s">
        <v>77</v>
      </c>
      <c r="C26" s="12">
        <v>22</v>
      </c>
      <c r="D26" s="8">
        <v>14.67</v>
      </c>
      <c r="E26" s="12">
        <v>21</v>
      </c>
      <c r="F26" s="8">
        <v>16.670000000000002</v>
      </c>
      <c r="G26" s="12">
        <v>1</v>
      </c>
      <c r="H26" s="8">
        <v>5.26</v>
      </c>
      <c r="I26" s="12">
        <v>0</v>
      </c>
    </row>
    <row r="27" spans="2:9" ht="15" customHeight="1" x14ac:dyDescent="0.2">
      <c r="B27" t="s">
        <v>69</v>
      </c>
      <c r="C27" s="12">
        <v>8</v>
      </c>
      <c r="D27" s="8">
        <v>5.33</v>
      </c>
      <c r="E27" s="12">
        <v>7</v>
      </c>
      <c r="F27" s="8">
        <v>5.56</v>
      </c>
      <c r="G27" s="12">
        <v>1</v>
      </c>
      <c r="H27" s="8">
        <v>5.26</v>
      </c>
      <c r="I27" s="12">
        <v>0</v>
      </c>
    </row>
    <row r="28" spans="2:9" ht="15" customHeight="1" x14ac:dyDescent="0.2">
      <c r="B28" t="s">
        <v>94</v>
      </c>
      <c r="C28" s="12">
        <v>8</v>
      </c>
      <c r="D28" s="8">
        <v>5.33</v>
      </c>
      <c r="E28" s="12">
        <v>8</v>
      </c>
      <c r="F28" s="8">
        <v>6.35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71</v>
      </c>
      <c r="C29" s="12">
        <v>4</v>
      </c>
      <c r="D29" s="8">
        <v>2.67</v>
      </c>
      <c r="E29" s="12">
        <v>2</v>
      </c>
      <c r="F29" s="8">
        <v>1.59</v>
      </c>
      <c r="G29" s="12">
        <v>2</v>
      </c>
      <c r="H29" s="8">
        <v>10.53</v>
      </c>
      <c r="I29" s="12">
        <v>0</v>
      </c>
    </row>
    <row r="30" spans="2:9" ht="15" customHeight="1" x14ac:dyDescent="0.2">
      <c r="B30" t="s">
        <v>81</v>
      </c>
      <c r="C30" s="12">
        <v>3</v>
      </c>
      <c r="D30" s="8">
        <v>2</v>
      </c>
      <c r="E30" s="12">
        <v>3</v>
      </c>
      <c r="F30" s="8">
        <v>2.38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66</v>
      </c>
      <c r="C31" s="12">
        <v>2</v>
      </c>
      <c r="D31" s="8">
        <v>1.33</v>
      </c>
      <c r="E31" s="12">
        <v>2</v>
      </c>
      <c r="F31" s="8">
        <v>1.59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95</v>
      </c>
      <c r="C32" s="12">
        <v>2</v>
      </c>
      <c r="D32" s="8">
        <v>1.33</v>
      </c>
      <c r="E32" s="12">
        <v>1</v>
      </c>
      <c r="F32" s="8">
        <v>0.79</v>
      </c>
      <c r="G32" s="12">
        <v>1</v>
      </c>
      <c r="H32" s="8">
        <v>5.26</v>
      </c>
      <c r="I32" s="12">
        <v>0</v>
      </c>
    </row>
    <row r="33" spans="2:9" ht="15" customHeight="1" x14ac:dyDescent="0.2">
      <c r="B33" t="s">
        <v>93</v>
      </c>
      <c r="C33" s="12">
        <v>2</v>
      </c>
      <c r="D33" s="8">
        <v>1.33</v>
      </c>
      <c r="E33" s="12">
        <v>2</v>
      </c>
      <c r="F33" s="8">
        <v>1.59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68</v>
      </c>
      <c r="C34" s="12">
        <v>2</v>
      </c>
      <c r="D34" s="8">
        <v>1.33</v>
      </c>
      <c r="E34" s="12">
        <v>2</v>
      </c>
      <c r="F34" s="8">
        <v>1.59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91</v>
      </c>
      <c r="C35" s="12">
        <v>2</v>
      </c>
      <c r="D35" s="8">
        <v>1.33</v>
      </c>
      <c r="E35" s="12">
        <v>1</v>
      </c>
      <c r="F35" s="8">
        <v>0.79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83</v>
      </c>
      <c r="C36" s="12">
        <v>2</v>
      </c>
      <c r="D36" s="8">
        <v>1.33</v>
      </c>
      <c r="E36" s="12">
        <v>0</v>
      </c>
      <c r="F36" s="8">
        <v>0</v>
      </c>
      <c r="G36" s="12">
        <v>1</v>
      </c>
      <c r="H36" s="8">
        <v>5.26</v>
      </c>
      <c r="I36" s="12">
        <v>0</v>
      </c>
    </row>
    <row r="37" spans="2:9" ht="15" customHeight="1" x14ac:dyDescent="0.2">
      <c r="B37" t="s">
        <v>65</v>
      </c>
      <c r="C37" s="12">
        <v>1</v>
      </c>
      <c r="D37" s="8">
        <v>0.67</v>
      </c>
      <c r="E37" s="12">
        <v>0</v>
      </c>
      <c r="F37" s="8">
        <v>0</v>
      </c>
      <c r="G37" s="12">
        <v>1</v>
      </c>
      <c r="H37" s="8">
        <v>5.26</v>
      </c>
      <c r="I37" s="12">
        <v>0</v>
      </c>
    </row>
    <row r="38" spans="2:9" ht="15" customHeight="1" x14ac:dyDescent="0.2">
      <c r="B38" t="s">
        <v>67</v>
      </c>
      <c r="C38" s="12">
        <v>1</v>
      </c>
      <c r="D38" s="8">
        <v>0.67</v>
      </c>
      <c r="E38" s="12">
        <v>1</v>
      </c>
      <c r="F38" s="8">
        <v>0.79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101</v>
      </c>
      <c r="C39" s="12">
        <v>1</v>
      </c>
      <c r="D39" s="8">
        <v>0.67</v>
      </c>
      <c r="E39" s="12">
        <v>0</v>
      </c>
      <c r="F39" s="8">
        <v>0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103</v>
      </c>
      <c r="C40" s="12">
        <v>1</v>
      </c>
      <c r="D40" s="8">
        <v>0.67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86</v>
      </c>
      <c r="C41" s="12">
        <v>1</v>
      </c>
      <c r="D41" s="8">
        <v>0.67</v>
      </c>
      <c r="E41" s="12">
        <v>1</v>
      </c>
      <c r="F41" s="8">
        <v>0.79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73</v>
      </c>
      <c r="C42" s="12">
        <v>1</v>
      </c>
      <c r="D42" s="8">
        <v>0.67</v>
      </c>
      <c r="E42" s="12">
        <v>0</v>
      </c>
      <c r="F42" s="8">
        <v>0</v>
      </c>
      <c r="G42" s="12">
        <v>1</v>
      </c>
      <c r="H42" s="8">
        <v>5.26</v>
      </c>
      <c r="I42" s="12">
        <v>0</v>
      </c>
    </row>
    <row r="45" spans="2:9" ht="33" customHeight="1" x14ac:dyDescent="0.2">
      <c r="B45" t="s">
        <v>262</v>
      </c>
      <c r="C45" s="10" t="s">
        <v>58</v>
      </c>
      <c r="D45" s="10" t="s">
        <v>59</v>
      </c>
      <c r="E45" s="10" t="s">
        <v>60</v>
      </c>
      <c r="F45" s="10" t="s">
        <v>61</v>
      </c>
      <c r="G45" s="10" t="s">
        <v>62</v>
      </c>
      <c r="H45" s="10" t="s">
        <v>63</v>
      </c>
      <c r="I45" s="10" t="s">
        <v>64</v>
      </c>
    </row>
    <row r="46" spans="2:9" ht="15" customHeight="1" x14ac:dyDescent="0.2">
      <c r="B46" t="s">
        <v>130</v>
      </c>
      <c r="C46" s="12">
        <v>39</v>
      </c>
      <c r="D46" s="8">
        <v>26</v>
      </c>
      <c r="E46" s="12">
        <v>32</v>
      </c>
      <c r="F46" s="8">
        <v>25.4</v>
      </c>
      <c r="G46" s="12">
        <v>7</v>
      </c>
      <c r="H46" s="8">
        <v>36.840000000000003</v>
      </c>
      <c r="I46" s="12">
        <v>0</v>
      </c>
    </row>
    <row r="47" spans="2:9" ht="15" customHeight="1" x14ac:dyDescent="0.2">
      <c r="B47" t="s">
        <v>150</v>
      </c>
      <c r="C47" s="12">
        <v>35</v>
      </c>
      <c r="D47" s="8">
        <v>23.33</v>
      </c>
      <c r="E47" s="12">
        <v>31</v>
      </c>
      <c r="F47" s="8">
        <v>24.6</v>
      </c>
      <c r="G47" s="12">
        <v>4</v>
      </c>
      <c r="H47" s="8">
        <v>21.05</v>
      </c>
      <c r="I47" s="12">
        <v>0</v>
      </c>
    </row>
    <row r="48" spans="2:9" ht="15" customHeight="1" x14ac:dyDescent="0.2">
      <c r="B48" t="s">
        <v>148</v>
      </c>
      <c r="C48" s="12">
        <v>11</v>
      </c>
      <c r="D48" s="8">
        <v>7.33</v>
      </c>
      <c r="E48" s="12">
        <v>11</v>
      </c>
      <c r="F48" s="8">
        <v>8.73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131</v>
      </c>
      <c r="C49" s="12">
        <v>6</v>
      </c>
      <c r="D49" s="8">
        <v>4</v>
      </c>
      <c r="E49" s="12">
        <v>6</v>
      </c>
      <c r="F49" s="8">
        <v>4.76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132</v>
      </c>
      <c r="C50" s="12">
        <v>6</v>
      </c>
      <c r="D50" s="8">
        <v>4</v>
      </c>
      <c r="E50" s="12">
        <v>5</v>
      </c>
      <c r="F50" s="8">
        <v>3.97</v>
      </c>
      <c r="G50" s="12">
        <v>1</v>
      </c>
      <c r="H50" s="8">
        <v>5.26</v>
      </c>
      <c r="I50" s="12">
        <v>0</v>
      </c>
    </row>
    <row r="51" spans="2:9" ht="15" customHeight="1" x14ac:dyDescent="0.2">
      <c r="B51" t="s">
        <v>123</v>
      </c>
      <c r="C51" s="12">
        <v>4</v>
      </c>
      <c r="D51" s="8">
        <v>2.67</v>
      </c>
      <c r="E51" s="12">
        <v>3</v>
      </c>
      <c r="F51" s="8">
        <v>2.38</v>
      </c>
      <c r="G51" s="12">
        <v>1</v>
      </c>
      <c r="H51" s="8">
        <v>5.26</v>
      </c>
      <c r="I51" s="12">
        <v>0</v>
      </c>
    </row>
    <row r="52" spans="2:9" ht="15" customHeight="1" x14ac:dyDescent="0.2">
      <c r="B52" t="s">
        <v>217</v>
      </c>
      <c r="C52" s="12">
        <v>4</v>
      </c>
      <c r="D52" s="8">
        <v>2.67</v>
      </c>
      <c r="E52" s="12">
        <v>4</v>
      </c>
      <c r="F52" s="8">
        <v>3.17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227</v>
      </c>
      <c r="C53" s="12">
        <v>4</v>
      </c>
      <c r="D53" s="8">
        <v>2.67</v>
      </c>
      <c r="E53" s="12">
        <v>4</v>
      </c>
      <c r="F53" s="8">
        <v>3.17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149</v>
      </c>
      <c r="C54" s="12">
        <v>3</v>
      </c>
      <c r="D54" s="8">
        <v>2</v>
      </c>
      <c r="E54" s="12">
        <v>3</v>
      </c>
      <c r="F54" s="8">
        <v>2.38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133</v>
      </c>
      <c r="C55" s="12">
        <v>3</v>
      </c>
      <c r="D55" s="8">
        <v>2</v>
      </c>
      <c r="E55" s="12">
        <v>3</v>
      </c>
      <c r="F55" s="8">
        <v>2.38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139</v>
      </c>
      <c r="C56" s="12">
        <v>3</v>
      </c>
      <c r="D56" s="8">
        <v>2</v>
      </c>
      <c r="E56" s="12">
        <v>3</v>
      </c>
      <c r="F56" s="8">
        <v>2.38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214</v>
      </c>
      <c r="C57" s="12">
        <v>2</v>
      </c>
      <c r="D57" s="8">
        <v>1.33</v>
      </c>
      <c r="E57" s="12">
        <v>1</v>
      </c>
      <c r="F57" s="8">
        <v>0.79</v>
      </c>
      <c r="G57" s="12">
        <v>1</v>
      </c>
      <c r="H57" s="8">
        <v>5.26</v>
      </c>
      <c r="I57" s="12">
        <v>0</v>
      </c>
    </row>
    <row r="58" spans="2:9" ht="15" customHeight="1" x14ac:dyDescent="0.2">
      <c r="B58" t="s">
        <v>224</v>
      </c>
      <c r="C58" s="12">
        <v>2</v>
      </c>
      <c r="D58" s="8">
        <v>1.33</v>
      </c>
      <c r="E58" s="12">
        <v>2</v>
      </c>
      <c r="F58" s="8">
        <v>1.59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143</v>
      </c>
      <c r="C59" s="12">
        <v>2</v>
      </c>
      <c r="D59" s="8">
        <v>1.33</v>
      </c>
      <c r="E59" s="12">
        <v>2</v>
      </c>
      <c r="F59" s="8">
        <v>1.59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144</v>
      </c>
      <c r="C60" s="12">
        <v>2</v>
      </c>
      <c r="D60" s="8">
        <v>1.33</v>
      </c>
      <c r="E60" s="12">
        <v>2</v>
      </c>
      <c r="F60" s="8">
        <v>1.59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153</v>
      </c>
      <c r="C61" s="12">
        <v>2</v>
      </c>
      <c r="D61" s="8">
        <v>1.33</v>
      </c>
      <c r="E61" s="12">
        <v>2</v>
      </c>
      <c r="F61" s="8">
        <v>1.59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134</v>
      </c>
      <c r="C62" s="12">
        <v>2</v>
      </c>
      <c r="D62" s="8">
        <v>1.33</v>
      </c>
      <c r="E62" s="12">
        <v>2</v>
      </c>
      <c r="F62" s="8">
        <v>1.59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161</v>
      </c>
      <c r="C63" s="12">
        <v>2</v>
      </c>
      <c r="D63" s="8">
        <v>1.33</v>
      </c>
      <c r="E63" s="12">
        <v>2</v>
      </c>
      <c r="F63" s="8">
        <v>1.59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122</v>
      </c>
      <c r="C64" s="12">
        <v>1</v>
      </c>
      <c r="D64" s="8">
        <v>0.67</v>
      </c>
      <c r="E64" s="12">
        <v>0</v>
      </c>
      <c r="F64" s="8">
        <v>0</v>
      </c>
      <c r="G64" s="12">
        <v>1</v>
      </c>
      <c r="H64" s="8">
        <v>5.26</v>
      </c>
      <c r="I64" s="12">
        <v>0</v>
      </c>
    </row>
    <row r="65" spans="2:9" ht="15" customHeight="1" x14ac:dyDescent="0.2">
      <c r="B65" t="s">
        <v>222</v>
      </c>
      <c r="C65" s="12">
        <v>1</v>
      </c>
      <c r="D65" s="8">
        <v>0.67</v>
      </c>
      <c r="E65" s="12">
        <v>1</v>
      </c>
      <c r="F65" s="8">
        <v>0.79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223</v>
      </c>
      <c r="C66" s="12">
        <v>1</v>
      </c>
      <c r="D66" s="8">
        <v>0.67</v>
      </c>
      <c r="E66" s="12">
        <v>1</v>
      </c>
      <c r="F66" s="8">
        <v>0.79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146</v>
      </c>
      <c r="C67" s="12">
        <v>1</v>
      </c>
      <c r="D67" s="8">
        <v>0.67</v>
      </c>
      <c r="E67" s="12">
        <v>1</v>
      </c>
      <c r="F67" s="8">
        <v>0.79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172</v>
      </c>
      <c r="C68" s="12">
        <v>1</v>
      </c>
      <c r="D68" s="8">
        <v>0.67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225</v>
      </c>
      <c r="C69" s="12">
        <v>1</v>
      </c>
      <c r="D69" s="8">
        <v>0.67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226</v>
      </c>
      <c r="C70" s="12">
        <v>1</v>
      </c>
      <c r="D70" s="8">
        <v>0.67</v>
      </c>
      <c r="E70" s="12">
        <v>1</v>
      </c>
      <c r="F70" s="8">
        <v>0.79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156</v>
      </c>
      <c r="C71" s="12">
        <v>1</v>
      </c>
      <c r="D71" s="8">
        <v>0.67</v>
      </c>
      <c r="E71" s="12">
        <v>1</v>
      </c>
      <c r="F71" s="8">
        <v>0.79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199</v>
      </c>
      <c r="C72" s="12">
        <v>1</v>
      </c>
      <c r="D72" s="8">
        <v>0.67</v>
      </c>
      <c r="E72" s="12">
        <v>1</v>
      </c>
      <c r="F72" s="8">
        <v>0.79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160</v>
      </c>
      <c r="C73" s="12">
        <v>1</v>
      </c>
      <c r="D73" s="8">
        <v>0.67</v>
      </c>
      <c r="E73" s="12">
        <v>0</v>
      </c>
      <c r="F73" s="8">
        <v>0</v>
      </c>
      <c r="G73" s="12">
        <v>1</v>
      </c>
      <c r="H73" s="8">
        <v>5.26</v>
      </c>
      <c r="I73" s="12">
        <v>0</v>
      </c>
    </row>
    <row r="74" spans="2:9" ht="15" customHeight="1" x14ac:dyDescent="0.2">
      <c r="B74" t="s">
        <v>126</v>
      </c>
      <c r="C74" s="12">
        <v>1</v>
      </c>
      <c r="D74" s="8">
        <v>0.67</v>
      </c>
      <c r="E74" s="12">
        <v>0</v>
      </c>
      <c r="F74" s="8">
        <v>0</v>
      </c>
      <c r="G74" s="12">
        <v>1</v>
      </c>
      <c r="H74" s="8">
        <v>5.26</v>
      </c>
      <c r="I74" s="12">
        <v>0</v>
      </c>
    </row>
    <row r="75" spans="2:9" ht="15" customHeight="1" x14ac:dyDescent="0.2">
      <c r="B75" t="s">
        <v>213</v>
      </c>
      <c r="C75" s="12">
        <v>1</v>
      </c>
      <c r="D75" s="8">
        <v>0.67</v>
      </c>
      <c r="E75" s="12">
        <v>0</v>
      </c>
      <c r="F75" s="8">
        <v>0</v>
      </c>
      <c r="G75" s="12">
        <v>1</v>
      </c>
      <c r="H75" s="8">
        <v>5.26</v>
      </c>
      <c r="I75" s="12">
        <v>0</v>
      </c>
    </row>
    <row r="76" spans="2:9" ht="15" customHeight="1" x14ac:dyDescent="0.2">
      <c r="B76" t="s">
        <v>228</v>
      </c>
      <c r="C76" s="12">
        <v>1</v>
      </c>
      <c r="D76" s="8">
        <v>0.67</v>
      </c>
      <c r="E76" s="12">
        <v>1</v>
      </c>
      <c r="F76" s="8">
        <v>0.79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206</v>
      </c>
      <c r="C77" s="12">
        <v>1</v>
      </c>
      <c r="D77" s="8">
        <v>0.67</v>
      </c>
      <c r="E77" s="12">
        <v>1</v>
      </c>
      <c r="F77" s="8">
        <v>0.79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180</v>
      </c>
      <c r="C78" s="12">
        <v>1</v>
      </c>
      <c r="D78" s="8">
        <v>0.67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220</v>
      </c>
      <c r="C79" s="12">
        <v>1</v>
      </c>
      <c r="D79" s="8">
        <v>0.67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183</v>
      </c>
      <c r="C80" s="12">
        <v>1</v>
      </c>
      <c r="D80" s="8">
        <v>0.67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229</v>
      </c>
      <c r="C81" s="12">
        <v>1</v>
      </c>
      <c r="D81" s="8">
        <v>0.67</v>
      </c>
      <c r="E81" s="12">
        <v>0</v>
      </c>
      <c r="F81" s="8">
        <v>0</v>
      </c>
      <c r="G81" s="12">
        <v>1</v>
      </c>
      <c r="H81" s="8">
        <v>5.26</v>
      </c>
      <c r="I81" s="12">
        <v>0</v>
      </c>
    </row>
    <row r="83" spans="2:9" ht="15" customHeight="1" x14ac:dyDescent="0.2">
      <c r="B83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35DDC-B2F2-4746-942E-C6A909FA34E7}">
  <sheetPr>
    <pageSetUpPr fitToPage="1"/>
  </sheetPr>
  <dimension ref="B2:I6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294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1</v>
      </c>
      <c r="D6" s="8">
        <v>2.63</v>
      </c>
      <c r="E6" s="12">
        <v>1</v>
      </c>
      <c r="F6" s="8">
        <v>3.33</v>
      </c>
      <c r="G6" s="12">
        <v>0</v>
      </c>
      <c r="H6" s="8">
        <v>0</v>
      </c>
      <c r="I6" s="12">
        <v>0</v>
      </c>
    </row>
    <row r="7" spans="2:9" ht="15" customHeight="1" x14ac:dyDescent="0.2">
      <c r="B7" t="s">
        <v>44</v>
      </c>
      <c r="C7" s="12">
        <v>4</v>
      </c>
      <c r="D7" s="8">
        <v>10.53</v>
      </c>
      <c r="E7" s="12">
        <v>2</v>
      </c>
      <c r="F7" s="8">
        <v>6.67</v>
      </c>
      <c r="G7" s="12">
        <v>2</v>
      </c>
      <c r="H7" s="8">
        <v>50</v>
      </c>
      <c r="I7" s="12">
        <v>0</v>
      </c>
    </row>
    <row r="8" spans="2:9" ht="15" customHeight="1" x14ac:dyDescent="0.2">
      <c r="B8" t="s">
        <v>45</v>
      </c>
      <c r="C8" s="12">
        <v>2</v>
      </c>
      <c r="D8" s="8">
        <v>5.26</v>
      </c>
      <c r="E8" s="12">
        <v>0</v>
      </c>
      <c r="F8" s="8">
        <v>0</v>
      </c>
      <c r="G8" s="12">
        <v>1</v>
      </c>
      <c r="H8" s="8">
        <v>25</v>
      </c>
      <c r="I8" s="12">
        <v>0</v>
      </c>
    </row>
    <row r="9" spans="2:9" ht="15" customHeight="1" x14ac:dyDescent="0.2">
      <c r="B9" t="s">
        <v>46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47</v>
      </c>
      <c r="C10" s="12">
        <v>4</v>
      </c>
      <c r="D10" s="8">
        <v>10.53</v>
      </c>
      <c r="E10" s="12">
        <v>3</v>
      </c>
      <c r="F10" s="8">
        <v>10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48</v>
      </c>
      <c r="C11" s="12">
        <v>10</v>
      </c>
      <c r="D11" s="8">
        <v>26.32</v>
      </c>
      <c r="E11" s="12">
        <v>9</v>
      </c>
      <c r="F11" s="8">
        <v>30</v>
      </c>
      <c r="G11" s="12">
        <v>0</v>
      </c>
      <c r="H11" s="8">
        <v>0</v>
      </c>
      <c r="I11" s="12">
        <v>1</v>
      </c>
    </row>
    <row r="12" spans="2:9" ht="15" customHeight="1" x14ac:dyDescent="0.2">
      <c r="B12" t="s">
        <v>49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50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51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52</v>
      </c>
      <c r="C15" s="12">
        <v>12</v>
      </c>
      <c r="D15" s="8">
        <v>31.58</v>
      </c>
      <c r="E15" s="12">
        <v>12</v>
      </c>
      <c r="F15" s="8">
        <v>40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53</v>
      </c>
      <c r="C16" s="12">
        <v>3</v>
      </c>
      <c r="D16" s="8">
        <v>7.89</v>
      </c>
      <c r="E16" s="12">
        <v>3</v>
      </c>
      <c r="F16" s="8">
        <v>10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54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55</v>
      </c>
      <c r="C18" s="12">
        <v>2</v>
      </c>
      <c r="D18" s="8">
        <v>5.26</v>
      </c>
      <c r="E18" s="12">
        <v>0</v>
      </c>
      <c r="F18" s="8">
        <v>0</v>
      </c>
      <c r="G18" s="12">
        <v>1</v>
      </c>
      <c r="H18" s="8">
        <v>25</v>
      </c>
      <c r="I18" s="12">
        <v>0</v>
      </c>
    </row>
    <row r="19" spans="2:9" ht="15" customHeight="1" x14ac:dyDescent="0.2">
      <c r="B19" t="s">
        <v>56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260</v>
      </c>
      <c r="C20" s="12">
        <f>SUM(LTBL_47355[総数／事業所数])</f>
        <v>38</v>
      </c>
      <c r="E20" s="12">
        <f>SUBTOTAL(109,LTBL_47355[個人／事業所数])</f>
        <v>30</v>
      </c>
      <c r="G20" s="12">
        <f>SUBTOTAL(109,LTBL_47355[法人／事業所数])</f>
        <v>4</v>
      </c>
      <c r="I20" s="12">
        <f>SUBTOTAL(109,LTBL_47355[法人以外の団体／事業所数])</f>
        <v>1</v>
      </c>
    </row>
    <row r="21" spans="2:9" ht="15" customHeight="1" x14ac:dyDescent="0.2">
      <c r="E21" s="11">
        <f>LTBL_47355[[#Totals],[個人／事業所数]]/LTBL_47355[[#Totals],[総数／事業所数]]</f>
        <v>0.78947368421052633</v>
      </c>
      <c r="G21" s="11">
        <f>LTBL_47355[[#Totals],[法人／事業所数]]/LTBL_47355[[#Totals],[総数／事業所数]]</f>
        <v>0.10526315789473684</v>
      </c>
      <c r="I21" s="11">
        <f>LTBL_47355[[#Totals],[法人以外の団体／事業所数]]/LTBL_47355[[#Totals],[総数／事業所数]]</f>
        <v>2.6315789473684209E-2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76</v>
      </c>
      <c r="C24" s="12">
        <v>9</v>
      </c>
      <c r="D24" s="8">
        <v>23.68</v>
      </c>
      <c r="E24" s="12">
        <v>9</v>
      </c>
      <c r="F24" s="8">
        <v>30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69</v>
      </c>
      <c r="C25" s="12">
        <v>6</v>
      </c>
      <c r="D25" s="8">
        <v>15.79</v>
      </c>
      <c r="E25" s="12">
        <v>5</v>
      </c>
      <c r="F25" s="8">
        <v>16.670000000000002</v>
      </c>
      <c r="G25" s="12">
        <v>0</v>
      </c>
      <c r="H25" s="8">
        <v>0</v>
      </c>
      <c r="I25" s="12">
        <v>1</v>
      </c>
    </row>
    <row r="26" spans="2:9" ht="15" customHeight="1" x14ac:dyDescent="0.2">
      <c r="B26" t="s">
        <v>71</v>
      </c>
      <c r="C26" s="12">
        <v>4</v>
      </c>
      <c r="D26" s="8">
        <v>10.53</v>
      </c>
      <c r="E26" s="12">
        <v>4</v>
      </c>
      <c r="F26" s="8">
        <v>13.33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88</v>
      </c>
      <c r="C27" s="12">
        <v>3</v>
      </c>
      <c r="D27" s="8">
        <v>7.89</v>
      </c>
      <c r="E27" s="12">
        <v>1</v>
      </c>
      <c r="F27" s="8">
        <v>3.33</v>
      </c>
      <c r="G27" s="12">
        <v>2</v>
      </c>
      <c r="H27" s="8">
        <v>50</v>
      </c>
      <c r="I27" s="12">
        <v>0</v>
      </c>
    </row>
    <row r="28" spans="2:9" ht="15" customHeight="1" x14ac:dyDescent="0.2">
      <c r="B28" t="s">
        <v>77</v>
      </c>
      <c r="C28" s="12">
        <v>3</v>
      </c>
      <c r="D28" s="8">
        <v>7.89</v>
      </c>
      <c r="E28" s="12">
        <v>3</v>
      </c>
      <c r="F28" s="8">
        <v>10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93</v>
      </c>
      <c r="C29" s="12">
        <v>2</v>
      </c>
      <c r="D29" s="8">
        <v>5.26</v>
      </c>
      <c r="E29" s="12">
        <v>2</v>
      </c>
      <c r="F29" s="8">
        <v>6.67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80</v>
      </c>
      <c r="C30" s="12">
        <v>2</v>
      </c>
      <c r="D30" s="8">
        <v>5.26</v>
      </c>
      <c r="E30" s="12">
        <v>2</v>
      </c>
      <c r="F30" s="8">
        <v>6.67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83</v>
      </c>
      <c r="C31" s="12">
        <v>2</v>
      </c>
      <c r="D31" s="8">
        <v>5.26</v>
      </c>
      <c r="E31" s="12">
        <v>0</v>
      </c>
      <c r="F31" s="8">
        <v>0</v>
      </c>
      <c r="G31" s="12">
        <v>1</v>
      </c>
      <c r="H31" s="8">
        <v>25</v>
      </c>
      <c r="I31" s="12">
        <v>0</v>
      </c>
    </row>
    <row r="32" spans="2:9" ht="15" customHeight="1" x14ac:dyDescent="0.2">
      <c r="B32" t="s">
        <v>65</v>
      </c>
      <c r="C32" s="12">
        <v>1</v>
      </c>
      <c r="D32" s="8">
        <v>2.63</v>
      </c>
      <c r="E32" s="12">
        <v>1</v>
      </c>
      <c r="F32" s="8">
        <v>3.33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95</v>
      </c>
      <c r="C33" s="12">
        <v>1</v>
      </c>
      <c r="D33" s="8">
        <v>2.63</v>
      </c>
      <c r="E33" s="12">
        <v>1</v>
      </c>
      <c r="F33" s="8">
        <v>3.33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113</v>
      </c>
      <c r="C34" s="12">
        <v>1</v>
      </c>
      <c r="D34" s="8">
        <v>2.63</v>
      </c>
      <c r="E34" s="12">
        <v>0</v>
      </c>
      <c r="F34" s="8">
        <v>0</v>
      </c>
      <c r="G34" s="12">
        <v>1</v>
      </c>
      <c r="H34" s="8">
        <v>25</v>
      </c>
      <c r="I34" s="12">
        <v>0</v>
      </c>
    </row>
    <row r="35" spans="2:9" ht="15" customHeight="1" x14ac:dyDescent="0.2">
      <c r="B35" t="s">
        <v>101</v>
      </c>
      <c r="C35" s="12">
        <v>1</v>
      </c>
      <c r="D35" s="8">
        <v>2.63</v>
      </c>
      <c r="E35" s="12">
        <v>0</v>
      </c>
      <c r="F35" s="8">
        <v>0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103</v>
      </c>
      <c r="C36" s="12">
        <v>1</v>
      </c>
      <c r="D36" s="8">
        <v>2.63</v>
      </c>
      <c r="E36" s="12">
        <v>0</v>
      </c>
      <c r="F36" s="8">
        <v>0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114</v>
      </c>
      <c r="C37" s="12">
        <v>1</v>
      </c>
      <c r="D37" s="8">
        <v>2.63</v>
      </c>
      <c r="E37" s="12">
        <v>1</v>
      </c>
      <c r="F37" s="8">
        <v>3.33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79</v>
      </c>
      <c r="C38" s="12">
        <v>1</v>
      </c>
      <c r="D38" s="8">
        <v>2.63</v>
      </c>
      <c r="E38" s="12">
        <v>1</v>
      </c>
      <c r="F38" s="8">
        <v>3.33</v>
      </c>
      <c r="G38" s="12">
        <v>0</v>
      </c>
      <c r="H38" s="8">
        <v>0</v>
      </c>
      <c r="I38" s="12">
        <v>0</v>
      </c>
    </row>
    <row r="41" spans="2:9" ht="33" customHeight="1" x14ac:dyDescent="0.2">
      <c r="B41" t="s">
        <v>262</v>
      </c>
      <c r="C41" s="10" t="s">
        <v>58</v>
      </c>
      <c r="D41" s="10" t="s">
        <v>59</v>
      </c>
      <c r="E41" s="10" t="s">
        <v>60</v>
      </c>
      <c r="F41" s="10" t="s">
        <v>61</v>
      </c>
      <c r="G41" s="10" t="s">
        <v>62</v>
      </c>
      <c r="H41" s="10" t="s">
        <v>63</v>
      </c>
      <c r="I41" s="10" t="s">
        <v>64</v>
      </c>
    </row>
    <row r="42" spans="2:9" ht="15" customHeight="1" x14ac:dyDescent="0.2">
      <c r="B42" t="s">
        <v>130</v>
      </c>
      <c r="C42" s="12">
        <v>9</v>
      </c>
      <c r="D42" s="8">
        <v>23.68</v>
      </c>
      <c r="E42" s="12">
        <v>9</v>
      </c>
      <c r="F42" s="8">
        <v>30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123</v>
      </c>
      <c r="C43" s="12">
        <v>3</v>
      </c>
      <c r="D43" s="8">
        <v>7.89</v>
      </c>
      <c r="E43" s="12">
        <v>2</v>
      </c>
      <c r="F43" s="8">
        <v>6.67</v>
      </c>
      <c r="G43" s="12">
        <v>0</v>
      </c>
      <c r="H43" s="8">
        <v>0</v>
      </c>
      <c r="I43" s="12">
        <v>1</v>
      </c>
    </row>
    <row r="44" spans="2:9" ht="15" customHeight="1" x14ac:dyDescent="0.2">
      <c r="B44" t="s">
        <v>163</v>
      </c>
      <c r="C44" s="12">
        <v>2</v>
      </c>
      <c r="D44" s="8">
        <v>5.26</v>
      </c>
      <c r="E44" s="12">
        <v>1</v>
      </c>
      <c r="F44" s="8">
        <v>3.33</v>
      </c>
      <c r="G44" s="12">
        <v>1</v>
      </c>
      <c r="H44" s="8">
        <v>25</v>
      </c>
      <c r="I44" s="12">
        <v>0</v>
      </c>
    </row>
    <row r="45" spans="2:9" ht="15" customHeight="1" x14ac:dyDescent="0.2">
      <c r="B45" t="s">
        <v>144</v>
      </c>
      <c r="C45" s="12">
        <v>2</v>
      </c>
      <c r="D45" s="8">
        <v>5.26</v>
      </c>
      <c r="E45" s="12">
        <v>2</v>
      </c>
      <c r="F45" s="8">
        <v>6.67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160</v>
      </c>
      <c r="C46" s="12">
        <v>2</v>
      </c>
      <c r="D46" s="8">
        <v>5.26</v>
      </c>
      <c r="E46" s="12">
        <v>2</v>
      </c>
      <c r="F46" s="8">
        <v>6.67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150</v>
      </c>
      <c r="C47" s="12">
        <v>2</v>
      </c>
      <c r="D47" s="8">
        <v>5.26</v>
      </c>
      <c r="E47" s="12">
        <v>2</v>
      </c>
      <c r="F47" s="8">
        <v>6.67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151</v>
      </c>
      <c r="C48" s="12">
        <v>1</v>
      </c>
      <c r="D48" s="8">
        <v>2.63</v>
      </c>
      <c r="E48" s="12">
        <v>1</v>
      </c>
      <c r="F48" s="8">
        <v>3.33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230</v>
      </c>
      <c r="C49" s="12">
        <v>1</v>
      </c>
      <c r="D49" s="8">
        <v>2.63</v>
      </c>
      <c r="E49" s="12">
        <v>0</v>
      </c>
      <c r="F49" s="8">
        <v>0</v>
      </c>
      <c r="G49" s="12">
        <v>1</v>
      </c>
      <c r="H49" s="8">
        <v>25</v>
      </c>
      <c r="I49" s="12">
        <v>0</v>
      </c>
    </row>
    <row r="50" spans="2:9" ht="15" customHeight="1" x14ac:dyDescent="0.2">
      <c r="B50" t="s">
        <v>214</v>
      </c>
      <c r="C50" s="12">
        <v>1</v>
      </c>
      <c r="D50" s="8">
        <v>2.63</v>
      </c>
      <c r="E50" s="12">
        <v>1</v>
      </c>
      <c r="F50" s="8">
        <v>3.33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231</v>
      </c>
      <c r="C51" s="12">
        <v>1</v>
      </c>
      <c r="D51" s="8">
        <v>2.63</v>
      </c>
      <c r="E51" s="12">
        <v>0</v>
      </c>
      <c r="F51" s="8">
        <v>0</v>
      </c>
      <c r="G51" s="12">
        <v>1</v>
      </c>
      <c r="H51" s="8">
        <v>25</v>
      </c>
      <c r="I51" s="12">
        <v>0</v>
      </c>
    </row>
    <row r="52" spans="2:9" ht="15" customHeight="1" x14ac:dyDescent="0.2">
      <c r="B52" t="s">
        <v>171</v>
      </c>
      <c r="C52" s="12">
        <v>1</v>
      </c>
      <c r="D52" s="8">
        <v>2.63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155</v>
      </c>
      <c r="C53" s="12">
        <v>1</v>
      </c>
      <c r="D53" s="8">
        <v>2.63</v>
      </c>
      <c r="E53" s="12">
        <v>1</v>
      </c>
      <c r="F53" s="8">
        <v>3.33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224</v>
      </c>
      <c r="C54" s="12">
        <v>1</v>
      </c>
      <c r="D54" s="8">
        <v>2.63</v>
      </c>
      <c r="E54" s="12">
        <v>1</v>
      </c>
      <c r="F54" s="8">
        <v>3.33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225</v>
      </c>
      <c r="C55" s="12">
        <v>1</v>
      </c>
      <c r="D55" s="8">
        <v>2.63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232</v>
      </c>
      <c r="C56" s="12">
        <v>1</v>
      </c>
      <c r="D56" s="8">
        <v>2.63</v>
      </c>
      <c r="E56" s="12">
        <v>1</v>
      </c>
      <c r="F56" s="8">
        <v>3.33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156</v>
      </c>
      <c r="C57" s="12">
        <v>1</v>
      </c>
      <c r="D57" s="8">
        <v>2.63</v>
      </c>
      <c r="E57" s="12">
        <v>1</v>
      </c>
      <c r="F57" s="8">
        <v>3.33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153</v>
      </c>
      <c r="C58" s="12">
        <v>1</v>
      </c>
      <c r="D58" s="8">
        <v>2.63</v>
      </c>
      <c r="E58" s="12">
        <v>1</v>
      </c>
      <c r="F58" s="8">
        <v>3.33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126</v>
      </c>
      <c r="C59" s="12">
        <v>1</v>
      </c>
      <c r="D59" s="8">
        <v>2.63</v>
      </c>
      <c r="E59" s="12">
        <v>1</v>
      </c>
      <c r="F59" s="8">
        <v>3.33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149</v>
      </c>
      <c r="C60" s="12">
        <v>1</v>
      </c>
      <c r="D60" s="8">
        <v>2.63</v>
      </c>
      <c r="E60" s="12">
        <v>1</v>
      </c>
      <c r="F60" s="8">
        <v>3.33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131</v>
      </c>
      <c r="C61" s="12">
        <v>1</v>
      </c>
      <c r="D61" s="8">
        <v>2.63</v>
      </c>
      <c r="E61" s="12">
        <v>1</v>
      </c>
      <c r="F61" s="8">
        <v>3.33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132</v>
      </c>
      <c r="C62" s="12">
        <v>1</v>
      </c>
      <c r="D62" s="8">
        <v>2.63</v>
      </c>
      <c r="E62" s="12">
        <v>1</v>
      </c>
      <c r="F62" s="8">
        <v>3.33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194</v>
      </c>
      <c r="C63" s="12">
        <v>1</v>
      </c>
      <c r="D63" s="8">
        <v>2.63</v>
      </c>
      <c r="E63" s="12">
        <v>1</v>
      </c>
      <c r="F63" s="8">
        <v>3.33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152</v>
      </c>
      <c r="C64" s="12">
        <v>1</v>
      </c>
      <c r="D64" s="8">
        <v>2.63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229</v>
      </c>
      <c r="C65" s="12">
        <v>1</v>
      </c>
      <c r="D65" s="8">
        <v>2.63</v>
      </c>
      <c r="E65" s="12">
        <v>0</v>
      </c>
      <c r="F65" s="8">
        <v>0</v>
      </c>
      <c r="G65" s="12">
        <v>1</v>
      </c>
      <c r="H65" s="8">
        <v>25</v>
      </c>
      <c r="I65" s="12">
        <v>0</v>
      </c>
    </row>
    <row r="67" spans="2:9" ht="15" customHeight="1" x14ac:dyDescent="0.2">
      <c r="B67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5CBE6-E721-48AD-A381-06CE4D8AE8AE}">
  <sheetPr>
    <pageSetUpPr fitToPage="1"/>
  </sheetPr>
  <dimension ref="B2:I4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295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0</v>
      </c>
      <c r="D6" s="8">
        <v>0</v>
      </c>
      <c r="E6" s="12">
        <v>0</v>
      </c>
      <c r="F6" s="8">
        <v>0</v>
      </c>
      <c r="G6" s="12">
        <v>0</v>
      </c>
      <c r="H6" s="8">
        <v>0</v>
      </c>
      <c r="I6" s="12">
        <v>0</v>
      </c>
    </row>
    <row r="7" spans="2:9" ht="15" customHeight="1" x14ac:dyDescent="0.2">
      <c r="B7" t="s">
        <v>44</v>
      </c>
      <c r="C7" s="12">
        <v>1</v>
      </c>
      <c r="D7" s="8">
        <v>6.25</v>
      </c>
      <c r="E7" s="12">
        <v>0</v>
      </c>
      <c r="F7" s="8">
        <v>0</v>
      </c>
      <c r="G7" s="12">
        <v>1</v>
      </c>
      <c r="H7" s="8">
        <v>20</v>
      </c>
      <c r="I7" s="12">
        <v>0</v>
      </c>
    </row>
    <row r="8" spans="2:9" ht="15" customHeight="1" x14ac:dyDescent="0.2">
      <c r="B8" t="s">
        <v>45</v>
      </c>
      <c r="C8" s="12">
        <v>2</v>
      </c>
      <c r="D8" s="8">
        <v>12.5</v>
      </c>
      <c r="E8" s="12">
        <v>0</v>
      </c>
      <c r="F8" s="8">
        <v>0</v>
      </c>
      <c r="G8" s="12">
        <v>1</v>
      </c>
      <c r="H8" s="8">
        <v>20</v>
      </c>
      <c r="I8" s="12">
        <v>0</v>
      </c>
    </row>
    <row r="9" spans="2:9" ht="15" customHeight="1" x14ac:dyDescent="0.2">
      <c r="B9" t="s">
        <v>46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47</v>
      </c>
      <c r="C10" s="12">
        <v>1</v>
      </c>
      <c r="D10" s="8">
        <v>6.25</v>
      </c>
      <c r="E10" s="12">
        <v>0</v>
      </c>
      <c r="F10" s="8">
        <v>0</v>
      </c>
      <c r="G10" s="12">
        <v>1</v>
      </c>
      <c r="H10" s="8">
        <v>20</v>
      </c>
      <c r="I10" s="12">
        <v>0</v>
      </c>
    </row>
    <row r="11" spans="2:9" ht="15" customHeight="1" x14ac:dyDescent="0.2">
      <c r="B11" t="s">
        <v>48</v>
      </c>
      <c r="C11" s="12">
        <v>5</v>
      </c>
      <c r="D11" s="8">
        <v>31.25</v>
      </c>
      <c r="E11" s="12">
        <v>4</v>
      </c>
      <c r="F11" s="8">
        <v>44.44</v>
      </c>
      <c r="G11" s="12">
        <v>1</v>
      </c>
      <c r="H11" s="8">
        <v>20</v>
      </c>
      <c r="I11" s="12">
        <v>0</v>
      </c>
    </row>
    <row r="12" spans="2:9" ht="15" customHeight="1" x14ac:dyDescent="0.2">
      <c r="B12" t="s">
        <v>49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50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51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52</v>
      </c>
      <c r="C15" s="12">
        <v>6</v>
      </c>
      <c r="D15" s="8">
        <v>37.5</v>
      </c>
      <c r="E15" s="12">
        <v>5</v>
      </c>
      <c r="F15" s="8">
        <v>55.56</v>
      </c>
      <c r="G15" s="12">
        <v>1</v>
      </c>
      <c r="H15" s="8">
        <v>20</v>
      </c>
      <c r="I15" s="12">
        <v>0</v>
      </c>
    </row>
    <row r="16" spans="2:9" ht="15" customHeight="1" x14ac:dyDescent="0.2">
      <c r="B16" t="s">
        <v>53</v>
      </c>
      <c r="C16" s="12">
        <v>0</v>
      </c>
      <c r="D16" s="8">
        <v>0</v>
      </c>
      <c r="E16" s="12">
        <v>0</v>
      </c>
      <c r="F16" s="8">
        <v>0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54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55</v>
      </c>
      <c r="C18" s="12">
        <v>1</v>
      </c>
      <c r="D18" s="8">
        <v>6.25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56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260</v>
      </c>
      <c r="C20" s="12">
        <f>SUM(LTBL_47356[総数／事業所数])</f>
        <v>16</v>
      </c>
      <c r="E20" s="12">
        <f>SUBTOTAL(109,LTBL_47356[個人／事業所数])</f>
        <v>9</v>
      </c>
      <c r="G20" s="12">
        <f>SUBTOTAL(109,LTBL_47356[法人／事業所数])</f>
        <v>5</v>
      </c>
      <c r="I20" s="12">
        <f>SUBTOTAL(109,LTBL_47356[法人以外の団体／事業所数])</f>
        <v>0</v>
      </c>
    </row>
    <row r="21" spans="2:9" ht="15" customHeight="1" x14ac:dyDescent="0.2">
      <c r="E21" s="11">
        <f>LTBL_47356[[#Totals],[個人／事業所数]]/LTBL_47356[[#Totals],[総数／事業所数]]</f>
        <v>0.5625</v>
      </c>
      <c r="G21" s="11">
        <f>LTBL_47356[[#Totals],[法人／事業所数]]/LTBL_47356[[#Totals],[総数／事業所数]]</f>
        <v>0.3125</v>
      </c>
      <c r="I21" s="11">
        <f>LTBL_47356[[#Totals],[法人以外の団体／事業所数]]/LTBL_47356[[#Totals],[総数／事業所数]]</f>
        <v>0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69</v>
      </c>
      <c r="C24" s="12">
        <v>4</v>
      </c>
      <c r="D24" s="8">
        <v>25</v>
      </c>
      <c r="E24" s="12">
        <v>3</v>
      </c>
      <c r="F24" s="8">
        <v>33.33</v>
      </c>
      <c r="G24" s="12">
        <v>1</v>
      </c>
      <c r="H24" s="8">
        <v>20</v>
      </c>
      <c r="I24" s="12">
        <v>0</v>
      </c>
    </row>
    <row r="25" spans="2:9" ht="15" customHeight="1" x14ac:dyDescent="0.2">
      <c r="B25" t="s">
        <v>76</v>
      </c>
      <c r="C25" s="12">
        <v>4</v>
      </c>
      <c r="D25" s="8">
        <v>25</v>
      </c>
      <c r="E25" s="12">
        <v>3</v>
      </c>
      <c r="F25" s="8">
        <v>33.33</v>
      </c>
      <c r="G25" s="12">
        <v>1</v>
      </c>
      <c r="H25" s="8">
        <v>20</v>
      </c>
      <c r="I25" s="12">
        <v>0</v>
      </c>
    </row>
    <row r="26" spans="2:9" ht="15" customHeight="1" x14ac:dyDescent="0.2">
      <c r="B26" t="s">
        <v>77</v>
      </c>
      <c r="C26" s="12">
        <v>2</v>
      </c>
      <c r="D26" s="8">
        <v>12.5</v>
      </c>
      <c r="E26" s="12">
        <v>2</v>
      </c>
      <c r="F26" s="8">
        <v>22.22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95</v>
      </c>
      <c r="C27" s="12">
        <v>1</v>
      </c>
      <c r="D27" s="8">
        <v>6.25</v>
      </c>
      <c r="E27" s="12">
        <v>0</v>
      </c>
      <c r="F27" s="8">
        <v>0</v>
      </c>
      <c r="G27" s="12">
        <v>1</v>
      </c>
      <c r="H27" s="8">
        <v>20</v>
      </c>
      <c r="I27" s="12">
        <v>0</v>
      </c>
    </row>
    <row r="28" spans="2:9" ht="15" customHeight="1" x14ac:dyDescent="0.2">
      <c r="B28" t="s">
        <v>113</v>
      </c>
      <c r="C28" s="12">
        <v>1</v>
      </c>
      <c r="D28" s="8">
        <v>6.25</v>
      </c>
      <c r="E28" s="12">
        <v>0</v>
      </c>
      <c r="F28" s="8">
        <v>0</v>
      </c>
      <c r="G28" s="12">
        <v>1</v>
      </c>
      <c r="H28" s="8">
        <v>20</v>
      </c>
      <c r="I28" s="12">
        <v>0</v>
      </c>
    </row>
    <row r="29" spans="2:9" ht="15" customHeight="1" x14ac:dyDescent="0.2">
      <c r="B29" t="s">
        <v>101</v>
      </c>
      <c r="C29" s="12">
        <v>1</v>
      </c>
      <c r="D29" s="8">
        <v>6.25</v>
      </c>
      <c r="E29" s="12">
        <v>0</v>
      </c>
      <c r="F29" s="8">
        <v>0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115</v>
      </c>
      <c r="C30" s="12">
        <v>1</v>
      </c>
      <c r="D30" s="8">
        <v>6.25</v>
      </c>
      <c r="E30" s="12">
        <v>0</v>
      </c>
      <c r="F30" s="8">
        <v>0</v>
      </c>
      <c r="G30" s="12">
        <v>1</v>
      </c>
      <c r="H30" s="8">
        <v>20</v>
      </c>
      <c r="I30" s="12">
        <v>0</v>
      </c>
    </row>
    <row r="31" spans="2:9" ht="15" customHeight="1" x14ac:dyDescent="0.2">
      <c r="B31" t="s">
        <v>71</v>
      </c>
      <c r="C31" s="12">
        <v>1</v>
      </c>
      <c r="D31" s="8">
        <v>6.25</v>
      </c>
      <c r="E31" s="12">
        <v>1</v>
      </c>
      <c r="F31" s="8">
        <v>11.11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82</v>
      </c>
      <c r="C32" s="12">
        <v>1</v>
      </c>
      <c r="D32" s="8">
        <v>6.25</v>
      </c>
      <c r="E32" s="12">
        <v>0</v>
      </c>
      <c r="F32" s="8">
        <v>0</v>
      </c>
      <c r="G32" s="12">
        <v>0</v>
      </c>
      <c r="H32" s="8">
        <v>0</v>
      </c>
      <c r="I32" s="12">
        <v>0</v>
      </c>
    </row>
    <row r="35" spans="2:9" ht="33" customHeight="1" x14ac:dyDescent="0.2">
      <c r="B35" t="s">
        <v>262</v>
      </c>
      <c r="C35" s="10" t="s">
        <v>58</v>
      </c>
      <c r="D35" s="10" t="s">
        <v>59</v>
      </c>
      <c r="E35" s="10" t="s">
        <v>60</v>
      </c>
      <c r="F35" s="10" t="s">
        <v>61</v>
      </c>
      <c r="G35" s="10" t="s">
        <v>62</v>
      </c>
      <c r="H35" s="10" t="s">
        <v>63</v>
      </c>
      <c r="I35" s="10" t="s">
        <v>64</v>
      </c>
    </row>
    <row r="36" spans="2:9" ht="15" customHeight="1" x14ac:dyDescent="0.2">
      <c r="B36" t="s">
        <v>130</v>
      </c>
      <c r="C36" s="12">
        <v>4</v>
      </c>
      <c r="D36" s="8">
        <v>25</v>
      </c>
      <c r="E36" s="12">
        <v>3</v>
      </c>
      <c r="F36" s="8">
        <v>33.33</v>
      </c>
      <c r="G36" s="12">
        <v>1</v>
      </c>
      <c r="H36" s="8">
        <v>20</v>
      </c>
      <c r="I36" s="12">
        <v>0</v>
      </c>
    </row>
    <row r="37" spans="2:9" ht="15" customHeight="1" x14ac:dyDescent="0.2">
      <c r="B37" t="s">
        <v>123</v>
      </c>
      <c r="C37" s="12">
        <v>2</v>
      </c>
      <c r="D37" s="8">
        <v>12.5</v>
      </c>
      <c r="E37" s="12">
        <v>1</v>
      </c>
      <c r="F37" s="8">
        <v>11.11</v>
      </c>
      <c r="G37" s="12">
        <v>1</v>
      </c>
      <c r="H37" s="8">
        <v>20</v>
      </c>
      <c r="I37" s="12">
        <v>0</v>
      </c>
    </row>
    <row r="38" spans="2:9" ht="15" customHeight="1" x14ac:dyDescent="0.2">
      <c r="B38" t="s">
        <v>214</v>
      </c>
      <c r="C38" s="12">
        <v>1</v>
      </c>
      <c r="D38" s="8">
        <v>6.25</v>
      </c>
      <c r="E38" s="12">
        <v>0</v>
      </c>
      <c r="F38" s="8">
        <v>0</v>
      </c>
      <c r="G38" s="12">
        <v>1</v>
      </c>
      <c r="H38" s="8">
        <v>20</v>
      </c>
      <c r="I38" s="12">
        <v>0</v>
      </c>
    </row>
    <row r="39" spans="2:9" ht="15" customHeight="1" x14ac:dyDescent="0.2">
      <c r="B39" t="s">
        <v>231</v>
      </c>
      <c r="C39" s="12">
        <v>1</v>
      </c>
      <c r="D39" s="8">
        <v>6.25</v>
      </c>
      <c r="E39" s="12">
        <v>0</v>
      </c>
      <c r="F39" s="8">
        <v>0</v>
      </c>
      <c r="G39" s="12">
        <v>1</v>
      </c>
      <c r="H39" s="8">
        <v>20</v>
      </c>
      <c r="I39" s="12">
        <v>0</v>
      </c>
    </row>
    <row r="40" spans="2:9" ht="15" customHeight="1" x14ac:dyDescent="0.2">
      <c r="B40" t="s">
        <v>172</v>
      </c>
      <c r="C40" s="12">
        <v>1</v>
      </c>
      <c r="D40" s="8">
        <v>6.25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233</v>
      </c>
      <c r="C41" s="12">
        <v>1</v>
      </c>
      <c r="D41" s="8">
        <v>6.25</v>
      </c>
      <c r="E41" s="12">
        <v>0</v>
      </c>
      <c r="F41" s="8">
        <v>0</v>
      </c>
      <c r="G41" s="12">
        <v>1</v>
      </c>
      <c r="H41" s="8">
        <v>20</v>
      </c>
      <c r="I41" s="12">
        <v>0</v>
      </c>
    </row>
    <row r="42" spans="2:9" ht="15" customHeight="1" x14ac:dyDescent="0.2">
      <c r="B42" t="s">
        <v>199</v>
      </c>
      <c r="C42" s="12">
        <v>1</v>
      </c>
      <c r="D42" s="8">
        <v>6.25</v>
      </c>
      <c r="E42" s="12">
        <v>1</v>
      </c>
      <c r="F42" s="8">
        <v>11.11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158</v>
      </c>
      <c r="C43" s="12">
        <v>1</v>
      </c>
      <c r="D43" s="8">
        <v>6.25</v>
      </c>
      <c r="E43" s="12">
        <v>1</v>
      </c>
      <c r="F43" s="8">
        <v>11.11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160</v>
      </c>
      <c r="C44" s="12">
        <v>1</v>
      </c>
      <c r="D44" s="8">
        <v>6.25</v>
      </c>
      <c r="E44" s="12">
        <v>1</v>
      </c>
      <c r="F44" s="8">
        <v>11.11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149</v>
      </c>
      <c r="C45" s="12">
        <v>1</v>
      </c>
      <c r="D45" s="8">
        <v>6.25</v>
      </c>
      <c r="E45" s="12">
        <v>1</v>
      </c>
      <c r="F45" s="8">
        <v>11.11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132</v>
      </c>
      <c r="C46" s="12">
        <v>1</v>
      </c>
      <c r="D46" s="8">
        <v>6.25</v>
      </c>
      <c r="E46" s="12">
        <v>1</v>
      </c>
      <c r="F46" s="8">
        <v>11.11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196</v>
      </c>
      <c r="C47" s="12">
        <v>1</v>
      </c>
      <c r="D47" s="8">
        <v>6.25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9" spans="2:2" ht="15" customHeight="1" x14ac:dyDescent="0.2">
      <c r="B49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A0C8A-2567-4343-92F2-05763394B860}">
  <sheetPr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296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1</v>
      </c>
      <c r="D6" s="8">
        <v>2</v>
      </c>
      <c r="E6" s="12">
        <v>0</v>
      </c>
      <c r="F6" s="8">
        <v>0</v>
      </c>
      <c r="G6" s="12">
        <v>1</v>
      </c>
      <c r="H6" s="8">
        <v>5.88</v>
      </c>
      <c r="I6" s="12">
        <v>0</v>
      </c>
    </row>
    <row r="7" spans="2:9" ht="15" customHeight="1" x14ac:dyDescent="0.2">
      <c r="B7" t="s">
        <v>44</v>
      </c>
      <c r="C7" s="12">
        <v>2</v>
      </c>
      <c r="D7" s="8">
        <v>4</v>
      </c>
      <c r="E7" s="12">
        <v>0</v>
      </c>
      <c r="F7" s="8">
        <v>0</v>
      </c>
      <c r="G7" s="12">
        <v>2</v>
      </c>
      <c r="H7" s="8">
        <v>11.76</v>
      </c>
      <c r="I7" s="12">
        <v>0</v>
      </c>
    </row>
    <row r="8" spans="2:9" ht="15" customHeight="1" x14ac:dyDescent="0.2">
      <c r="B8" t="s">
        <v>45</v>
      </c>
      <c r="C8" s="12">
        <v>1</v>
      </c>
      <c r="D8" s="8">
        <v>2</v>
      </c>
      <c r="E8" s="12">
        <v>0</v>
      </c>
      <c r="F8" s="8">
        <v>0</v>
      </c>
      <c r="G8" s="12">
        <v>1</v>
      </c>
      <c r="H8" s="8">
        <v>5.88</v>
      </c>
      <c r="I8" s="12">
        <v>0</v>
      </c>
    </row>
    <row r="9" spans="2:9" ht="15" customHeight="1" x14ac:dyDescent="0.2">
      <c r="B9" t="s">
        <v>46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47</v>
      </c>
      <c r="C10" s="12">
        <v>3</v>
      </c>
      <c r="D10" s="8">
        <v>6</v>
      </c>
      <c r="E10" s="12">
        <v>0</v>
      </c>
      <c r="F10" s="8">
        <v>0</v>
      </c>
      <c r="G10" s="12">
        <v>3</v>
      </c>
      <c r="H10" s="8">
        <v>17.649999999999999</v>
      </c>
      <c r="I10" s="12">
        <v>0</v>
      </c>
    </row>
    <row r="11" spans="2:9" ht="15" customHeight="1" x14ac:dyDescent="0.2">
      <c r="B11" t="s">
        <v>48</v>
      </c>
      <c r="C11" s="12">
        <v>9</v>
      </c>
      <c r="D11" s="8">
        <v>18</v>
      </c>
      <c r="E11" s="12">
        <v>5</v>
      </c>
      <c r="F11" s="8">
        <v>16.670000000000002</v>
      </c>
      <c r="G11" s="12">
        <v>4</v>
      </c>
      <c r="H11" s="8">
        <v>23.53</v>
      </c>
      <c r="I11" s="12">
        <v>0</v>
      </c>
    </row>
    <row r="12" spans="2:9" ht="15" customHeight="1" x14ac:dyDescent="0.2">
      <c r="B12" t="s">
        <v>49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50</v>
      </c>
      <c r="C13" s="12">
        <v>1</v>
      </c>
      <c r="D13" s="8">
        <v>2</v>
      </c>
      <c r="E13" s="12">
        <v>0</v>
      </c>
      <c r="F13" s="8">
        <v>0</v>
      </c>
      <c r="G13" s="12">
        <v>1</v>
      </c>
      <c r="H13" s="8">
        <v>5.88</v>
      </c>
      <c r="I13" s="12">
        <v>0</v>
      </c>
    </row>
    <row r="14" spans="2:9" ht="15" customHeight="1" x14ac:dyDescent="0.2">
      <c r="B14" t="s">
        <v>51</v>
      </c>
      <c r="C14" s="12">
        <v>2</v>
      </c>
      <c r="D14" s="8">
        <v>4</v>
      </c>
      <c r="E14" s="12">
        <v>0</v>
      </c>
      <c r="F14" s="8">
        <v>0</v>
      </c>
      <c r="G14" s="12">
        <v>1</v>
      </c>
      <c r="H14" s="8">
        <v>5.88</v>
      </c>
      <c r="I14" s="12">
        <v>0</v>
      </c>
    </row>
    <row r="15" spans="2:9" ht="15" customHeight="1" x14ac:dyDescent="0.2">
      <c r="B15" t="s">
        <v>52</v>
      </c>
      <c r="C15" s="12">
        <v>19</v>
      </c>
      <c r="D15" s="8">
        <v>38</v>
      </c>
      <c r="E15" s="12">
        <v>19</v>
      </c>
      <c r="F15" s="8">
        <v>63.33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53</v>
      </c>
      <c r="C16" s="12">
        <v>4</v>
      </c>
      <c r="D16" s="8">
        <v>8</v>
      </c>
      <c r="E16" s="12">
        <v>3</v>
      </c>
      <c r="F16" s="8">
        <v>10</v>
      </c>
      <c r="G16" s="12">
        <v>1</v>
      </c>
      <c r="H16" s="8">
        <v>5.88</v>
      </c>
      <c r="I16" s="12">
        <v>0</v>
      </c>
    </row>
    <row r="17" spans="2:9" ht="15" customHeight="1" x14ac:dyDescent="0.2">
      <c r="B17" t="s">
        <v>54</v>
      </c>
      <c r="C17" s="12">
        <v>3</v>
      </c>
      <c r="D17" s="8">
        <v>6</v>
      </c>
      <c r="E17" s="12">
        <v>1</v>
      </c>
      <c r="F17" s="8">
        <v>3.33</v>
      </c>
      <c r="G17" s="12">
        <v>1</v>
      </c>
      <c r="H17" s="8">
        <v>5.88</v>
      </c>
      <c r="I17" s="12">
        <v>0</v>
      </c>
    </row>
    <row r="18" spans="2:9" ht="15" customHeight="1" x14ac:dyDescent="0.2">
      <c r="B18" t="s">
        <v>55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56</v>
      </c>
      <c r="C19" s="12">
        <v>5</v>
      </c>
      <c r="D19" s="8">
        <v>10</v>
      </c>
      <c r="E19" s="12">
        <v>2</v>
      </c>
      <c r="F19" s="8">
        <v>6.67</v>
      </c>
      <c r="G19" s="12">
        <v>2</v>
      </c>
      <c r="H19" s="8">
        <v>11.76</v>
      </c>
      <c r="I19" s="12">
        <v>0</v>
      </c>
    </row>
    <row r="20" spans="2:9" ht="15" customHeight="1" x14ac:dyDescent="0.2">
      <c r="B20" s="9" t="s">
        <v>260</v>
      </c>
      <c r="C20" s="12">
        <f>SUM(LTBL_47357[総数／事業所数])</f>
        <v>50</v>
      </c>
      <c r="E20" s="12">
        <f>SUBTOTAL(109,LTBL_47357[個人／事業所数])</f>
        <v>30</v>
      </c>
      <c r="G20" s="12">
        <f>SUBTOTAL(109,LTBL_47357[法人／事業所数])</f>
        <v>17</v>
      </c>
      <c r="I20" s="12">
        <f>SUBTOTAL(109,LTBL_47357[法人以外の団体／事業所数])</f>
        <v>0</v>
      </c>
    </row>
    <row r="21" spans="2:9" ht="15" customHeight="1" x14ac:dyDescent="0.2">
      <c r="E21" s="11">
        <f>LTBL_47357[[#Totals],[個人／事業所数]]/LTBL_47357[[#Totals],[総数／事業所数]]</f>
        <v>0.6</v>
      </c>
      <c r="G21" s="11">
        <f>LTBL_47357[[#Totals],[法人／事業所数]]/LTBL_47357[[#Totals],[総数／事業所数]]</f>
        <v>0.34</v>
      </c>
      <c r="I21" s="11">
        <f>LTBL_47357[[#Totals],[法人以外の団体／事業所数]]/LTBL_47357[[#Totals],[総数／事業所数]]</f>
        <v>0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77</v>
      </c>
      <c r="C24" s="12">
        <v>17</v>
      </c>
      <c r="D24" s="8">
        <v>34</v>
      </c>
      <c r="E24" s="12">
        <v>17</v>
      </c>
      <c r="F24" s="8">
        <v>56.67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71</v>
      </c>
      <c r="C25" s="12">
        <v>4</v>
      </c>
      <c r="D25" s="8">
        <v>8</v>
      </c>
      <c r="E25" s="12">
        <v>1</v>
      </c>
      <c r="F25" s="8">
        <v>3.33</v>
      </c>
      <c r="G25" s="12">
        <v>3</v>
      </c>
      <c r="H25" s="8">
        <v>17.649999999999999</v>
      </c>
      <c r="I25" s="12">
        <v>0</v>
      </c>
    </row>
    <row r="26" spans="2:9" ht="15" customHeight="1" x14ac:dyDescent="0.2">
      <c r="B26" t="s">
        <v>107</v>
      </c>
      <c r="C26" s="12">
        <v>3</v>
      </c>
      <c r="D26" s="8">
        <v>6</v>
      </c>
      <c r="E26" s="12">
        <v>0</v>
      </c>
      <c r="F26" s="8">
        <v>0</v>
      </c>
      <c r="G26" s="12">
        <v>3</v>
      </c>
      <c r="H26" s="8">
        <v>17.649999999999999</v>
      </c>
      <c r="I26" s="12">
        <v>0</v>
      </c>
    </row>
    <row r="27" spans="2:9" ht="15" customHeight="1" x14ac:dyDescent="0.2">
      <c r="B27" t="s">
        <v>69</v>
      </c>
      <c r="C27" s="12">
        <v>3</v>
      </c>
      <c r="D27" s="8">
        <v>6</v>
      </c>
      <c r="E27" s="12">
        <v>3</v>
      </c>
      <c r="F27" s="8">
        <v>10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81</v>
      </c>
      <c r="C28" s="12">
        <v>3</v>
      </c>
      <c r="D28" s="8">
        <v>6</v>
      </c>
      <c r="E28" s="12">
        <v>1</v>
      </c>
      <c r="F28" s="8">
        <v>3.33</v>
      </c>
      <c r="G28" s="12">
        <v>1</v>
      </c>
      <c r="H28" s="8">
        <v>5.88</v>
      </c>
      <c r="I28" s="12">
        <v>0</v>
      </c>
    </row>
    <row r="29" spans="2:9" ht="15" customHeight="1" x14ac:dyDescent="0.2">
      <c r="B29" t="s">
        <v>76</v>
      </c>
      <c r="C29" s="12">
        <v>2</v>
      </c>
      <c r="D29" s="8">
        <v>4</v>
      </c>
      <c r="E29" s="12">
        <v>2</v>
      </c>
      <c r="F29" s="8">
        <v>6.67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80</v>
      </c>
      <c r="C30" s="12">
        <v>2</v>
      </c>
      <c r="D30" s="8">
        <v>4</v>
      </c>
      <c r="E30" s="12">
        <v>2</v>
      </c>
      <c r="F30" s="8">
        <v>6.67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104</v>
      </c>
      <c r="C31" s="12">
        <v>2</v>
      </c>
      <c r="D31" s="8">
        <v>4</v>
      </c>
      <c r="E31" s="12">
        <v>0</v>
      </c>
      <c r="F31" s="8">
        <v>0</v>
      </c>
      <c r="G31" s="12">
        <v>1</v>
      </c>
      <c r="H31" s="8">
        <v>5.88</v>
      </c>
      <c r="I31" s="12">
        <v>0</v>
      </c>
    </row>
    <row r="32" spans="2:9" ht="15" customHeight="1" x14ac:dyDescent="0.2">
      <c r="B32" t="s">
        <v>84</v>
      </c>
      <c r="C32" s="12">
        <v>2</v>
      </c>
      <c r="D32" s="8">
        <v>4</v>
      </c>
      <c r="E32" s="12">
        <v>2</v>
      </c>
      <c r="F32" s="8">
        <v>6.67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65</v>
      </c>
      <c r="C33" s="12">
        <v>1</v>
      </c>
      <c r="D33" s="8">
        <v>2</v>
      </c>
      <c r="E33" s="12">
        <v>0</v>
      </c>
      <c r="F33" s="8">
        <v>0</v>
      </c>
      <c r="G33" s="12">
        <v>1</v>
      </c>
      <c r="H33" s="8">
        <v>5.88</v>
      </c>
      <c r="I33" s="12">
        <v>0</v>
      </c>
    </row>
    <row r="34" spans="2:9" ht="15" customHeight="1" x14ac:dyDescent="0.2">
      <c r="B34" t="s">
        <v>88</v>
      </c>
      <c r="C34" s="12">
        <v>1</v>
      </c>
      <c r="D34" s="8">
        <v>2</v>
      </c>
      <c r="E34" s="12">
        <v>0</v>
      </c>
      <c r="F34" s="8">
        <v>0</v>
      </c>
      <c r="G34" s="12">
        <v>1</v>
      </c>
      <c r="H34" s="8">
        <v>5.88</v>
      </c>
      <c r="I34" s="12">
        <v>0</v>
      </c>
    </row>
    <row r="35" spans="2:9" ht="15" customHeight="1" x14ac:dyDescent="0.2">
      <c r="B35" t="s">
        <v>97</v>
      </c>
      <c r="C35" s="12">
        <v>1</v>
      </c>
      <c r="D35" s="8">
        <v>2</v>
      </c>
      <c r="E35" s="12">
        <v>0</v>
      </c>
      <c r="F35" s="8">
        <v>0</v>
      </c>
      <c r="G35" s="12">
        <v>1</v>
      </c>
      <c r="H35" s="8">
        <v>5.88</v>
      </c>
      <c r="I35" s="12">
        <v>0</v>
      </c>
    </row>
    <row r="36" spans="2:9" ht="15" customHeight="1" x14ac:dyDescent="0.2">
      <c r="B36" t="s">
        <v>113</v>
      </c>
      <c r="C36" s="12">
        <v>1</v>
      </c>
      <c r="D36" s="8">
        <v>2</v>
      </c>
      <c r="E36" s="12">
        <v>0</v>
      </c>
      <c r="F36" s="8">
        <v>0</v>
      </c>
      <c r="G36" s="12">
        <v>1</v>
      </c>
      <c r="H36" s="8">
        <v>5.88</v>
      </c>
      <c r="I36" s="12">
        <v>0</v>
      </c>
    </row>
    <row r="37" spans="2:9" ht="15" customHeight="1" x14ac:dyDescent="0.2">
      <c r="B37" t="s">
        <v>90</v>
      </c>
      <c r="C37" s="12">
        <v>1</v>
      </c>
      <c r="D37" s="8">
        <v>2</v>
      </c>
      <c r="E37" s="12">
        <v>0</v>
      </c>
      <c r="F37" s="8">
        <v>0</v>
      </c>
      <c r="G37" s="12">
        <v>1</v>
      </c>
      <c r="H37" s="8">
        <v>5.88</v>
      </c>
      <c r="I37" s="12">
        <v>0</v>
      </c>
    </row>
    <row r="38" spans="2:9" ht="15" customHeight="1" x14ac:dyDescent="0.2">
      <c r="B38" t="s">
        <v>106</v>
      </c>
      <c r="C38" s="12">
        <v>1</v>
      </c>
      <c r="D38" s="8">
        <v>2</v>
      </c>
      <c r="E38" s="12">
        <v>1</v>
      </c>
      <c r="F38" s="8">
        <v>3.33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94</v>
      </c>
      <c r="C39" s="12">
        <v>1</v>
      </c>
      <c r="D39" s="8">
        <v>2</v>
      </c>
      <c r="E39" s="12">
        <v>0</v>
      </c>
      <c r="F39" s="8">
        <v>0</v>
      </c>
      <c r="G39" s="12">
        <v>1</v>
      </c>
      <c r="H39" s="8">
        <v>5.88</v>
      </c>
      <c r="I39" s="12">
        <v>0</v>
      </c>
    </row>
    <row r="40" spans="2:9" ht="15" customHeight="1" x14ac:dyDescent="0.2">
      <c r="B40" t="s">
        <v>116</v>
      </c>
      <c r="C40" s="12">
        <v>1</v>
      </c>
      <c r="D40" s="8">
        <v>2</v>
      </c>
      <c r="E40" s="12">
        <v>0</v>
      </c>
      <c r="F40" s="8">
        <v>0</v>
      </c>
      <c r="G40" s="12">
        <v>1</v>
      </c>
      <c r="H40" s="8">
        <v>5.88</v>
      </c>
      <c r="I40" s="12">
        <v>0</v>
      </c>
    </row>
    <row r="41" spans="2:9" ht="15" customHeight="1" x14ac:dyDescent="0.2">
      <c r="B41" t="s">
        <v>75</v>
      </c>
      <c r="C41" s="12">
        <v>1</v>
      </c>
      <c r="D41" s="8">
        <v>2</v>
      </c>
      <c r="E41" s="12">
        <v>0</v>
      </c>
      <c r="F41" s="8">
        <v>0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78</v>
      </c>
      <c r="C42" s="12">
        <v>1</v>
      </c>
      <c r="D42" s="8">
        <v>2</v>
      </c>
      <c r="E42" s="12">
        <v>1</v>
      </c>
      <c r="F42" s="8">
        <v>3.33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79</v>
      </c>
      <c r="C43" s="12">
        <v>1</v>
      </c>
      <c r="D43" s="8">
        <v>2</v>
      </c>
      <c r="E43" s="12">
        <v>0</v>
      </c>
      <c r="F43" s="8">
        <v>0</v>
      </c>
      <c r="G43" s="12">
        <v>1</v>
      </c>
      <c r="H43" s="8">
        <v>5.88</v>
      </c>
      <c r="I43" s="12">
        <v>0</v>
      </c>
    </row>
    <row r="44" spans="2:9" ht="15" customHeight="1" x14ac:dyDescent="0.2">
      <c r="B44" t="s">
        <v>102</v>
      </c>
      <c r="C44" s="12">
        <v>1</v>
      </c>
      <c r="D44" s="8">
        <v>2</v>
      </c>
      <c r="E44" s="12">
        <v>0</v>
      </c>
      <c r="F44" s="8">
        <v>0</v>
      </c>
      <c r="G44" s="12">
        <v>1</v>
      </c>
      <c r="H44" s="8">
        <v>5.88</v>
      </c>
      <c r="I44" s="12">
        <v>0</v>
      </c>
    </row>
    <row r="47" spans="2:9" ht="33" customHeight="1" x14ac:dyDescent="0.2">
      <c r="B47" t="s">
        <v>262</v>
      </c>
      <c r="C47" s="10" t="s">
        <v>58</v>
      </c>
      <c r="D47" s="10" t="s">
        <v>59</v>
      </c>
      <c r="E47" s="10" t="s">
        <v>60</v>
      </c>
      <c r="F47" s="10" t="s">
        <v>61</v>
      </c>
      <c r="G47" s="10" t="s">
        <v>62</v>
      </c>
      <c r="H47" s="10" t="s">
        <v>63</v>
      </c>
      <c r="I47" s="10" t="s">
        <v>64</v>
      </c>
    </row>
    <row r="48" spans="2:9" ht="15" customHeight="1" x14ac:dyDescent="0.2">
      <c r="B48" t="s">
        <v>132</v>
      </c>
      <c r="C48" s="12">
        <v>9</v>
      </c>
      <c r="D48" s="8">
        <v>18</v>
      </c>
      <c r="E48" s="12">
        <v>9</v>
      </c>
      <c r="F48" s="8">
        <v>30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133</v>
      </c>
      <c r="C49" s="12">
        <v>6</v>
      </c>
      <c r="D49" s="8">
        <v>12</v>
      </c>
      <c r="E49" s="12">
        <v>6</v>
      </c>
      <c r="F49" s="8">
        <v>20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235</v>
      </c>
      <c r="C50" s="12">
        <v>3</v>
      </c>
      <c r="D50" s="8">
        <v>6</v>
      </c>
      <c r="E50" s="12">
        <v>0</v>
      </c>
      <c r="F50" s="8">
        <v>0</v>
      </c>
      <c r="G50" s="12">
        <v>3</v>
      </c>
      <c r="H50" s="8">
        <v>17.649999999999999</v>
      </c>
      <c r="I50" s="12">
        <v>0</v>
      </c>
    </row>
    <row r="51" spans="2:9" ht="15" customHeight="1" x14ac:dyDescent="0.2">
      <c r="B51" t="s">
        <v>160</v>
      </c>
      <c r="C51" s="12">
        <v>3</v>
      </c>
      <c r="D51" s="8">
        <v>6</v>
      </c>
      <c r="E51" s="12">
        <v>0</v>
      </c>
      <c r="F51" s="8">
        <v>0</v>
      </c>
      <c r="G51" s="12">
        <v>3</v>
      </c>
      <c r="H51" s="8">
        <v>17.649999999999999</v>
      </c>
      <c r="I51" s="12">
        <v>0</v>
      </c>
    </row>
    <row r="52" spans="2:9" ht="15" customHeight="1" x14ac:dyDescent="0.2">
      <c r="B52" t="s">
        <v>203</v>
      </c>
      <c r="C52" s="12">
        <v>2</v>
      </c>
      <c r="D52" s="8">
        <v>4</v>
      </c>
      <c r="E52" s="12">
        <v>0</v>
      </c>
      <c r="F52" s="8">
        <v>0</v>
      </c>
      <c r="G52" s="12">
        <v>1</v>
      </c>
      <c r="H52" s="8">
        <v>5.88</v>
      </c>
      <c r="I52" s="12">
        <v>0</v>
      </c>
    </row>
    <row r="53" spans="2:9" ht="15" customHeight="1" x14ac:dyDescent="0.2">
      <c r="B53" t="s">
        <v>141</v>
      </c>
      <c r="C53" s="12">
        <v>2</v>
      </c>
      <c r="D53" s="8">
        <v>4</v>
      </c>
      <c r="E53" s="12">
        <v>2</v>
      </c>
      <c r="F53" s="8">
        <v>6.67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186</v>
      </c>
      <c r="C54" s="12">
        <v>1</v>
      </c>
      <c r="D54" s="8">
        <v>2</v>
      </c>
      <c r="E54" s="12">
        <v>0</v>
      </c>
      <c r="F54" s="8">
        <v>0</v>
      </c>
      <c r="G54" s="12">
        <v>1</v>
      </c>
      <c r="H54" s="8">
        <v>5.88</v>
      </c>
      <c r="I54" s="12">
        <v>0</v>
      </c>
    </row>
    <row r="55" spans="2:9" ht="15" customHeight="1" x14ac:dyDescent="0.2">
      <c r="B55" t="s">
        <v>234</v>
      </c>
      <c r="C55" s="12">
        <v>1</v>
      </c>
      <c r="D55" s="8">
        <v>2</v>
      </c>
      <c r="E55" s="12">
        <v>0</v>
      </c>
      <c r="F55" s="8">
        <v>0</v>
      </c>
      <c r="G55" s="12">
        <v>1</v>
      </c>
      <c r="H55" s="8">
        <v>5.88</v>
      </c>
      <c r="I55" s="12">
        <v>0</v>
      </c>
    </row>
    <row r="56" spans="2:9" ht="15" customHeight="1" x14ac:dyDescent="0.2">
      <c r="B56" t="s">
        <v>165</v>
      </c>
      <c r="C56" s="12">
        <v>1</v>
      </c>
      <c r="D56" s="8">
        <v>2</v>
      </c>
      <c r="E56" s="12">
        <v>0</v>
      </c>
      <c r="F56" s="8">
        <v>0</v>
      </c>
      <c r="G56" s="12">
        <v>1</v>
      </c>
      <c r="H56" s="8">
        <v>5.88</v>
      </c>
      <c r="I56" s="12">
        <v>0</v>
      </c>
    </row>
    <row r="57" spans="2:9" ht="15" customHeight="1" x14ac:dyDescent="0.2">
      <c r="B57" t="s">
        <v>231</v>
      </c>
      <c r="C57" s="12">
        <v>1</v>
      </c>
      <c r="D57" s="8">
        <v>2</v>
      </c>
      <c r="E57" s="12">
        <v>0</v>
      </c>
      <c r="F57" s="8">
        <v>0</v>
      </c>
      <c r="G57" s="12">
        <v>1</v>
      </c>
      <c r="H57" s="8">
        <v>5.88</v>
      </c>
      <c r="I57" s="12">
        <v>0</v>
      </c>
    </row>
    <row r="58" spans="2:9" ht="15" customHeight="1" x14ac:dyDescent="0.2">
      <c r="B58" t="s">
        <v>236</v>
      </c>
      <c r="C58" s="12">
        <v>1</v>
      </c>
      <c r="D58" s="8">
        <v>2</v>
      </c>
      <c r="E58" s="12">
        <v>0</v>
      </c>
      <c r="F58" s="8">
        <v>0</v>
      </c>
      <c r="G58" s="12">
        <v>1</v>
      </c>
      <c r="H58" s="8">
        <v>5.88</v>
      </c>
      <c r="I58" s="12">
        <v>0</v>
      </c>
    </row>
    <row r="59" spans="2:9" ht="15" customHeight="1" x14ac:dyDescent="0.2">
      <c r="B59" t="s">
        <v>158</v>
      </c>
      <c r="C59" s="12">
        <v>1</v>
      </c>
      <c r="D59" s="8">
        <v>2</v>
      </c>
      <c r="E59" s="12">
        <v>1</v>
      </c>
      <c r="F59" s="8">
        <v>3.33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144</v>
      </c>
      <c r="C60" s="12">
        <v>1</v>
      </c>
      <c r="D60" s="8">
        <v>2</v>
      </c>
      <c r="E60" s="12">
        <v>1</v>
      </c>
      <c r="F60" s="8">
        <v>3.33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123</v>
      </c>
      <c r="C61" s="12">
        <v>1</v>
      </c>
      <c r="D61" s="8">
        <v>2</v>
      </c>
      <c r="E61" s="12">
        <v>1</v>
      </c>
      <c r="F61" s="8">
        <v>3.33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237</v>
      </c>
      <c r="C62" s="12">
        <v>1</v>
      </c>
      <c r="D62" s="8">
        <v>2</v>
      </c>
      <c r="E62" s="12">
        <v>1</v>
      </c>
      <c r="F62" s="8">
        <v>3.33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238</v>
      </c>
      <c r="C63" s="12">
        <v>1</v>
      </c>
      <c r="D63" s="8">
        <v>2</v>
      </c>
      <c r="E63" s="12">
        <v>1</v>
      </c>
      <c r="F63" s="8">
        <v>3.33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239</v>
      </c>
      <c r="C64" s="12">
        <v>1</v>
      </c>
      <c r="D64" s="8">
        <v>2</v>
      </c>
      <c r="E64" s="12">
        <v>0</v>
      </c>
      <c r="F64" s="8">
        <v>0</v>
      </c>
      <c r="G64" s="12">
        <v>1</v>
      </c>
      <c r="H64" s="8">
        <v>5.88</v>
      </c>
      <c r="I64" s="12">
        <v>0</v>
      </c>
    </row>
    <row r="65" spans="2:9" ht="15" customHeight="1" x14ac:dyDescent="0.2">
      <c r="B65" t="s">
        <v>240</v>
      </c>
      <c r="C65" s="12">
        <v>1</v>
      </c>
      <c r="D65" s="8">
        <v>2</v>
      </c>
      <c r="E65" s="12">
        <v>0</v>
      </c>
      <c r="F65" s="8">
        <v>0</v>
      </c>
      <c r="G65" s="12">
        <v>1</v>
      </c>
      <c r="H65" s="8">
        <v>5.88</v>
      </c>
      <c r="I65" s="12">
        <v>0</v>
      </c>
    </row>
    <row r="66" spans="2:9" ht="15" customHeight="1" x14ac:dyDescent="0.2">
      <c r="B66" t="s">
        <v>179</v>
      </c>
      <c r="C66" s="12">
        <v>1</v>
      </c>
      <c r="D66" s="8">
        <v>2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130</v>
      </c>
      <c r="C67" s="12">
        <v>1</v>
      </c>
      <c r="D67" s="8">
        <v>2</v>
      </c>
      <c r="E67" s="12">
        <v>1</v>
      </c>
      <c r="F67" s="8">
        <v>3.33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148</v>
      </c>
      <c r="C68" s="12">
        <v>1</v>
      </c>
      <c r="D68" s="8">
        <v>2</v>
      </c>
      <c r="E68" s="12">
        <v>1</v>
      </c>
      <c r="F68" s="8">
        <v>3.33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149</v>
      </c>
      <c r="C69" s="12">
        <v>1</v>
      </c>
      <c r="D69" s="8">
        <v>2</v>
      </c>
      <c r="E69" s="12">
        <v>1</v>
      </c>
      <c r="F69" s="8">
        <v>3.33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200</v>
      </c>
      <c r="C70" s="12">
        <v>1</v>
      </c>
      <c r="D70" s="8">
        <v>2</v>
      </c>
      <c r="E70" s="12">
        <v>1</v>
      </c>
      <c r="F70" s="8">
        <v>3.33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136</v>
      </c>
      <c r="C71" s="12">
        <v>1</v>
      </c>
      <c r="D71" s="8">
        <v>2</v>
      </c>
      <c r="E71" s="12">
        <v>1</v>
      </c>
      <c r="F71" s="8">
        <v>3.33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181</v>
      </c>
      <c r="C72" s="12">
        <v>1</v>
      </c>
      <c r="D72" s="8">
        <v>2</v>
      </c>
      <c r="E72" s="12">
        <v>0</v>
      </c>
      <c r="F72" s="8">
        <v>0</v>
      </c>
      <c r="G72" s="12">
        <v>1</v>
      </c>
      <c r="H72" s="8">
        <v>5.88</v>
      </c>
      <c r="I72" s="12">
        <v>0</v>
      </c>
    </row>
    <row r="73" spans="2:9" ht="15" customHeight="1" x14ac:dyDescent="0.2">
      <c r="B73" t="s">
        <v>241</v>
      </c>
      <c r="C73" s="12">
        <v>1</v>
      </c>
      <c r="D73" s="8">
        <v>2</v>
      </c>
      <c r="E73" s="12">
        <v>1</v>
      </c>
      <c r="F73" s="8">
        <v>3.33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150</v>
      </c>
      <c r="C74" s="12">
        <v>1</v>
      </c>
      <c r="D74" s="8">
        <v>2</v>
      </c>
      <c r="E74" s="12">
        <v>1</v>
      </c>
      <c r="F74" s="8">
        <v>3.33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182</v>
      </c>
      <c r="C75" s="12">
        <v>1</v>
      </c>
      <c r="D75" s="8">
        <v>2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242</v>
      </c>
      <c r="C76" s="12">
        <v>1</v>
      </c>
      <c r="D76" s="8">
        <v>2</v>
      </c>
      <c r="E76" s="12">
        <v>0</v>
      </c>
      <c r="F76" s="8">
        <v>0</v>
      </c>
      <c r="G76" s="12">
        <v>1</v>
      </c>
      <c r="H76" s="8">
        <v>5.88</v>
      </c>
      <c r="I76" s="12">
        <v>0</v>
      </c>
    </row>
    <row r="77" spans="2:9" ht="15" customHeight="1" x14ac:dyDescent="0.2">
      <c r="B77" t="s">
        <v>139</v>
      </c>
      <c r="C77" s="12">
        <v>1</v>
      </c>
      <c r="D77" s="8">
        <v>2</v>
      </c>
      <c r="E77" s="12">
        <v>1</v>
      </c>
      <c r="F77" s="8">
        <v>3.33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185</v>
      </c>
      <c r="C78" s="12">
        <v>1</v>
      </c>
      <c r="D78" s="8">
        <v>2</v>
      </c>
      <c r="E78" s="12">
        <v>0</v>
      </c>
      <c r="F78" s="8">
        <v>0</v>
      </c>
      <c r="G78" s="12">
        <v>1</v>
      </c>
      <c r="H78" s="8">
        <v>5.88</v>
      </c>
      <c r="I78" s="12">
        <v>0</v>
      </c>
    </row>
    <row r="80" spans="2:9" ht="15" customHeight="1" x14ac:dyDescent="0.2">
      <c r="B80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00DB9-5903-479D-9965-9751208A0310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297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1</v>
      </c>
      <c r="D6" s="8">
        <v>3.13</v>
      </c>
      <c r="E6" s="12">
        <v>0</v>
      </c>
      <c r="F6" s="8">
        <v>0</v>
      </c>
      <c r="G6" s="12">
        <v>1</v>
      </c>
      <c r="H6" s="8">
        <v>16.670000000000002</v>
      </c>
      <c r="I6" s="12">
        <v>0</v>
      </c>
    </row>
    <row r="7" spans="2:9" ht="15" customHeight="1" x14ac:dyDescent="0.2">
      <c r="B7" t="s">
        <v>44</v>
      </c>
      <c r="C7" s="12">
        <v>1</v>
      </c>
      <c r="D7" s="8">
        <v>3.13</v>
      </c>
      <c r="E7" s="12">
        <v>0</v>
      </c>
      <c r="F7" s="8">
        <v>0</v>
      </c>
      <c r="G7" s="12">
        <v>1</v>
      </c>
      <c r="H7" s="8">
        <v>16.670000000000002</v>
      </c>
      <c r="I7" s="12">
        <v>0</v>
      </c>
    </row>
    <row r="8" spans="2:9" ht="15" customHeight="1" x14ac:dyDescent="0.2">
      <c r="B8" t="s">
        <v>45</v>
      </c>
      <c r="C8" s="12">
        <v>2</v>
      </c>
      <c r="D8" s="8">
        <v>6.25</v>
      </c>
      <c r="E8" s="12">
        <v>0</v>
      </c>
      <c r="F8" s="8">
        <v>0</v>
      </c>
      <c r="G8" s="12">
        <v>1</v>
      </c>
      <c r="H8" s="8">
        <v>16.670000000000002</v>
      </c>
      <c r="I8" s="12">
        <v>0</v>
      </c>
    </row>
    <row r="9" spans="2:9" ht="15" customHeight="1" x14ac:dyDescent="0.2">
      <c r="B9" t="s">
        <v>46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47</v>
      </c>
      <c r="C10" s="12">
        <v>5</v>
      </c>
      <c r="D10" s="8">
        <v>15.63</v>
      </c>
      <c r="E10" s="12">
        <v>2</v>
      </c>
      <c r="F10" s="8">
        <v>14.29</v>
      </c>
      <c r="G10" s="12">
        <v>1</v>
      </c>
      <c r="H10" s="8">
        <v>16.670000000000002</v>
      </c>
      <c r="I10" s="12">
        <v>0</v>
      </c>
    </row>
    <row r="11" spans="2:9" ht="15" customHeight="1" x14ac:dyDescent="0.2">
      <c r="B11" t="s">
        <v>48</v>
      </c>
      <c r="C11" s="12">
        <v>9</v>
      </c>
      <c r="D11" s="8">
        <v>28.13</v>
      </c>
      <c r="E11" s="12">
        <v>6</v>
      </c>
      <c r="F11" s="8">
        <v>42.86</v>
      </c>
      <c r="G11" s="12">
        <v>2</v>
      </c>
      <c r="H11" s="8">
        <v>33.33</v>
      </c>
      <c r="I11" s="12">
        <v>1</v>
      </c>
    </row>
    <row r="12" spans="2:9" ht="15" customHeight="1" x14ac:dyDescent="0.2">
      <c r="B12" t="s">
        <v>49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50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51</v>
      </c>
      <c r="C14" s="12">
        <v>1</v>
      </c>
      <c r="D14" s="8">
        <v>3.13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52</v>
      </c>
      <c r="C15" s="12">
        <v>6</v>
      </c>
      <c r="D15" s="8">
        <v>18.75</v>
      </c>
      <c r="E15" s="12">
        <v>4</v>
      </c>
      <c r="F15" s="8">
        <v>28.57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53</v>
      </c>
      <c r="C16" s="12">
        <v>1</v>
      </c>
      <c r="D16" s="8">
        <v>3.13</v>
      </c>
      <c r="E16" s="12">
        <v>1</v>
      </c>
      <c r="F16" s="8">
        <v>7.14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54</v>
      </c>
      <c r="C17" s="12">
        <v>1</v>
      </c>
      <c r="D17" s="8">
        <v>3.13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55</v>
      </c>
      <c r="C18" s="12">
        <v>1</v>
      </c>
      <c r="D18" s="8">
        <v>3.13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56</v>
      </c>
      <c r="C19" s="12">
        <v>4</v>
      </c>
      <c r="D19" s="8">
        <v>12.5</v>
      </c>
      <c r="E19" s="12">
        <v>1</v>
      </c>
      <c r="F19" s="8">
        <v>7.14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260</v>
      </c>
      <c r="C20" s="12">
        <f>SUM(LTBL_47358[総数／事業所数])</f>
        <v>32</v>
      </c>
      <c r="E20" s="12">
        <f>SUBTOTAL(109,LTBL_47358[個人／事業所数])</f>
        <v>14</v>
      </c>
      <c r="G20" s="12">
        <f>SUBTOTAL(109,LTBL_47358[法人／事業所数])</f>
        <v>6</v>
      </c>
      <c r="I20" s="12">
        <f>SUBTOTAL(109,LTBL_47358[法人以外の団体／事業所数])</f>
        <v>1</v>
      </c>
    </row>
    <row r="21" spans="2:9" ht="15" customHeight="1" x14ac:dyDescent="0.2">
      <c r="E21" s="11">
        <f>LTBL_47358[[#Totals],[個人／事業所数]]/LTBL_47358[[#Totals],[総数／事業所数]]</f>
        <v>0.4375</v>
      </c>
      <c r="G21" s="11">
        <f>LTBL_47358[[#Totals],[法人／事業所数]]/LTBL_47358[[#Totals],[総数／事業所数]]</f>
        <v>0.1875</v>
      </c>
      <c r="I21" s="11">
        <f>LTBL_47358[[#Totals],[法人以外の団体／事業所数]]/LTBL_47358[[#Totals],[総数／事業所数]]</f>
        <v>3.125E-2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69</v>
      </c>
      <c r="C24" s="12">
        <v>6</v>
      </c>
      <c r="D24" s="8">
        <v>18.75</v>
      </c>
      <c r="E24" s="12">
        <v>4</v>
      </c>
      <c r="F24" s="8">
        <v>28.57</v>
      </c>
      <c r="G24" s="12">
        <v>1</v>
      </c>
      <c r="H24" s="8">
        <v>16.670000000000002</v>
      </c>
      <c r="I24" s="12">
        <v>1</v>
      </c>
    </row>
    <row r="25" spans="2:9" ht="15" customHeight="1" x14ac:dyDescent="0.2">
      <c r="B25" t="s">
        <v>77</v>
      </c>
      <c r="C25" s="12">
        <v>3</v>
      </c>
      <c r="D25" s="8">
        <v>9.3800000000000008</v>
      </c>
      <c r="E25" s="12">
        <v>3</v>
      </c>
      <c r="F25" s="8">
        <v>21.43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104</v>
      </c>
      <c r="C26" s="12">
        <v>3</v>
      </c>
      <c r="D26" s="8">
        <v>9.3800000000000008</v>
      </c>
      <c r="E26" s="12">
        <v>0</v>
      </c>
      <c r="F26" s="8">
        <v>0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93</v>
      </c>
      <c r="C27" s="12">
        <v>2</v>
      </c>
      <c r="D27" s="8">
        <v>6.25</v>
      </c>
      <c r="E27" s="12">
        <v>2</v>
      </c>
      <c r="F27" s="8">
        <v>14.29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103</v>
      </c>
      <c r="C28" s="12">
        <v>2</v>
      </c>
      <c r="D28" s="8">
        <v>6.25</v>
      </c>
      <c r="E28" s="12">
        <v>0</v>
      </c>
      <c r="F28" s="8">
        <v>0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71</v>
      </c>
      <c r="C29" s="12">
        <v>2</v>
      </c>
      <c r="D29" s="8">
        <v>6.25</v>
      </c>
      <c r="E29" s="12">
        <v>1</v>
      </c>
      <c r="F29" s="8">
        <v>7.14</v>
      </c>
      <c r="G29" s="12">
        <v>1</v>
      </c>
      <c r="H29" s="8">
        <v>16.670000000000002</v>
      </c>
      <c r="I29" s="12">
        <v>0</v>
      </c>
    </row>
    <row r="30" spans="2:9" ht="15" customHeight="1" x14ac:dyDescent="0.2">
      <c r="B30" t="s">
        <v>91</v>
      </c>
      <c r="C30" s="12">
        <v>2</v>
      </c>
      <c r="D30" s="8">
        <v>6.25</v>
      </c>
      <c r="E30" s="12">
        <v>0</v>
      </c>
      <c r="F30" s="8">
        <v>0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65</v>
      </c>
      <c r="C31" s="12">
        <v>1</v>
      </c>
      <c r="D31" s="8">
        <v>3.13</v>
      </c>
      <c r="E31" s="12">
        <v>0</v>
      </c>
      <c r="F31" s="8">
        <v>0</v>
      </c>
      <c r="G31" s="12">
        <v>1</v>
      </c>
      <c r="H31" s="8">
        <v>16.670000000000002</v>
      </c>
      <c r="I31" s="12">
        <v>0</v>
      </c>
    </row>
    <row r="32" spans="2:9" ht="15" customHeight="1" x14ac:dyDescent="0.2">
      <c r="B32" t="s">
        <v>88</v>
      </c>
      <c r="C32" s="12">
        <v>1</v>
      </c>
      <c r="D32" s="8">
        <v>3.13</v>
      </c>
      <c r="E32" s="12">
        <v>0</v>
      </c>
      <c r="F32" s="8">
        <v>0</v>
      </c>
      <c r="G32" s="12">
        <v>1</v>
      </c>
      <c r="H32" s="8">
        <v>16.670000000000002</v>
      </c>
      <c r="I32" s="12">
        <v>0</v>
      </c>
    </row>
    <row r="33" spans="2:9" ht="15" customHeight="1" x14ac:dyDescent="0.2">
      <c r="B33" t="s">
        <v>113</v>
      </c>
      <c r="C33" s="12">
        <v>1</v>
      </c>
      <c r="D33" s="8">
        <v>3.13</v>
      </c>
      <c r="E33" s="12">
        <v>0</v>
      </c>
      <c r="F33" s="8">
        <v>0</v>
      </c>
      <c r="G33" s="12">
        <v>1</v>
      </c>
      <c r="H33" s="8">
        <v>16.670000000000002</v>
      </c>
      <c r="I33" s="12">
        <v>0</v>
      </c>
    </row>
    <row r="34" spans="2:9" ht="15" customHeight="1" x14ac:dyDescent="0.2">
      <c r="B34" t="s">
        <v>101</v>
      </c>
      <c r="C34" s="12">
        <v>1</v>
      </c>
      <c r="D34" s="8">
        <v>3.13</v>
      </c>
      <c r="E34" s="12">
        <v>0</v>
      </c>
      <c r="F34" s="8">
        <v>0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107</v>
      </c>
      <c r="C35" s="12">
        <v>1</v>
      </c>
      <c r="D35" s="8">
        <v>3.13</v>
      </c>
      <c r="E35" s="12">
        <v>0</v>
      </c>
      <c r="F35" s="8">
        <v>0</v>
      </c>
      <c r="G35" s="12">
        <v>1</v>
      </c>
      <c r="H35" s="8">
        <v>16.670000000000002</v>
      </c>
      <c r="I35" s="12">
        <v>0</v>
      </c>
    </row>
    <row r="36" spans="2:9" ht="15" customHeight="1" x14ac:dyDescent="0.2">
      <c r="B36" t="s">
        <v>70</v>
      </c>
      <c r="C36" s="12">
        <v>1</v>
      </c>
      <c r="D36" s="8">
        <v>3.13</v>
      </c>
      <c r="E36" s="12">
        <v>1</v>
      </c>
      <c r="F36" s="8">
        <v>7.14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75</v>
      </c>
      <c r="C37" s="12">
        <v>1</v>
      </c>
      <c r="D37" s="8">
        <v>3.13</v>
      </c>
      <c r="E37" s="12">
        <v>0</v>
      </c>
      <c r="F37" s="8">
        <v>0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76</v>
      </c>
      <c r="C38" s="12">
        <v>1</v>
      </c>
      <c r="D38" s="8">
        <v>3.13</v>
      </c>
      <c r="E38" s="12">
        <v>1</v>
      </c>
      <c r="F38" s="8">
        <v>7.14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78</v>
      </c>
      <c r="C39" s="12">
        <v>1</v>
      </c>
      <c r="D39" s="8">
        <v>3.13</v>
      </c>
      <c r="E39" s="12">
        <v>1</v>
      </c>
      <c r="F39" s="8">
        <v>7.14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81</v>
      </c>
      <c r="C40" s="12">
        <v>1</v>
      </c>
      <c r="D40" s="8">
        <v>3.13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82</v>
      </c>
      <c r="C41" s="12">
        <v>1</v>
      </c>
      <c r="D41" s="8">
        <v>3.13</v>
      </c>
      <c r="E41" s="12">
        <v>0</v>
      </c>
      <c r="F41" s="8">
        <v>0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84</v>
      </c>
      <c r="C42" s="12">
        <v>1</v>
      </c>
      <c r="D42" s="8">
        <v>3.13</v>
      </c>
      <c r="E42" s="12">
        <v>1</v>
      </c>
      <c r="F42" s="8">
        <v>7.14</v>
      </c>
      <c r="G42" s="12">
        <v>0</v>
      </c>
      <c r="H42" s="8">
        <v>0</v>
      </c>
      <c r="I42" s="12">
        <v>0</v>
      </c>
    </row>
    <row r="45" spans="2:9" ht="33" customHeight="1" x14ac:dyDescent="0.2">
      <c r="B45" t="s">
        <v>262</v>
      </c>
      <c r="C45" s="10" t="s">
        <v>58</v>
      </c>
      <c r="D45" s="10" t="s">
        <v>59</v>
      </c>
      <c r="E45" s="10" t="s">
        <v>60</v>
      </c>
      <c r="F45" s="10" t="s">
        <v>61</v>
      </c>
      <c r="G45" s="10" t="s">
        <v>62</v>
      </c>
      <c r="H45" s="10" t="s">
        <v>63</v>
      </c>
      <c r="I45" s="10" t="s">
        <v>64</v>
      </c>
    </row>
    <row r="46" spans="2:9" ht="15" customHeight="1" x14ac:dyDescent="0.2">
      <c r="B46" t="s">
        <v>123</v>
      </c>
      <c r="C46" s="12">
        <v>3</v>
      </c>
      <c r="D46" s="8">
        <v>9.3800000000000008</v>
      </c>
      <c r="E46" s="12">
        <v>3</v>
      </c>
      <c r="F46" s="8">
        <v>21.43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225</v>
      </c>
      <c r="C47" s="12">
        <v>2</v>
      </c>
      <c r="D47" s="8">
        <v>6.25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156</v>
      </c>
      <c r="C48" s="12">
        <v>2</v>
      </c>
      <c r="D48" s="8">
        <v>6.25</v>
      </c>
      <c r="E48" s="12">
        <v>1</v>
      </c>
      <c r="F48" s="8">
        <v>7.14</v>
      </c>
      <c r="G48" s="12">
        <v>1</v>
      </c>
      <c r="H48" s="8">
        <v>16.670000000000002</v>
      </c>
      <c r="I48" s="12">
        <v>0</v>
      </c>
    </row>
    <row r="49" spans="2:9" ht="15" customHeight="1" x14ac:dyDescent="0.2">
      <c r="B49" t="s">
        <v>132</v>
      </c>
      <c r="C49" s="12">
        <v>2</v>
      </c>
      <c r="D49" s="8">
        <v>6.25</v>
      </c>
      <c r="E49" s="12">
        <v>2</v>
      </c>
      <c r="F49" s="8">
        <v>14.29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180</v>
      </c>
      <c r="C50" s="12">
        <v>2</v>
      </c>
      <c r="D50" s="8">
        <v>6.25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203</v>
      </c>
      <c r="C51" s="12">
        <v>2</v>
      </c>
      <c r="D51" s="8">
        <v>6.25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122</v>
      </c>
      <c r="C52" s="12">
        <v>1</v>
      </c>
      <c r="D52" s="8">
        <v>3.13</v>
      </c>
      <c r="E52" s="12">
        <v>0</v>
      </c>
      <c r="F52" s="8">
        <v>0</v>
      </c>
      <c r="G52" s="12">
        <v>1</v>
      </c>
      <c r="H52" s="8">
        <v>16.670000000000002</v>
      </c>
      <c r="I52" s="12">
        <v>0</v>
      </c>
    </row>
    <row r="53" spans="2:9" ht="15" customHeight="1" x14ac:dyDescent="0.2">
      <c r="B53" t="s">
        <v>198</v>
      </c>
      <c r="C53" s="12">
        <v>1</v>
      </c>
      <c r="D53" s="8">
        <v>3.13</v>
      </c>
      <c r="E53" s="12">
        <v>0</v>
      </c>
      <c r="F53" s="8">
        <v>0</v>
      </c>
      <c r="G53" s="12">
        <v>1</v>
      </c>
      <c r="H53" s="8">
        <v>16.670000000000002</v>
      </c>
      <c r="I53" s="12">
        <v>0</v>
      </c>
    </row>
    <row r="54" spans="2:9" ht="15" customHeight="1" x14ac:dyDescent="0.2">
      <c r="B54" t="s">
        <v>231</v>
      </c>
      <c r="C54" s="12">
        <v>1</v>
      </c>
      <c r="D54" s="8">
        <v>3.13</v>
      </c>
      <c r="E54" s="12">
        <v>0</v>
      </c>
      <c r="F54" s="8">
        <v>0</v>
      </c>
      <c r="G54" s="12">
        <v>1</v>
      </c>
      <c r="H54" s="8">
        <v>16.670000000000002</v>
      </c>
      <c r="I54" s="12">
        <v>0</v>
      </c>
    </row>
    <row r="55" spans="2:9" ht="15" customHeight="1" x14ac:dyDescent="0.2">
      <c r="B55" t="s">
        <v>172</v>
      </c>
      <c r="C55" s="12">
        <v>1</v>
      </c>
      <c r="D55" s="8">
        <v>3.13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155</v>
      </c>
      <c r="C56" s="12">
        <v>1</v>
      </c>
      <c r="D56" s="8">
        <v>3.13</v>
      </c>
      <c r="E56" s="12">
        <v>1</v>
      </c>
      <c r="F56" s="8">
        <v>7.14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224</v>
      </c>
      <c r="C57" s="12">
        <v>1</v>
      </c>
      <c r="D57" s="8">
        <v>3.13</v>
      </c>
      <c r="E57" s="12">
        <v>1</v>
      </c>
      <c r="F57" s="8">
        <v>7.14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235</v>
      </c>
      <c r="C58" s="12">
        <v>1</v>
      </c>
      <c r="D58" s="8">
        <v>3.13</v>
      </c>
      <c r="E58" s="12">
        <v>0</v>
      </c>
      <c r="F58" s="8">
        <v>0</v>
      </c>
      <c r="G58" s="12">
        <v>1</v>
      </c>
      <c r="H58" s="8">
        <v>16.670000000000002</v>
      </c>
      <c r="I58" s="12">
        <v>0</v>
      </c>
    </row>
    <row r="59" spans="2:9" ht="15" customHeight="1" x14ac:dyDescent="0.2">
      <c r="B59" t="s">
        <v>199</v>
      </c>
      <c r="C59" s="12">
        <v>1</v>
      </c>
      <c r="D59" s="8">
        <v>3.13</v>
      </c>
      <c r="E59" s="12">
        <v>0</v>
      </c>
      <c r="F59" s="8">
        <v>0</v>
      </c>
      <c r="G59" s="12">
        <v>0</v>
      </c>
      <c r="H59" s="8">
        <v>0</v>
      </c>
      <c r="I59" s="12">
        <v>1</v>
      </c>
    </row>
    <row r="60" spans="2:9" ht="15" customHeight="1" x14ac:dyDescent="0.2">
      <c r="B60" t="s">
        <v>124</v>
      </c>
      <c r="C60" s="12">
        <v>1</v>
      </c>
      <c r="D60" s="8">
        <v>3.13</v>
      </c>
      <c r="E60" s="12">
        <v>1</v>
      </c>
      <c r="F60" s="8">
        <v>7.14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159</v>
      </c>
      <c r="C61" s="12">
        <v>1</v>
      </c>
      <c r="D61" s="8">
        <v>3.13</v>
      </c>
      <c r="E61" s="12">
        <v>1</v>
      </c>
      <c r="F61" s="8">
        <v>7.14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160</v>
      </c>
      <c r="C62" s="12">
        <v>1</v>
      </c>
      <c r="D62" s="8">
        <v>3.13</v>
      </c>
      <c r="E62" s="12">
        <v>0</v>
      </c>
      <c r="F62" s="8">
        <v>0</v>
      </c>
      <c r="G62" s="12">
        <v>1</v>
      </c>
      <c r="H62" s="8">
        <v>16.670000000000002</v>
      </c>
      <c r="I62" s="12">
        <v>0</v>
      </c>
    </row>
    <row r="63" spans="2:9" ht="15" customHeight="1" x14ac:dyDescent="0.2">
      <c r="B63" t="s">
        <v>179</v>
      </c>
      <c r="C63" s="12">
        <v>1</v>
      </c>
      <c r="D63" s="8">
        <v>3.13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130</v>
      </c>
      <c r="C64" s="12">
        <v>1</v>
      </c>
      <c r="D64" s="8">
        <v>3.13</v>
      </c>
      <c r="E64" s="12">
        <v>1</v>
      </c>
      <c r="F64" s="8">
        <v>7.14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133</v>
      </c>
      <c r="C65" s="12">
        <v>1</v>
      </c>
      <c r="D65" s="8">
        <v>3.13</v>
      </c>
      <c r="E65" s="12">
        <v>1</v>
      </c>
      <c r="F65" s="8">
        <v>7.14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135</v>
      </c>
      <c r="C66" s="12">
        <v>1</v>
      </c>
      <c r="D66" s="8">
        <v>3.13</v>
      </c>
      <c r="E66" s="12">
        <v>1</v>
      </c>
      <c r="F66" s="8">
        <v>7.14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138</v>
      </c>
      <c r="C67" s="12">
        <v>1</v>
      </c>
      <c r="D67" s="8">
        <v>3.13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196</v>
      </c>
      <c r="C68" s="12">
        <v>1</v>
      </c>
      <c r="D68" s="8">
        <v>3.13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243</v>
      </c>
      <c r="C69" s="12">
        <v>1</v>
      </c>
      <c r="D69" s="8">
        <v>3.13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141</v>
      </c>
      <c r="C70" s="12">
        <v>1</v>
      </c>
      <c r="D70" s="8">
        <v>3.13</v>
      </c>
      <c r="E70" s="12">
        <v>1</v>
      </c>
      <c r="F70" s="8">
        <v>7.14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47435-A51C-487F-8C56-31529BDADBEF}">
  <sheetPr>
    <pageSetUpPr fitToPage="1"/>
  </sheetPr>
  <dimension ref="A1:I1100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120</v>
      </c>
      <c r="B1" s="3" t="s">
        <v>257</v>
      </c>
      <c r="C1" s="7" t="s">
        <v>58</v>
      </c>
      <c r="D1" s="7" t="s">
        <v>59</v>
      </c>
      <c r="E1" s="7" t="s">
        <v>60</v>
      </c>
      <c r="F1" s="7" t="s">
        <v>61</v>
      </c>
      <c r="G1" s="7" t="s">
        <v>62</v>
      </c>
      <c r="H1" s="7" t="s">
        <v>63</v>
      </c>
      <c r="I1" s="7" t="s">
        <v>64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128</v>
      </c>
      <c r="C3" s="4">
        <v>2981</v>
      </c>
      <c r="D3" s="8">
        <v>7.8</v>
      </c>
      <c r="E3" s="4">
        <v>1982</v>
      </c>
      <c r="F3" s="8">
        <v>7.93</v>
      </c>
      <c r="G3" s="4">
        <v>995</v>
      </c>
      <c r="H3" s="8">
        <v>7.73</v>
      </c>
      <c r="I3" s="4">
        <v>0</v>
      </c>
    </row>
    <row r="4" spans="1:9" x14ac:dyDescent="0.2">
      <c r="A4" s="2">
        <v>2</v>
      </c>
      <c r="B4" s="1" t="s">
        <v>133</v>
      </c>
      <c r="C4" s="4">
        <v>2079</v>
      </c>
      <c r="D4" s="8">
        <v>5.44</v>
      </c>
      <c r="E4" s="4">
        <v>2041</v>
      </c>
      <c r="F4" s="8">
        <v>8.17</v>
      </c>
      <c r="G4" s="4">
        <v>37</v>
      </c>
      <c r="H4" s="8">
        <v>0.28999999999999998</v>
      </c>
      <c r="I4" s="4">
        <v>1</v>
      </c>
    </row>
    <row r="5" spans="1:9" x14ac:dyDescent="0.2">
      <c r="A5" s="2">
        <v>3</v>
      </c>
      <c r="B5" s="1" t="s">
        <v>136</v>
      </c>
      <c r="C5" s="4">
        <v>1903</v>
      </c>
      <c r="D5" s="8">
        <v>4.9800000000000004</v>
      </c>
      <c r="E5" s="4">
        <v>1808</v>
      </c>
      <c r="F5" s="8">
        <v>7.24</v>
      </c>
      <c r="G5" s="4">
        <v>95</v>
      </c>
      <c r="H5" s="8">
        <v>0.74</v>
      </c>
      <c r="I5" s="4">
        <v>0</v>
      </c>
    </row>
    <row r="6" spans="1:9" x14ac:dyDescent="0.2">
      <c r="A6" s="2">
        <v>4</v>
      </c>
      <c r="B6" s="1" t="s">
        <v>132</v>
      </c>
      <c r="C6" s="4">
        <v>1628</v>
      </c>
      <c r="D6" s="8">
        <v>4.26</v>
      </c>
      <c r="E6" s="4">
        <v>1513</v>
      </c>
      <c r="F6" s="8">
        <v>6.06</v>
      </c>
      <c r="G6" s="4">
        <v>114</v>
      </c>
      <c r="H6" s="8">
        <v>0.89</v>
      </c>
      <c r="I6" s="4">
        <v>1</v>
      </c>
    </row>
    <row r="7" spans="1:9" x14ac:dyDescent="0.2">
      <c r="A7" s="2">
        <v>5</v>
      </c>
      <c r="B7" s="1" t="s">
        <v>139</v>
      </c>
      <c r="C7" s="4">
        <v>1293</v>
      </c>
      <c r="D7" s="8">
        <v>3.38</v>
      </c>
      <c r="E7" s="4">
        <v>1201</v>
      </c>
      <c r="F7" s="8">
        <v>4.8099999999999996</v>
      </c>
      <c r="G7" s="4">
        <v>87</v>
      </c>
      <c r="H7" s="8">
        <v>0.68</v>
      </c>
      <c r="I7" s="4">
        <v>5</v>
      </c>
    </row>
    <row r="8" spans="1:9" x14ac:dyDescent="0.2">
      <c r="A8" s="2">
        <v>6</v>
      </c>
      <c r="B8" s="1" t="s">
        <v>123</v>
      </c>
      <c r="C8" s="4">
        <v>912</v>
      </c>
      <c r="D8" s="8">
        <v>2.38</v>
      </c>
      <c r="E8" s="4">
        <v>719</v>
      </c>
      <c r="F8" s="8">
        <v>2.88</v>
      </c>
      <c r="G8" s="4">
        <v>188</v>
      </c>
      <c r="H8" s="8">
        <v>1.46</v>
      </c>
      <c r="I8" s="4">
        <v>5</v>
      </c>
    </row>
    <row r="9" spans="1:9" x14ac:dyDescent="0.2">
      <c r="A9" s="2">
        <v>6</v>
      </c>
      <c r="B9" s="1" t="s">
        <v>131</v>
      </c>
      <c r="C9" s="4">
        <v>912</v>
      </c>
      <c r="D9" s="8">
        <v>2.38</v>
      </c>
      <c r="E9" s="4">
        <v>762</v>
      </c>
      <c r="F9" s="8">
        <v>3.05</v>
      </c>
      <c r="G9" s="4">
        <v>149</v>
      </c>
      <c r="H9" s="8">
        <v>1.1599999999999999</v>
      </c>
      <c r="I9" s="4">
        <v>1</v>
      </c>
    </row>
    <row r="10" spans="1:9" x14ac:dyDescent="0.2">
      <c r="A10" s="2">
        <v>8</v>
      </c>
      <c r="B10" s="1" t="s">
        <v>135</v>
      </c>
      <c r="C10" s="4">
        <v>902</v>
      </c>
      <c r="D10" s="8">
        <v>2.36</v>
      </c>
      <c r="E10" s="4">
        <v>881</v>
      </c>
      <c r="F10" s="8">
        <v>3.53</v>
      </c>
      <c r="G10" s="4">
        <v>21</v>
      </c>
      <c r="H10" s="8">
        <v>0.16</v>
      </c>
      <c r="I10" s="4">
        <v>0</v>
      </c>
    </row>
    <row r="11" spans="1:9" x14ac:dyDescent="0.2">
      <c r="A11" s="2">
        <v>9</v>
      </c>
      <c r="B11" s="1" t="s">
        <v>141</v>
      </c>
      <c r="C11" s="4">
        <v>723</v>
      </c>
      <c r="D11" s="8">
        <v>1.89</v>
      </c>
      <c r="E11" s="4">
        <v>661</v>
      </c>
      <c r="F11" s="8">
        <v>2.65</v>
      </c>
      <c r="G11" s="4">
        <v>61</v>
      </c>
      <c r="H11" s="8">
        <v>0.47</v>
      </c>
      <c r="I11" s="4">
        <v>1</v>
      </c>
    </row>
    <row r="12" spans="1:9" x14ac:dyDescent="0.2">
      <c r="A12" s="2">
        <v>10</v>
      </c>
      <c r="B12" s="1" t="s">
        <v>126</v>
      </c>
      <c r="C12" s="4">
        <v>692</v>
      </c>
      <c r="D12" s="8">
        <v>1.81</v>
      </c>
      <c r="E12" s="4">
        <v>511</v>
      </c>
      <c r="F12" s="8">
        <v>2.0499999999999998</v>
      </c>
      <c r="G12" s="4">
        <v>179</v>
      </c>
      <c r="H12" s="8">
        <v>1.39</v>
      </c>
      <c r="I12" s="4">
        <v>2</v>
      </c>
    </row>
    <row r="13" spans="1:9" x14ac:dyDescent="0.2">
      <c r="A13" s="2">
        <v>11</v>
      </c>
      <c r="B13" s="1" t="s">
        <v>124</v>
      </c>
      <c r="C13" s="4">
        <v>642</v>
      </c>
      <c r="D13" s="8">
        <v>1.68</v>
      </c>
      <c r="E13" s="4">
        <v>529</v>
      </c>
      <c r="F13" s="8">
        <v>2.12</v>
      </c>
      <c r="G13" s="4">
        <v>112</v>
      </c>
      <c r="H13" s="8">
        <v>0.87</v>
      </c>
      <c r="I13" s="4">
        <v>1</v>
      </c>
    </row>
    <row r="14" spans="1:9" x14ac:dyDescent="0.2">
      <c r="A14" s="2">
        <v>12</v>
      </c>
      <c r="B14" s="1" t="s">
        <v>129</v>
      </c>
      <c r="C14" s="4">
        <v>619</v>
      </c>
      <c r="D14" s="8">
        <v>1.62</v>
      </c>
      <c r="E14" s="4">
        <v>263</v>
      </c>
      <c r="F14" s="8">
        <v>1.05</v>
      </c>
      <c r="G14" s="4">
        <v>350</v>
      </c>
      <c r="H14" s="8">
        <v>2.72</v>
      </c>
      <c r="I14" s="4">
        <v>1</v>
      </c>
    </row>
    <row r="15" spans="1:9" x14ac:dyDescent="0.2">
      <c r="A15" s="2">
        <v>13</v>
      </c>
      <c r="B15" s="1" t="s">
        <v>122</v>
      </c>
      <c r="C15" s="4">
        <v>583</v>
      </c>
      <c r="D15" s="8">
        <v>1.52</v>
      </c>
      <c r="E15" s="4">
        <v>67</v>
      </c>
      <c r="F15" s="8">
        <v>0.27</v>
      </c>
      <c r="G15" s="4">
        <v>516</v>
      </c>
      <c r="H15" s="8">
        <v>4.01</v>
      </c>
      <c r="I15" s="4">
        <v>0</v>
      </c>
    </row>
    <row r="16" spans="1:9" x14ac:dyDescent="0.2">
      <c r="A16" s="2">
        <v>14</v>
      </c>
      <c r="B16" s="1" t="s">
        <v>140</v>
      </c>
      <c r="C16" s="4">
        <v>566</v>
      </c>
      <c r="D16" s="8">
        <v>1.48</v>
      </c>
      <c r="E16" s="4">
        <v>508</v>
      </c>
      <c r="F16" s="8">
        <v>2.0299999999999998</v>
      </c>
      <c r="G16" s="4">
        <v>58</v>
      </c>
      <c r="H16" s="8">
        <v>0.45</v>
      </c>
      <c r="I16" s="4">
        <v>0</v>
      </c>
    </row>
    <row r="17" spans="1:9" x14ac:dyDescent="0.2">
      <c r="A17" s="2">
        <v>15</v>
      </c>
      <c r="B17" s="1" t="s">
        <v>134</v>
      </c>
      <c r="C17" s="4">
        <v>553</v>
      </c>
      <c r="D17" s="8">
        <v>1.45</v>
      </c>
      <c r="E17" s="4">
        <v>502</v>
      </c>
      <c r="F17" s="8">
        <v>2.0099999999999998</v>
      </c>
      <c r="G17" s="4">
        <v>51</v>
      </c>
      <c r="H17" s="8">
        <v>0.4</v>
      </c>
      <c r="I17" s="4">
        <v>0</v>
      </c>
    </row>
    <row r="18" spans="1:9" x14ac:dyDescent="0.2">
      <c r="A18" s="2">
        <v>16</v>
      </c>
      <c r="B18" s="1" t="s">
        <v>130</v>
      </c>
      <c r="C18" s="4">
        <v>551</v>
      </c>
      <c r="D18" s="8">
        <v>1.44</v>
      </c>
      <c r="E18" s="4">
        <v>427</v>
      </c>
      <c r="F18" s="8">
        <v>1.71</v>
      </c>
      <c r="G18" s="4">
        <v>123</v>
      </c>
      <c r="H18" s="8">
        <v>0.96</v>
      </c>
      <c r="I18" s="4">
        <v>0</v>
      </c>
    </row>
    <row r="19" spans="1:9" x14ac:dyDescent="0.2">
      <c r="A19" s="2">
        <v>17</v>
      </c>
      <c r="B19" s="1" t="s">
        <v>138</v>
      </c>
      <c r="C19" s="4">
        <v>536</v>
      </c>
      <c r="D19" s="8">
        <v>1.4</v>
      </c>
      <c r="E19" s="4">
        <v>455</v>
      </c>
      <c r="F19" s="8">
        <v>1.82</v>
      </c>
      <c r="G19" s="4">
        <v>80</v>
      </c>
      <c r="H19" s="8">
        <v>0.62</v>
      </c>
      <c r="I19" s="4">
        <v>0</v>
      </c>
    </row>
    <row r="20" spans="1:9" x14ac:dyDescent="0.2">
      <c r="A20" s="2">
        <v>18</v>
      </c>
      <c r="B20" s="1" t="s">
        <v>137</v>
      </c>
      <c r="C20" s="4">
        <v>507</v>
      </c>
      <c r="D20" s="8">
        <v>1.33</v>
      </c>
      <c r="E20" s="4">
        <v>396</v>
      </c>
      <c r="F20" s="8">
        <v>1.59</v>
      </c>
      <c r="G20" s="4">
        <v>111</v>
      </c>
      <c r="H20" s="8">
        <v>0.86</v>
      </c>
      <c r="I20" s="4">
        <v>0</v>
      </c>
    </row>
    <row r="21" spans="1:9" x14ac:dyDescent="0.2">
      <c r="A21" s="2">
        <v>19</v>
      </c>
      <c r="B21" s="1" t="s">
        <v>125</v>
      </c>
      <c r="C21" s="4">
        <v>496</v>
      </c>
      <c r="D21" s="8">
        <v>1.3</v>
      </c>
      <c r="E21" s="4">
        <v>262</v>
      </c>
      <c r="F21" s="8">
        <v>1.05</v>
      </c>
      <c r="G21" s="4">
        <v>234</v>
      </c>
      <c r="H21" s="8">
        <v>1.82</v>
      </c>
      <c r="I21" s="4">
        <v>0</v>
      </c>
    </row>
    <row r="22" spans="1:9" x14ac:dyDescent="0.2">
      <c r="A22" s="2">
        <v>19</v>
      </c>
      <c r="B22" s="1" t="s">
        <v>127</v>
      </c>
      <c r="C22" s="4">
        <v>496</v>
      </c>
      <c r="D22" s="8">
        <v>1.3</v>
      </c>
      <c r="E22" s="4">
        <v>148</v>
      </c>
      <c r="F22" s="8">
        <v>0.59</v>
      </c>
      <c r="G22" s="4">
        <v>345</v>
      </c>
      <c r="H22" s="8">
        <v>2.68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128</v>
      </c>
      <c r="C25" s="4">
        <v>964</v>
      </c>
      <c r="D25" s="8">
        <v>9.61</v>
      </c>
      <c r="E25" s="4">
        <v>592</v>
      </c>
      <c r="F25" s="8">
        <v>9.89</v>
      </c>
      <c r="G25" s="4">
        <v>372</v>
      </c>
      <c r="H25" s="8">
        <v>9.2799999999999994</v>
      </c>
      <c r="I25" s="4">
        <v>0</v>
      </c>
    </row>
    <row r="26" spans="1:9" x14ac:dyDescent="0.2">
      <c r="A26" s="2">
        <v>2</v>
      </c>
      <c r="B26" s="1" t="s">
        <v>133</v>
      </c>
      <c r="C26" s="4">
        <v>674</v>
      </c>
      <c r="D26" s="8">
        <v>6.72</v>
      </c>
      <c r="E26" s="4">
        <v>657</v>
      </c>
      <c r="F26" s="8">
        <v>10.98</v>
      </c>
      <c r="G26" s="4">
        <v>17</v>
      </c>
      <c r="H26" s="8">
        <v>0.42</v>
      </c>
      <c r="I26" s="4">
        <v>0</v>
      </c>
    </row>
    <row r="27" spans="1:9" x14ac:dyDescent="0.2">
      <c r="A27" s="2">
        <v>3</v>
      </c>
      <c r="B27" s="1" t="s">
        <v>132</v>
      </c>
      <c r="C27" s="4">
        <v>584</v>
      </c>
      <c r="D27" s="8">
        <v>5.82</v>
      </c>
      <c r="E27" s="4">
        <v>536</v>
      </c>
      <c r="F27" s="8">
        <v>8.9600000000000009</v>
      </c>
      <c r="G27" s="4">
        <v>48</v>
      </c>
      <c r="H27" s="8">
        <v>1.2</v>
      </c>
      <c r="I27" s="4">
        <v>0</v>
      </c>
    </row>
    <row r="28" spans="1:9" x14ac:dyDescent="0.2">
      <c r="A28" s="2">
        <v>4</v>
      </c>
      <c r="B28" s="1" t="s">
        <v>136</v>
      </c>
      <c r="C28" s="4">
        <v>461</v>
      </c>
      <c r="D28" s="8">
        <v>4.5999999999999996</v>
      </c>
      <c r="E28" s="4">
        <v>433</v>
      </c>
      <c r="F28" s="8">
        <v>7.24</v>
      </c>
      <c r="G28" s="4">
        <v>28</v>
      </c>
      <c r="H28" s="8">
        <v>0.7</v>
      </c>
      <c r="I28" s="4">
        <v>0</v>
      </c>
    </row>
    <row r="29" spans="1:9" x14ac:dyDescent="0.2">
      <c r="A29" s="2">
        <v>5</v>
      </c>
      <c r="B29" s="1" t="s">
        <v>139</v>
      </c>
      <c r="C29" s="4">
        <v>334</v>
      </c>
      <c r="D29" s="8">
        <v>3.33</v>
      </c>
      <c r="E29" s="4">
        <v>294</v>
      </c>
      <c r="F29" s="8">
        <v>4.91</v>
      </c>
      <c r="G29" s="4">
        <v>38</v>
      </c>
      <c r="H29" s="8">
        <v>0.95</v>
      </c>
      <c r="I29" s="4">
        <v>2</v>
      </c>
    </row>
    <row r="30" spans="1:9" x14ac:dyDescent="0.2">
      <c r="A30" s="2">
        <v>6</v>
      </c>
      <c r="B30" s="1" t="s">
        <v>131</v>
      </c>
      <c r="C30" s="4">
        <v>298</v>
      </c>
      <c r="D30" s="8">
        <v>2.97</v>
      </c>
      <c r="E30" s="4">
        <v>231</v>
      </c>
      <c r="F30" s="8">
        <v>3.86</v>
      </c>
      <c r="G30" s="4">
        <v>67</v>
      </c>
      <c r="H30" s="8">
        <v>1.67</v>
      </c>
      <c r="I30" s="4">
        <v>0</v>
      </c>
    </row>
    <row r="31" spans="1:9" x14ac:dyDescent="0.2">
      <c r="A31" s="2">
        <v>7</v>
      </c>
      <c r="B31" s="1" t="s">
        <v>126</v>
      </c>
      <c r="C31" s="4">
        <v>223</v>
      </c>
      <c r="D31" s="8">
        <v>2.2200000000000002</v>
      </c>
      <c r="E31" s="4">
        <v>157</v>
      </c>
      <c r="F31" s="8">
        <v>2.62</v>
      </c>
      <c r="G31" s="4">
        <v>66</v>
      </c>
      <c r="H31" s="8">
        <v>1.65</v>
      </c>
      <c r="I31" s="4">
        <v>0</v>
      </c>
    </row>
    <row r="32" spans="1:9" x14ac:dyDescent="0.2">
      <c r="A32" s="2">
        <v>8</v>
      </c>
      <c r="B32" s="1" t="s">
        <v>123</v>
      </c>
      <c r="C32" s="4">
        <v>210</v>
      </c>
      <c r="D32" s="8">
        <v>2.09</v>
      </c>
      <c r="E32" s="4">
        <v>150</v>
      </c>
      <c r="F32" s="8">
        <v>2.5099999999999998</v>
      </c>
      <c r="G32" s="4">
        <v>60</v>
      </c>
      <c r="H32" s="8">
        <v>1.5</v>
      </c>
      <c r="I32" s="4">
        <v>0</v>
      </c>
    </row>
    <row r="33" spans="1:9" x14ac:dyDescent="0.2">
      <c r="A33" s="2">
        <v>9</v>
      </c>
      <c r="B33" s="1" t="s">
        <v>127</v>
      </c>
      <c r="C33" s="4">
        <v>201</v>
      </c>
      <c r="D33" s="8">
        <v>2</v>
      </c>
      <c r="E33" s="4">
        <v>57</v>
      </c>
      <c r="F33" s="8">
        <v>0.95</v>
      </c>
      <c r="G33" s="4">
        <v>144</v>
      </c>
      <c r="H33" s="8">
        <v>3.59</v>
      </c>
      <c r="I33" s="4">
        <v>0</v>
      </c>
    </row>
    <row r="34" spans="1:9" x14ac:dyDescent="0.2">
      <c r="A34" s="2">
        <v>10</v>
      </c>
      <c r="B34" s="1" t="s">
        <v>129</v>
      </c>
      <c r="C34" s="4">
        <v>197</v>
      </c>
      <c r="D34" s="8">
        <v>1.96</v>
      </c>
      <c r="E34" s="4">
        <v>70</v>
      </c>
      <c r="F34" s="8">
        <v>1.17</v>
      </c>
      <c r="G34" s="4">
        <v>127</v>
      </c>
      <c r="H34" s="8">
        <v>3.17</v>
      </c>
      <c r="I34" s="4">
        <v>0</v>
      </c>
    </row>
    <row r="35" spans="1:9" x14ac:dyDescent="0.2">
      <c r="A35" s="2">
        <v>11</v>
      </c>
      <c r="B35" s="1" t="s">
        <v>135</v>
      </c>
      <c r="C35" s="4">
        <v>178</v>
      </c>
      <c r="D35" s="8">
        <v>1.77</v>
      </c>
      <c r="E35" s="4">
        <v>172</v>
      </c>
      <c r="F35" s="8">
        <v>2.87</v>
      </c>
      <c r="G35" s="4">
        <v>6</v>
      </c>
      <c r="H35" s="8">
        <v>0.15</v>
      </c>
      <c r="I35" s="4">
        <v>0</v>
      </c>
    </row>
    <row r="36" spans="1:9" x14ac:dyDescent="0.2">
      <c r="A36" s="2">
        <v>12</v>
      </c>
      <c r="B36" s="1" t="s">
        <v>145</v>
      </c>
      <c r="C36" s="4">
        <v>169</v>
      </c>
      <c r="D36" s="8">
        <v>1.68</v>
      </c>
      <c r="E36" s="4">
        <v>36</v>
      </c>
      <c r="F36" s="8">
        <v>0.6</v>
      </c>
      <c r="G36" s="4">
        <v>133</v>
      </c>
      <c r="H36" s="8">
        <v>3.32</v>
      </c>
      <c r="I36" s="4">
        <v>0</v>
      </c>
    </row>
    <row r="37" spans="1:9" x14ac:dyDescent="0.2">
      <c r="A37" s="2">
        <v>13</v>
      </c>
      <c r="B37" s="1" t="s">
        <v>125</v>
      </c>
      <c r="C37" s="4">
        <v>166</v>
      </c>
      <c r="D37" s="8">
        <v>1.65</v>
      </c>
      <c r="E37" s="4">
        <v>86</v>
      </c>
      <c r="F37" s="8">
        <v>1.44</v>
      </c>
      <c r="G37" s="4">
        <v>80</v>
      </c>
      <c r="H37" s="8">
        <v>2</v>
      </c>
      <c r="I37" s="4">
        <v>0</v>
      </c>
    </row>
    <row r="38" spans="1:9" x14ac:dyDescent="0.2">
      <c r="A38" s="2">
        <v>14</v>
      </c>
      <c r="B38" s="1" t="s">
        <v>140</v>
      </c>
      <c r="C38" s="4">
        <v>160</v>
      </c>
      <c r="D38" s="8">
        <v>1.59</v>
      </c>
      <c r="E38" s="4">
        <v>142</v>
      </c>
      <c r="F38" s="8">
        <v>2.37</v>
      </c>
      <c r="G38" s="4">
        <v>18</v>
      </c>
      <c r="H38" s="8">
        <v>0.45</v>
      </c>
      <c r="I38" s="4">
        <v>0</v>
      </c>
    </row>
    <row r="39" spans="1:9" x14ac:dyDescent="0.2">
      <c r="A39" s="2">
        <v>15</v>
      </c>
      <c r="B39" s="1" t="s">
        <v>138</v>
      </c>
      <c r="C39" s="4">
        <v>145</v>
      </c>
      <c r="D39" s="8">
        <v>1.45</v>
      </c>
      <c r="E39" s="4">
        <v>116</v>
      </c>
      <c r="F39" s="8">
        <v>1.94</v>
      </c>
      <c r="G39" s="4">
        <v>29</v>
      </c>
      <c r="H39" s="8">
        <v>0.72</v>
      </c>
      <c r="I39" s="4">
        <v>0</v>
      </c>
    </row>
    <row r="40" spans="1:9" x14ac:dyDescent="0.2">
      <c r="A40" s="2">
        <v>16</v>
      </c>
      <c r="B40" s="1" t="s">
        <v>142</v>
      </c>
      <c r="C40" s="4">
        <v>144</v>
      </c>
      <c r="D40" s="8">
        <v>1.44</v>
      </c>
      <c r="E40" s="4">
        <v>114</v>
      </c>
      <c r="F40" s="8">
        <v>1.91</v>
      </c>
      <c r="G40" s="4">
        <v>30</v>
      </c>
      <c r="H40" s="8">
        <v>0.75</v>
      </c>
      <c r="I40" s="4">
        <v>0</v>
      </c>
    </row>
    <row r="41" spans="1:9" x14ac:dyDescent="0.2">
      <c r="A41" s="2">
        <v>16</v>
      </c>
      <c r="B41" s="1" t="s">
        <v>134</v>
      </c>
      <c r="C41" s="4">
        <v>144</v>
      </c>
      <c r="D41" s="8">
        <v>1.44</v>
      </c>
      <c r="E41" s="4">
        <v>126</v>
      </c>
      <c r="F41" s="8">
        <v>2.11</v>
      </c>
      <c r="G41" s="4">
        <v>18</v>
      </c>
      <c r="H41" s="8">
        <v>0.45</v>
      </c>
      <c r="I41" s="4">
        <v>0</v>
      </c>
    </row>
    <row r="42" spans="1:9" x14ac:dyDescent="0.2">
      <c r="A42" s="2">
        <v>18</v>
      </c>
      <c r="B42" s="1" t="s">
        <v>143</v>
      </c>
      <c r="C42" s="4">
        <v>130</v>
      </c>
      <c r="D42" s="8">
        <v>1.3</v>
      </c>
      <c r="E42" s="4">
        <v>74</v>
      </c>
      <c r="F42" s="8">
        <v>1.24</v>
      </c>
      <c r="G42" s="4">
        <v>56</v>
      </c>
      <c r="H42" s="8">
        <v>1.4</v>
      </c>
      <c r="I42" s="4">
        <v>0</v>
      </c>
    </row>
    <row r="43" spans="1:9" x14ac:dyDescent="0.2">
      <c r="A43" s="2">
        <v>19</v>
      </c>
      <c r="B43" s="1" t="s">
        <v>144</v>
      </c>
      <c r="C43" s="4">
        <v>128</v>
      </c>
      <c r="D43" s="8">
        <v>1.28</v>
      </c>
      <c r="E43" s="4">
        <v>86</v>
      </c>
      <c r="F43" s="8">
        <v>1.44</v>
      </c>
      <c r="G43" s="4">
        <v>42</v>
      </c>
      <c r="H43" s="8">
        <v>1.05</v>
      </c>
      <c r="I43" s="4">
        <v>0</v>
      </c>
    </row>
    <row r="44" spans="1:9" x14ac:dyDescent="0.2">
      <c r="A44" s="2">
        <v>20</v>
      </c>
      <c r="B44" s="1" t="s">
        <v>137</v>
      </c>
      <c r="C44" s="4">
        <v>125</v>
      </c>
      <c r="D44" s="8">
        <v>1.25</v>
      </c>
      <c r="E44" s="4">
        <v>82</v>
      </c>
      <c r="F44" s="8">
        <v>1.37</v>
      </c>
      <c r="G44" s="4">
        <v>43</v>
      </c>
      <c r="H44" s="8">
        <v>1.07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128</v>
      </c>
      <c r="C47" s="4">
        <v>142</v>
      </c>
      <c r="D47" s="8">
        <v>6.53</v>
      </c>
      <c r="E47" s="4">
        <v>60</v>
      </c>
      <c r="F47" s="8">
        <v>4.3099999999999996</v>
      </c>
      <c r="G47" s="4">
        <v>82</v>
      </c>
      <c r="H47" s="8">
        <v>10.61</v>
      </c>
      <c r="I47" s="4">
        <v>0</v>
      </c>
    </row>
    <row r="48" spans="1:9" x14ac:dyDescent="0.2">
      <c r="A48" s="2">
        <v>2</v>
      </c>
      <c r="B48" s="1" t="s">
        <v>133</v>
      </c>
      <c r="C48" s="4">
        <v>131</v>
      </c>
      <c r="D48" s="8">
        <v>6.03</v>
      </c>
      <c r="E48" s="4">
        <v>131</v>
      </c>
      <c r="F48" s="8">
        <v>9.42</v>
      </c>
      <c r="G48" s="4">
        <v>0</v>
      </c>
      <c r="H48" s="8">
        <v>0</v>
      </c>
      <c r="I48" s="4">
        <v>0</v>
      </c>
    </row>
    <row r="49" spans="1:9" x14ac:dyDescent="0.2">
      <c r="A49" s="2">
        <v>3</v>
      </c>
      <c r="B49" s="1" t="s">
        <v>136</v>
      </c>
      <c r="C49" s="4">
        <v>117</v>
      </c>
      <c r="D49" s="8">
        <v>5.38</v>
      </c>
      <c r="E49" s="4">
        <v>111</v>
      </c>
      <c r="F49" s="8">
        <v>7.98</v>
      </c>
      <c r="G49" s="4">
        <v>6</v>
      </c>
      <c r="H49" s="8">
        <v>0.78</v>
      </c>
      <c r="I49" s="4">
        <v>0</v>
      </c>
    </row>
    <row r="50" spans="1:9" x14ac:dyDescent="0.2">
      <c r="A50" s="2">
        <v>4</v>
      </c>
      <c r="B50" s="1" t="s">
        <v>132</v>
      </c>
      <c r="C50" s="4">
        <v>96</v>
      </c>
      <c r="D50" s="8">
        <v>4.42</v>
      </c>
      <c r="E50" s="4">
        <v>93</v>
      </c>
      <c r="F50" s="8">
        <v>6.69</v>
      </c>
      <c r="G50" s="4">
        <v>3</v>
      </c>
      <c r="H50" s="8">
        <v>0.39</v>
      </c>
      <c r="I50" s="4">
        <v>0</v>
      </c>
    </row>
    <row r="51" spans="1:9" x14ac:dyDescent="0.2">
      <c r="A51" s="2">
        <v>5</v>
      </c>
      <c r="B51" s="1" t="s">
        <v>139</v>
      </c>
      <c r="C51" s="4">
        <v>94</v>
      </c>
      <c r="D51" s="8">
        <v>4.32</v>
      </c>
      <c r="E51" s="4">
        <v>89</v>
      </c>
      <c r="F51" s="8">
        <v>6.4</v>
      </c>
      <c r="G51" s="4">
        <v>4</v>
      </c>
      <c r="H51" s="8">
        <v>0.52</v>
      </c>
      <c r="I51" s="4">
        <v>1</v>
      </c>
    </row>
    <row r="52" spans="1:9" x14ac:dyDescent="0.2">
      <c r="A52" s="2">
        <v>6</v>
      </c>
      <c r="B52" s="1" t="s">
        <v>124</v>
      </c>
      <c r="C52" s="4">
        <v>79</v>
      </c>
      <c r="D52" s="8">
        <v>3.63</v>
      </c>
      <c r="E52" s="4">
        <v>66</v>
      </c>
      <c r="F52" s="8">
        <v>4.74</v>
      </c>
      <c r="G52" s="4">
        <v>13</v>
      </c>
      <c r="H52" s="8">
        <v>1.68</v>
      </c>
      <c r="I52" s="4">
        <v>0</v>
      </c>
    </row>
    <row r="53" spans="1:9" x14ac:dyDescent="0.2">
      <c r="A53" s="2">
        <v>7</v>
      </c>
      <c r="B53" s="1" t="s">
        <v>135</v>
      </c>
      <c r="C53" s="4">
        <v>58</v>
      </c>
      <c r="D53" s="8">
        <v>2.67</v>
      </c>
      <c r="E53" s="4">
        <v>57</v>
      </c>
      <c r="F53" s="8">
        <v>4.0999999999999996</v>
      </c>
      <c r="G53" s="4">
        <v>1</v>
      </c>
      <c r="H53" s="8">
        <v>0.13</v>
      </c>
      <c r="I53" s="4">
        <v>0</v>
      </c>
    </row>
    <row r="54" spans="1:9" x14ac:dyDescent="0.2">
      <c r="A54" s="2">
        <v>8</v>
      </c>
      <c r="B54" s="1" t="s">
        <v>126</v>
      </c>
      <c r="C54" s="4">
        <v>57</v>
      </c>
      <c r="D54" s="8">
        <v>2.62</v>
      </c>
      <c r="E54" s="4">
        <v>43</v>
      </c>
      <c r="F54" s="8">
        <v>3.09</v>
      </c>
      <c r="G54" s="4">
        <v>14</v>
      </c>
      <c r="H54" s="8">
        <v>1.81</v>
      </c>
      <c r="I54" s="4">
        <v>0</v>
      </c>
    </row>
    <row r="55" spans="1:9" x14ac:dyDescent="0.2">
      <c r="A55" s="2">
        <v>9</v>
      </c>
      <c r="B55" s="1" t="s">
        <v>141</v>
      </c>
      <c r="C55" s="4">
        <v>52</v>
      </c>
      <c r="D55" s="8">
        <v>2.39</v>
      </c>
      <c r="E55" s="4">
        <v>51</v>
      </c>
      <c r="F55" s="8">
        <v>3.67</v>
      </c>
      <c r="G55" s="4">
        <v>1</v>
      </c>
      <c r="H55" s="8">
        <v>0.13</v>
      </c>
      <c r="I55" s="4">
        <v>0</v>
      </c>
    </row>
    <row r="56" spans="1:9" x14ac:dyDescent="0.2">
      <c r="A56" s="2">
        <v>10</v>
      </c>
      <c r="B56" s="1" t="s">
        <v>131</v>
      </c>
      <c r="C56" s="4">
        <v>42</v>
      </c>
      <c r="D56" s="8">
        <v>1.93</v>
      </c>
      <c r="E56" s="4">
        <v>39</v>
      </c>
      <c r="F56" s="8">
        <v>2.8</v>
      </c>
      <c r="G56" s="4">
        <v>3</v>
      </c>
      <c r="H56" s="8">
        <v>0.39</v>
      </c>
      <c r="I56" s="4">
        <v>0</v>
      </c>
    </row>
    <row r="57" spans="1:9" x14ac:dyDescent="0.2">
      <c r="A57" s="2">
        <v>11</v>
      </c>
      <c r="B57" s="1" t="s">
        <v>129</v>
      </c>
      <c r="C57" s="4">
        <v>41</v>
      </c>
      <c r="D57" s="8">
        <v>1.89</v>
      </c>
      <c r="E57" s="4">
        <v>15</v>
      </c>
      <c r="F57" s="8">
        <v>1.08</v>
      </c>
      <c r="G57" s="4">
        <v>26</v>
      </c>
      <c r="H57" s="8">
        <v>3.36</v>
      </c>
      <c r="I57" s="4">
        <v>0</v>
      </c>
    </row>
    <row r="58" spans="1:9" x14ac:dyDescent="0.2">
      <c r="A58" s="2">
        <v>11</v>
      </c>
      <c r="B58" s="1" t="s">
        <v>137</v>
      </c>
      <c r="C58" s="4">
        <v>41</v>
      </c>
      <c r="D58" s="8">
        <v>1.89</v>
      </c>
      <c r="E58" s="4">
        <v>32</v>
      </c>
      <c r="F58" s="8">
        <v>2.2999999999999998</v>
      </c>
      <c r="G58" s="4">
        <v>9</v>
      </c>
      <c r="H58" s="8">
        <v>1.1599999999999999</v>
      </c>
      <c r="I58" s="4">
        <v>0</v>
      </c>
    </row>
    <row r="59" spans="1:9" x14ac:dyDescent="0.2">
      <c r="A59" s="2">
        <v>13</v>
      </c>
      <c r="B59" s="1" t="s">
        <v>123</v>
      </c>
      <c r="C59" s="4">
        <v>40</v>
      </c>
      <c r="D59" s="8">
        <v>1.84</v>
      </c>
      <c r="E59" s="4">
        <v>28</v>
      </c>
      <c r="F59" s="8">
        <v>2.0099999999999998</v>
      </c>
      <c r="G59" s="4">
        <v>12</v>
      </c>
      <c r="H59" s="8">
        <v>1.55</v>
      </c>
      <c r="I59" s="4">
        <v>0</v>
      </c>
    </row>
    <row r="60" spans="1:9" x14ac:dyDescent="0.2">
      <c r="A60" s="2">
        <v>14</v>
      </c>
      <c r="B60" s="1" t="s">
        <v>138</v>
      </c>
      <c r="C60" s="4">
        <v>38</v>
      </c>
      <c r="D60" s="8">
        <v>1.75</v>
      </c>
      <c r="E60" s="4">
        <v>35</v>
      </c>
      <c r="F60" s="8">
        <v>2.52</v>
      </c>
      <c r="G60" s="4">
        <v>3</v>
      </c>
      <c r="H60" s="8">
        <v>0.39</v>
      </c>
      <c r="I60" s="4">
        <v>0</v>
      </c>
    </row>
    <row r="61" spans="1:9" x14ac:dyDescent="0.2">
      <c r="A61" s="2">
        <v>15</v>
      </c>
      <c r="B61" s="1" t="s">
        <v>140</v>
      </c>
      <c r="C61" s="4">
        <v>36</v>
      </c>
      <c r="D61" s="8">
        <v>1.66</v>
      </c>
      <c r="E61" s="4">
        <v>31</v>
      </c>
      <c r="F61" s="8">
        <v>2.23</v>
      </c>
      <c r="G61" s="4">
        <v>5</v>
      </c>
      <c r="H61" s="8">
        <v>0.65</v>
      </c>
      <c r="I61" s="4">
        <v>0</v>
      </c>
    </row>
    <row r="62" spans="1:9" x14ac:dyDescent="0.2">
      <c r="A62" s="2">
        <v>16</v>
      </c>
      <c r="B62" s="1" t="s">
        <v>145</v>
      </c>
      <c r="C62" s="4">
        <v>35</v>
      </c>
      <c r="D62" s="8">
        <v>1.61</v>
      </c>
      <c r="E62" s="4">
        <v>14</v>
      </c>
      <c r="F62" s="8">
        <v>1.01</v>
      </c>
      <c r="G62" s="4">
        <v>21</v>
      </c>
      <c r="H62" s="8">
        <v>2.72</v>
      </c>
      <c r="I62" s="4">
        <v>0</v>
      </c>
    </row>
    <row r="63" spans="1:9" x14ac:dyDescent="0.2">
      <c r="A63" s="2">
        <v>17</v>
      </c>
      <c r="B63" s="1" t="s">
        <v>127</v>
      </c>
      <c r="C63" s="4">
        <v>27</v>
      </c>
      <c r="D63" s="8">
        <v>1.24</v>
      </c>
      <c r="E63" s="4">
        <v>8</v>
      </c>
      <c r="F63" s="8">
        <v>0.57999999999999996</v>
      </c>
      <c r="G63" s="4">
        <v>19</v>
      </c>
      <c r="H63" s="8">
        <v>2.46</v>
      </c>
      <c r="I63" s="4">
        <v>0</v>
      </c>
    </row>
    <row r="64" spans="1:9" x14ac:dyDescent="0.2">
      <c r="A64" s="2">
        <v>18</v>
      </c>
      <c r="B64" s="1" t="s">
        <v>146</v>
      </c>
      <c r="C64" s="4">
        <v>26</v>
      </c>
      <c r="D64" s="8">
        <v>1.2</v>
      </c>
      <c r="E64" s="4">
        <v>9</v>
      </c>
      <c r="F64" s="8">
        <v>0.65</v>
      </c>
      <c r="G64" s="4">
        <v>17</v>
      </c>
      <c r="H64" s="8">
        <v>2.2000000000000002</v>
      </c>
      <c r="I64" s="4">
        <v>0</v>
      </c>
    </row>
    <row r="65" spans="1:9" x14ac:dyDescent="0.2">
      <c r="A65" s="2">
        <v>18</v>
      </c>
      <c r="B65" s="1" t="s">
        <v>147</v>
      </c>
      <c r="C65" s="4">
        <v>26</v>
      </c>
      <c r="D65" s="8">
        <v>1.2</v>
      </c>
      <c r="E65" s="4">
        <v>7</v>
      </c>
      <c r="F65" s="8">
        <v>0.5</v>
      </c>
      <c r="G65" s="4">
        <v>19</v>
      </c>
      <c r="H65" s="8">
        <v>2.46</v>
      </c>
      <c r="I65" s="4">
        <v>0</v>
      </c>
    </row>
    <row r="66" spans="1:9" x14ac:dyDescent="0.2">
      <c r="A66" s="2">
        <v>18</v>
      </c>
      <c r="B66" s="1" t="s">
        <v>142</v>
      </c>
      <c r="C66" s="4">
        <v>26</v>
      </c>
      <c r="D66" s="8">
        <v>1.2</v>
      </c>
      <c r="E66" s="4">
        <v>18</v>
      </c>
      <c r="F66" s="8">
        <v>1.29</v>
      </c>
      <c r="G66" s="4">
        <v>8</v>
      </c>
      <c r="H66" s="8">
        <v>1.03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128</v>
      </c>
      <c r="C69" s="4">
        <v>94</v>
      </c>
      <c r="D69" s="8">
        <v>4.93</v>
      </c>
      <c r="E69" s="4">
        <v>65</v>
      </c>
      <c r="F69" s="8">
        <v>4.9000000000000004</v>
      </c>
      <c r="G69" s="4">
        <v>29</v>
      </c>
      <c r="H69" s="8">
        <v>5.0999999999999996</v>
      </c>
      <c r="I69" s="4">
        <v>0</v>
      </c>
    </row>
    <row r="70" spans="1:9" x14ac:dyDescent="0.2">
      <c r="A70" s="2">
        <v>2</v>
      </c>
      <c r="B70" s="1" t="s">
        <v>133</v>
      </c>
      <c r="C70" s="4">
        <v>90</v>
      </c>
      <c r="D70" s="8">
        <v>4.72</v>
      </c>
      <c r="E70" s="4">
        <v>88</v>
      </c>
      <c r="F70" s="8">
        <v>6.63</v>
      </c>
      <c r="G70" s="4">
        <v>2</v>
      </c>
      <c r="H70" s="8">
        <v>0.35</v>
      </c>
      <c r="I70" s="4">
        <v>0</v>
      </c>
    </row>
    <row r="71" spans="1:9" x14ac:dyDescent="0.2">
      <c r="A71" s="2">
        <v>3</v>
      </c>
      <c r="B71" s="1" t="s">
        <v>136</v>
      </c>
      <c r="C71" s="4">
        <v>84</v>
      </c>
      <c r="D71" s="8">
        <v>4.41</v>
      </c>
      <c r="E71" s="4">
        <v>82</v>
      </c>
      <c r="F71" s="8">
        <v>6.18</v>
      </c>
      <c r="G71" s="4">
        <v>2</v>
      </c>
      <c r="H71" s="8">
        <v>0.35</v>
      </c>
      <c r="I71" s="4">
        <v>0</v>
      </c>
    </row>
    <row r="72" spans="1:9" x14ac:dyDescent="0.2">
      <c r="A72" s="2">
        <v>4</v>
      </c>
      <c r="B72" s="1" t="s">
        <v>132</v>
      </c>
      <c r="C72" s="4">
        <v>78</v>
      </c>
      <c r="D72" s="8">
        <v>4.09</v>
      </c>
      <c r="E72" s="4">
        <v>65</v>
      </c>
      <c r="F72" s="8">
        <v>4.9000000000000004</v>
      </c>
      <c r="G72" s="4">
        <v>13</v>
      </c>
      <c r="H72" s="8">
        <v>2.2799999999999998</v>
      </c>
      <c r="I72" s="4">
        <v>0</v>
      </c>
    </row>
    <row r="73" spans="1:9" x14ac:dyDescent="0.2">
      <c r="A73" s="2">
        <v>5</v>
      </c>
      <c r="B73" s="1" t="s">
        <v>130</v>
      </c>
      <c r="C73" s="4">
        <v>71</v>
      </c>
      <c r="D73" s="8">
        <v>3.73</v>
      </c>
      <c r="E73" s="4">
        <v>56</v>
      </c>
      <c r="F73" s="8">
        <v>4.22</v>
      </c>
      <c r="G73" s="4">
        <v>15</v>
      </c>
      <c r="H73" s="8">
        <v>2.64</v>
      </c>
      <c r="I73" s="4">
        <v>0</v>
      </c>
    </row>
    <row r="74" spans="1:9" x14ac:dyDescent="0.2">
      <c r="A74" s="2">
        <v>6</v>
      </c>
      <c r="B74" s="1" t="s">
        <v>150</v>
      </c>
      <c r="C74" s="4">
        <v>70</v>
      </c>
      <c r="D74" s="8">
        <v>3.67</v>
      </c>
      <c r="E74" s="4">
        <v>57</v>
      </c>
      <c r="F74" s="8">
        <v>4.3</v>
      </c>
      <c r="G74" s="4">
        <v>13</v>
      </c>
      <c r="H74" s="8">
        <v>2.2799999999999998</v>
      </c>
      <c r="I74" s="4">
        <v>0</v>
      </c>
    </row>
    <row r="75" spans="1:9" x14ac:dyDescent="0.2">
      <c r="A75" s="2">
        <v>7</v>
      </c>
      <c r="B75" s="1" t="s">
        <v>131</v>
      </c>
      <c r="C75" s="4">
        <v>59</v>
      </c>
      <c r="D75" s="8">
        <v>3.1</v>
      </c>
      <c r="E75" s="4">
        <v>54</v>
      </c>
      <c r="F75" s="8">
        <v>4.07</v>
      </c>
      <c r="G75" s="4">
        <v>5</v>
      </c>
      <c r="H75" s="8">
        <v>0.88</v>
      </c>
      <c r="I75" s="4">
        <v>0</v>
      </c>
    </row>
    <row r="76" spans="1:9" x14ac:dyDescent="0.2">
      <c r="A76" s="2">
        <v>8</v>
      </c>
      <c r="B76" s="1" t="s">
        <v>122</v>
      </c>
      <c r="C76" s="4">
        <v>48</v>
      </c>
      <c r="D76" s="8">
        <v>2.52</v>
      </c>
      <c r="E76" s="4">
        <v>10</v>
      </c>
      <c r="F76" s="8">
        <v>0.75</v>
      </c>
      <c r="G76" s="4">
        <v>38</v>
      </c>
      <c r="H76" s="8">
        <v>6.68</v>
      </c>
      <c r="I76" s="4">
        <v>0</v>
      </c>
    </row>
    <row r="77" spans="1:9" x14ac:dyDescent="0.2">
      <c r="A77" s="2">
        <v>8</v>
      </c>
      <c r="B77" s="1" t="s">
        <v>123</v>
      </c>
      <c r="C77" s="4">
        <v>48</v>
      </c>
      <c r="D77" s="8">
        <v>2.52</v>
      </c>
      <c r="E77" s="4">
        <v>41</v>
      </c>
      <c r="F77" s="8">
        <v>3.09</v>
      </c>
      <c r="G77" s="4">
        <v>7</v>
      </c>
      <c r="H77" s="8">
        <v>1.23</v>
      </c>
      <c r="I77" s="4">
        <v>0</v>
      </c>
    </row>
    <row r="78" spans="1:9" x14ac:dyDescent="0.2">
      <c r="A78" s="2">
        <v>10</v>
      </c>
      <c r="B78" s="1" t="s">
        <v>126</v>
      </c>
      <c r="C78" s="4">
        <v>39</v>
      </c>
      <c r="D78" s="8">
        <v>2.0499999999999998</v>
      </c>
      <c r="E78" s="4">
        <v>27</v>
      </c>
      <c r="F78" s="8">
        <v>2.0299999999999998</v>
      </c>
      <c r="G78" s="4">
        <v>12</v>
      </c>
      <c r="H78" s="8">
        <v>2.11</v>
      </c>
      <c r="I78" s="4">
        <v>0</v>
      </c>
    </row>
    <row r="79" spans="1:9" x14ac:dyDescent="0.2">
      <c r="A79" s="2">
        <v>10</v>
      </c>
      <c r="B79" s="1" t="s">
        <v>149</v>
      </c>
      <c r="C79" s="4">
        <v>39</v>
      </c>
      <c r="D79" s="8">
        <v>2.0499999999999998</v>
      </c>
      <c r="E79" s="4">
        <v>36</v>
      </c>
      <c r="F79" s="8">
        <v>2.71</v>
      </c>
      <c r="G79" s="4">
        <v>3</v>
      </c>
      <c r="H79" s="8">
        <v>0.53</v>
      </c>
      <c r="I79" s="4">
        <v>0</v>
      </c>
    </row>
    <row r="80" spans="1:9" x14ac:dyDescent="0.2">
      <c r="A80" s="2">
        <v>10</v>
      </c>
      <c r="B80" s="1" t="s">
        <v>135</v>
      </c>
      <c r="C80" s="4">
        <v>39</v>
      </c>
      <c r="D80" s="8">
        <v>2.0499999999999998</v>
      </c>
      <c r="E80" s="4">
        <v>39</v>
      </c>
      <c r="F80" s="8">
        <v>2.94</v>
      </c>
      <c r="G80" s="4">
        <v>0</v>
      </c>
      <c r="H80" s="8">
        <v>0</v>
      </c>
      <c r="I80" s="4">
        <v>0</v>
      </c>
    </row>
    <row r="81" spans="1:9" x14ac:dyDescent="0.2">
      <c r="A81" s="2">
        <v>13</v>
      </c>
      <c r="B81" s="1" t="s">
        <v>144</v>
      </c>
      <c r="C81" s="4">
        <v>35</v>
      </c>
      <c r="D81" s="8">
        <v>1.84</v>
      </c>
      <c r="E81" s="4">
        <v>25</v>
      </c>
      <c r="F81" s="8">
        <v>1.88</v>
      </c>
      <c r="G81" s="4">
        <v>10</v>
      </c>
      <c r="H81" s="8">
        <v>1.76</v>
      </c>
      <c r="I81" s="4">
        <v>0</v>
      </c>
    </row>
    <row r="82" spans="1:9" x14ac:dyDescent="0.2">
      <c r="A82" s="2">
        <v>14</v>
      </c>
      <c r="B82" s="1" t="s">
        <v>143</v>
      </c>
      <c r="C82" s="4">
        <v>34</v>
      </c>
      <c r="D82" s="8">
        <v>1.78</v>
      </c>
      <c r="E82" s="4">
        <v>22</v>
      </c>
      <c r="F82" s="8">
        <v>1.66</v>
      </c>
      <c r="G82" s="4">
        <v>12</v>
      </c>
      <c r="H82" s="8">
        <v>2.11</v>
      </c>
      <c r="I82" s="4">
        <v>0</v>
      </c>
    </row>
    <row r="83" spans="1:9" x14ac:dyDescent="0.2">
      <c r="A83" s="2">
        <v>14</v>
      </c>
      <c r="B83" s="1" t="s">
        <v>139</v>
      </c>
      <c r="C83" s="4">
        <v>34</v>
      </c>
      <c r="D83" s="8">
        <v>1.78</v>
      </c>
      <c r="E83" s="4">
        <v>32</v>
      </c>
      <c r="F83" s="8">
        <v>2.41</v>
      </c>
      <c r="G83" s="4">
        <v>2</v>
      </c>
      <c r="H83" s="8">
        <v>0.35</v>
      </c>
      <c r="I83" s="4">
        <v>0</v>
      </c>
    </row>
    <row r="84" spans="1:9" x14ac:dyDescent="0.2">
      <c r="A84" s="2">
        <v>16</v>
      </c>
      <c r="B84" s="1" t="s">
        <v>125</v>
      </c>
      <c r="C84" s="4">
        <v>31</v>
      </c>
      <c r="D84" s="8">
        <v>1.63</v>
      </c>
      <c r="E84" s="4">
        <v>18</v>
      </c>
      <c r="F84" s="8">
        <v>1.36</v>
      </c>
      <c r="G84" s="4">
        <v>13</v>
      </c>
      <c r="H84" s="8">
        <v>2.2799999999999998</v>
      </c>
      <c r="I84" s="4">
        <v>0</v>
      </c>
    </row>
    <row r="85" spans="1:9" x14ac:dyDescent="0.2">
      <c r="A85" s="2">
        <v>16</v>
      </c>
      <c r="B85" s="1" t="s">
        <v>129</v>
      </c>
      <c r="C85" s="4">
        <v>31</v>
      </c>
      <c r="D85" s="8">
        <v>1.63</v>
      </c>
      <c r="E85" s="4">
        <v>17</v>
      </c>
      <c r="F85" s="8">
        <v>1.28</v>
      </c>
      <c r="G85" s="4">
        <v>14</v>
      </c>
      <c r="H85" s="8">
        <v>2.46</v>
      </c>
      <c r="I85" s="4">
        <v>0</v>
      </c>
    </row>
    <row r="86" spans="1:9" x14ac:dyDescent="0.2">
      <c r="A86" s="2">
        <v>16</v>
      </c>
      <c r="B86" s="1" t="s">
        <v>141</v>
      </c>
      <c r="C86" s="4">
        <v>31</v>
      </c>
      <c r="D86" s="8">
        <v>1.63</v>
      </c>
      <c r="E86" s="4">
        <v>27</v>
      </c>
      <c r="F86" s="8">
        <v>2.0299999999999998</v>
      </c>
      <c r="G86" s="4">
        <v>3</v>
      </c>
      <c r="H86" s="8">
        <v>0.53</v>
      </c>
      <c r="I86" s="4">
        <v>1</v>
      </c>
    </row>
    <row r="87" spans="1:9" x14ac:dyDescent="0.2">
      <c r="A87" s="2">
        <v>19</v>
      </c>
      <c r="B87" s="1" t="s">
        <v>134</v>
      </c>
      <c r="C87" s="4">
        <v>30</v>
      </c>
      <c r="D87" s="8">
        <v>1.57</v>
      </c>
      <c r="E87" s="4">
        <v>27</v>
      </c>
      <c r="F87" s="8">
        <v>2.0299999999999998</v>
      </c>
      <c r="G87" s="4">
        <v>3</v>
      </c>
      <c r="H87" s="8">
        <v>0.53</v>
      </c>
      <c r="I87" s="4">
        <v>0</v>
      </c>
    </row>
    <row r="88" spans="1:9" x14ac:dyDescent="0.2">
      <c r="A88" s="2">
        <v>20</v>
      </c>
      <c r="B88" s="1" t="s">
        <v>148</v>
      </c>
      <c r="C88" s="4">
        <v>29</v>
      </c>
      <c r="D88" s="8">
        <v>1.52</v>
      </c>
      <c r="E88" s="4">
        <v>22</v>
      </c>
      <c r="F88" s="8">
        <v>1.66</v>
      </c>
      <c r="G88" s="4">
        <v>7</v>
      </c>
      <c r="H88" s="8">
        <v>1.23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128</v>
      </c>
      <c r="C91" s="4">
        <v>422</v>
      </c>
      <c r="D91" s="8">
        <v>13.81</v>
      </c>
      <c r="E91" s="4">
        <v>340</v>
      </c>
      <c r="F91" s="8">
        <v>18.46</v>
      </c>
      <c r="G91" s="4">
        <v>82</v>
      </c>
      <c r="H91" s="8">
        <v>6.84</v>
      </c>
      <c r="I91" s="4">
        <v>0</v>
      </c>
    </row>
    <row r="92" spans="1:9" x14ac:dyDescent="0.2">
      <c r="A92" s="2">
        <v>2</v>
      </c>
      <c r="B92" s="1" t="s">
        <v>133</v>
      </c>
      <c r="C92" s="4">
        <v>195</v>
      </c>
      <c r="D92" s="8">
        <v>6.38</v>
      </c>
      <c r="E92" s="4">
        <v>190</v>
      </c>
      <c r="F92" s="8">
        <v>10.31</v>
      </c>
      <c r="G92" s="4">
        <v>5</v>
      </c>
      <c r="H92" s="8">
        <v>0.42</v>
      </c>
      <c r="I92" s="4">
        <v>0</v>
      </c>
    </row>
    <row r="93" spans="1:9" x14ac:dyDescent="0.2">
      <c r="A93" s="2">
        <v>3</v>
      </c>
      <c r="B93" s="1" t="s">
        <v>132</v>
      </c>
      <c r="C93" s="4">
        <v>138</v>
      </c>
      <c r="D93" s="8">
        <v>4.5199999999999996</v>
      </c>
      <c r="E93" s="4">
        <v>128</v>
      </c>
      <c r="F93" s="8">
        <v>6.95</v>
      </c>
      <c r="G93" s="4">
        <v>10</v>
      </c>
      <c r="H93" s="8">
        <v>0.83</v>
      </c>
      <c r="I93" s="4">
        <v>0</v>
      </c>
    </row>
    <row r="94" spans="1:9" x14ac:dyDescent="0.2">
      <c r="A94" s="2">
        <v>4</v>
      </c>
      <c r="B94" s="1" t="s">
        <v>136</v>
      </c>
      <c r="C94" s="4">
        <v>126</v>
      </c>
      <c r="D94" s="8">
        <v>4.12</v>
      </c>
      <c r="E94" s="4">
        <v>118</v>
      </c>
      <c r="F94" s="8">
        <v>6.41</v>
      </c>
      <c r="G94" s="4">
        <v>8</v>
      </c>
      <c r="H94" s="8">
        <v>0.67</v>
      </c>
      <c r="I94" s="4">
        <v>0</v>
      </c>
    </row>
    <row r="95" spans="1:9" x14ac:dyDescent="0.2">
      <c r="A95" s="2">
        <v>5</v>
      </c>
      <c r="B95" s="1" t="s">
        <v>139</v>
      </c>
      <c r="C95" s="4">
        <v>103</v>
      </c>
      <c r="D95" s="8">
        <v>3.37</v>
      </c>
      <c r="E95" s="4">
        <v>95</v>
      </c>
      <c r="F95" s="8">
        <v>5.16</v>
      </c>
      <c r="G95" s="4">
        <v>7</v>
      </c>
      <c r="H95" s="8">
        <v>0.57999999999999996</v>
      </c>
      <c r="I95" s="4">
        <v>1</v>
      </c>
    </row>
    <row r="96" spans="1:9" x14ac:dyDescent="0.2">
      <c r="A96" s="2">
        <v>6</v>
      </c>
      <c r="B96" s="1" t="s">
        <v>129</v>
      </c>
      <c r="C96" s="4">
        <v>71</v>
      </c>
      <c r="D96" s="8">
        <v>2.3199999999999998</v>
      </c>
      <c r="E96" s="4">
        <v>28</v>
      </c>
      <c r="F96" s="8">
        <v>1.52</v>
      </c>
      <c r="G96" s="4">
        <v>43</v>
      </c>
      <c r="H96" s="8">
        <v>3.59</v>
      </c>
      <c r="I96" s="4">
        <v>0</v>
      </c>
    </row>
    <row r="97" spans="1:9" x14ac:dyDescent="0.2">
      <c r="A97" s="2">
        <v>7</v>
      </c>
      <c r="B97" s="1" t="s">
        <v>131</v>
      </c>
      <c r="C97" s="4">
        <v>65</v>
      </c>
      <c r="D97" s="8">
        <v>2.13</v>
      </c>
      <c r="E97" s="4">
        <v>54</v>
      </c>
      <c r="F97" s="8">
        <v>2.93</v>
      </c>
      <c r="G97" s="4">
        <v>11</v>
      </c>
      <c r="H97" s="8">
        <v>0.92</v>
      </c>
      <c r="I97" s="4">
        <v>0</v>
      </c>
    </row>
    <row r="98" spans="1:9" x14ac:dyDescent="0.2">
      <c r="A98" s="2">
        <v>8</v>
      </c>
      <c r="B98" s="1" t="s">
        <v>135</v>
      </c>
      <c r="C98" s="4">
        <v>61</v>
      </c>
      <c r="D98" s="8">
        <v>2</v>
      </c>
      <c r="E98" s="4">
        <v>58</v>
      </c>
      <c r="F98" s="8">
        <v>3.15</v>
      </c>
      <c r="G98" s="4">
        <v>3</v>
      </c>
      <c r="H98" s="8">
        <v>0.25</v>
      </c>
      <c r="I98" s="4">
        <v>0</v>
      </c>
    </row>
    <row r="99" spans="1:9" x14ac:dyDescent="0.2">
      <c r="A99" s="2">
        <v>9</v>
      </c>
      <c r="B99" s="1" t="s">
        <v>127</v>
      </c>
      <c r="C99" s="4">
        <v>60</v>
      </c>
      <c r="D99" s="8">
        <v>1.96</v>
      </c>
      <c r="E99" s="4">
        <v>24</v>
      </c>
      <c r="F99" s="8">
        <v>1.3</v>
      </c>
      <c r="G99" s="4">
        <v>36</v>
      </c>
      <c r="H99" s="8">
        <v>3.01</v>
      </c>
      <c r="I99" s="4">
        <v>0</v>
      </c>
    </row>
    <row r="100" spans="1:9" x14ac:dyDescent="0.2">
      <c r="A100" s="2">
        <v>10</v>
      </c>
      <c r="B100" s="1" t="s">
        <v>140</v>
      </c>
      <c r="C100" s="4">
        <v>56</v>
      </c>
      <c r="D100" s="8">
        <v>1.83</v>
      </c>
      <c r="E100" s="4">
        <v>52</v>
      </c>
      <c r="F100" s="8">
        <v>2.82</v>
      </c>
      <c r="G100" s="4">
        <v>4</v>
      </c>
      <c r="H100" s="8">
        <v>0.33</v>
      </c>
      <c r="I100" s="4">
        <v>0</v>
      </c>
    </row>
    <row r="101" spans="1:9" x14ac:dyDescent="0.2">
      <c r="A101" s="2">
        <v>11</v>
      </c>
      <c r="B101" s="1" t="s">
        <v>123</v>
      </c>
      <c r="C101" s="4">
        <v>49</v>
      </c>
      <c r="D101" s="8">
        <v>1.6</v>
      </c>
      <c r="E101" s="4">
        <v>31</v>
      </c>
      <c r="F101" s="8">
        <v>1.68</v>
      </c>
      <c r="G101" s="4">
        <v>18</v>
      </c>
      <c r="H101" s="8">
        <v>1.5</v>
      </c>
      <c r="I101" s="4">
        <v>0</v>
      </c>
    </row>
    <row r="102" spans="1:9" x14ac:dyDescent="0.2">
      <c r="A102" s="2">
        <v>12</v>
      </c>
      <c r="B102" s="1" t="s">
        <v>145</v>
      </c>
      <c r="C102" s="4">
        <v>48</v>
      </c>
      <c r="D102" s="8">
        <v>1.57</v>
      </c>
      <c r="E102" s="4">
        <v>7</v>
      </c>
      <c r="F102" s="8">
        <v>0.38</v>
      </c>
      <c r="G102" s="4">
        <v>41</v>
      </c>
      <c r="H102" s="8">
        <v>3.42</v>
      </c>
      <c r="I102" s="4">
        <v>0</v>
      </c>
    </row>
    <row r="103" spans="1:9" x14ac:dyDescent="0.2">
      <c r="A103" s="2">
        <v>13</v>
      </c>
      <c r="B103" s="1" t="s">
        <v>147</v>
      </c>
      <c r="C103" s="4">
        <v>43</v>
      </c>
      <c r="D103" s="8">
        <v>1.41</v>
      </c>
      <c r="E103" s="4">
        <v>14</v>
      </c>
      <c r="F103" s="8">
        <v>0.76</v>
      </c>
      <c r="G103" s="4">
        <v>29</v>
      </c>
      <c r="H103" s="8">
        <v>2.42</v>
      </c>
      <c r="I103" s="4">
        <v>0</v>
      </c>
    </row>
    <row r="104" spans="1:9" x14ac:dyDescent="0.2">
      <c r="A104" s="2">
        <v>13</v>
      </c>
      <c r="B104" s="1" t="s">
        <v>141</v>
      </c>
      <c r="C104" s="4">
        <v>43</v>
      </c>
      <c r="D104" s="8">
        <v>1.41</v>
      </c>
      <c r="E104" s="4">
        <v>36</v>
      </c>
      <c r="F104" s="8">
        <v>1.95</v>
      </c>
      <c r="G104" s="4">
        <v>7</v>
      </c>
      <c r="H104" s="8">
        <v>0.57999999999999996</v>
      </c>
      <c r="I104" s="4">
        <v>0</v>
      </c>
    </row>
    <row r="105" spans="1:9" x14ac:dyDescent="0.2">
      <c r="A105" s="2">
        <v>15</v>
      </c>
      <c r="B105" s="1" t="s">
        <v>151</v>
      </c>
      <c r="C105" s="4">
        <v>42</v>
      </c>
      <c r="D105" s="8">
        <v>1.37</v>
      </c>
      <c r="E105" s="4">
        <v>5</v>
      </c>
      <c r="F105" s="8">
        <v>0.27</v>
      </c>
      <c r="G105" s="4">
        <v>37</v>
      </c>
      <c r="H105" s="8">
        <v>3.09</v>
      </c>
      <c r="I105" s="4">
        <v>0</v>
      </c>
    </row>
    <row r="106" spans="1:9" x14ac:dyDescent="0.2">
      <c r="A106" s="2">
        <v>15</v>
      </c>
      <c r="B106" s="1" t="s">
        <v>125</v>
      </c>
      <c r="C106" s="4">
        <v>42</v>
      </c>
      <c r="D106" s="8">
        <v>1.37</v>
      </c>
      <c r="E106" s="4">
        <v>19</v>
      </c>
      <c r="F106" s="8">
        <v>1.03</v>
      </c>
      <c r="G106" s="4">
        <v>23</v>
      </c>
      <c r="H106" s="8">
        <v>1.92</v>
      </c>
      <c r="I106" s="4">
        <v>0</v>
      </c>
    </row>
    <row r="107" spans="1:9" x14ac:dyDescent="0.2">
      <c r="A107" s="2">
        <v>15</v>
      </c>
      <c r="B107" s="1" t="s">
        <v>126</v>
      </c>
      <c r="C107" s="4">
        <v>42</v>
      </c>
      <c r="D107" s="8">
        <v>1.37</v>
      </c>
      <c r="E107" s="4">
        <v>28</v>
      </c>
      <c r="F107" s="8">
        <v>1.52</v>
      </c>
      <c r="G107" s="4">
        <v>14</v>
      </c>
      <c r="H107" s="8">
        <v>1.17</v>
      </c>
      <c r="I107" s="4">
        <v>0</v>
      </c>
    </row>
    <row r="108" spans="1:9" x14ac:dyDescent="0.2">
      <c r="A108" s="2">
        <v>15</v>
      </c>
      <c r="B108" s="1" t="s">
        <v>138</v>
      </c>
      <c r="C108" s="4">
        <v>42</v>
      </c>
      <c r="D108" s="8">
        <v>1.37</v>
      </c>
      <c r="E108" s="4">
        <v>34</v>
      </c>
      <c r="F108" s="8">
        <v>1.85</v>
      </c>
      <c r="G108" s="4">
        <v>8</v>
      </c>
      <c r="H108" s="8">
        <v>0.67</v>
      </c>
      <c r="I108" s="4">
        <v>0</v>
      </c>
    </row>
    <row r="109" spans="1:9" x14ac:dyDescent="0.2">
      <c r="A109" s="2">
        <v>15</v>
      </c>
      <c r="B109" s="1" t="s">
        <v>152</v>
      </c>
      <c r="C109" s="4">
        <v>42</v>
      </c>
      <c r="D109" s="8">
        <v>1.37</v>
      </c>
      <c r="E109" s="4">
        <v>12</v>
      </c>
      <c r="F109" s="8">
        <v>0.65</v>
      </c>
      <c r="G109" s="4">
        <v>28</v>
      </c>
      <c r="H109" s="8">
        <v>2.34</v>
      </c>
      <c r="I109" s="4">
        <v>2</v>
      </c>
    </row>
    <row r="110" spans="1:9" x14ac:dyDescent="0.2">
      <c r="A110" s="2">
        <v>20</v>
      </c>
      <c r="B110" s="1" t="s">
        <v>124</v>
      </c>
      <c r="C110" s="4">
        <v>40</v>
      </c>
      <c r="D110" s="8">
        <v>1.31</v>
      </c>
      <c r="E110" s="4">
        <v>32</v>
      </c>
      <c r="F110" s="8">
        <v>1.74</v>
      </c>
      <c r="G110" s="4">
        <v>8</v>
      </c>
      <c r="H110" s="8">
        <v>0.67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136</v>
      </c>
      <c r="C113" s="4">
        <v>111</v>
      </c>
      <c r="D113" s="8">
        <v>7.46</v>
      </c>
      <c r="E113" s="4">
        <v>109</v>
      </c>
      <c r="F113" s="8">
        <v>10.24</v>
      </c>
      <c r="G113" s="4">
        <v>2</v>
      </c>
      <c r="H113" s="8">
        <v>0.49</v>
      </c>
      <c r="I113" s="4">
        <v>0</v>
      </c>
    </row>
    <row r="114" spans="1:9" x14ac:dyDescent="0.2">
      <c r="A114" s="2">
        <v>2</v>
      </c>
      <c r="B114" s="1" t="s">
        <v>133</v>
      </c>
      <c r="C114" s="4">
        <v>106</v>
      </c>
      <c r="D114" s="8">
        <v>7.12</v>
      </c>
      <c r="E114" s="4">
        <v>105</v>
      </c>
      <c r="F114" s="8">
        <v>9.8699999999999992</v>
      </c>
      <c r="G114" s="4">
        <v>1</v>
      </c>
      <c r="H114" s="8">
        <v>0.25</v>
      </c>
      <c r="I114" s="4">
        <v>0</v>
      </c>
    </row>
    <row r="115" spans="1:9" x14ac:dyDescent="0.2">
      <c r="A115" s="2">
        <v>3</v>
      </c>
      <c r="B115" s="1" t="s">
        <v>132</v>
      </c>
      <c r="C115" s="4">
        <v>59</v>
      </c>
      <c r="D115" s="8">
        <v>3.97</v>
      </c>
      <c r="E115" s="4">
        <v>54</v>
      </c>
      <c r="F115" s="8">
        <v>5.08</v>
      </c>
      <c r="G115" s="4">
        <v>4</v>
      </c>
      <c r="H115" s="8">
        <v>0.99</v>
      </c>
      <c r="I115" s="4">
        <v>1</v>
      </c>
    </row>
    <row r="116" spans="1:9" x14ac:dyDescent="0.2">
      <c r="A116" s="2">
        <v>4</v>
      </c>
      <c r="B116" s="1" t="s">
        <v>135</v>
      </c>
      <c r="C116" s="4">
        <v>52</v>
      </c>
      <c r="D116" s="8">
        <v>3.49</v>
      </c>
      <c r="E116" s="4">
        <v>51</v>
      </c>
      <c r="F116" s="8">
        <v>4.79</v>
      </c>
      <c r="G116" s="4">
        <v>1</v>
      </c>
      <c r="H116" s="8">
        <v>0.25</v>
      </c>
      <c r="I116" s="4">
        <v>0</v>
      </c>
    </row>
    <row r="117" spans="1:9" x14ac:dyDescent="0.2">
      <c r="A117" s="2">
        <v>5</v>
      </c>
      <c r="B117" s="1" t="s">
        <v>128</v>
      </c>
      <c r="C117" s="4">
        <v>51</v>
      </c>
      <c r="D117" s="8">
        <v>3.43</v>
      </c>
      <c r="E117" s="4">
        <v>34</v>
      </c>
      <c r="F117" s="8">
        <v>3.2</v>
      </c>
      <c r="G117" s="4">
        <v>17</v>
      </c>
      <c r="H117" s="8">
        <v>4.2</v>
      </c>
      <c r="I117" s="4">
        <v>0</v>
      </c>
    </row>
    <row r="118" spans="1:9" x14ac:dyDescent="0.2">
      <c r="A118" s="2">
        <v>6</v>
      </c>
      <c r="B118" s="1" t="s">
        <v>131</v>
      </c>
      <c r="C118" s="4">
        <v>48</v>
      </c>
      <c r="D118" s="8">
        <v>3.23</v>
      </c>
      <c r="E118" s="4">
        <v>44</v>
      </c>
      <c r="F118" s="8">
        <v>4.1399999999999997</v>
      </c>
      <c r="G118" s="4">
        <v>4</v>
      </c>
      <c r="H118" s="8">
        <v>0.99</v>
      </c>
      <c r="I118" s="4">
        <v>0</v>
      </c>
    </row>
    <row r="119" spans="1:9" x14ac:dyDescent="0.2">
      <c r="A119" s="2">
        <v>7</v>
      </c>
      <c r="B119" s="1" t="s">
        <v>153</v>
      </c>
      <c r="C119" s="4">
        <v>45</v>
      </c>
      <c r="D119" s="8">
        <v>3.02</v>
      </c>
      <c r="E119" s="4">
        <v>44</v>
      </c>
      <c r="F119" s="8">
        <v>4.1399999999999997</v>
      </c>
      <c r="G119" s="4">
        <v>1</v>
      </c>
      <c r="H119" s="8">
        <v>0.25</v>
      </c>
      <c r="I119" s="4">
        <v>0</v>
      </c>
    </row>
    <row r="120" spans="1:9" x14ac:dyDescent="0.2">
      <c r="A120" s="2">
        <v>8</v>
      </c>
      <c r="B120" s="1" t="s">
        <v>123</v>
      </c>
      <c r="C120" s="4">
        <v>37</v>
      </c>
      <c r="D120" s="8">
        <v>2.4900000000000002</v>
      </c>
      <c r="E120" s="4">
        <v>34</v>
      </c>
      <c r="F120" s="8">
        <v>3.2</v>
      </c>
      <c r="G120" s="4">
        <v>3</v>
      </c>
      <c r="H120" s="8">
        <v>0.74</v>
      </c>
      <c r="I120" s="4">
        <v>0</v>
      </c>
    </row>
    <row r="121" spans="1:9" x14ac:dyDescent="0.2">
      <c r="A121" s="2">
        <v>9</v>
      </c>
      <c r="B121" s="1" t="s">
        <v>139</v>
      </c>
      <c r="C121" s="4">
        <v>35</v>
      </c>
      <c r="D121" s="8">
        <v>2.35</v>
      </c>
      <c r="E121" s="4">
        <v>35</v>
      </c>
      <c r="F121" s="8">
        <v>3.29</v>
      </c>
      <c r="G121" s="4">
        <v>0</v>
      </c>
      <c r="H121" s="8">
        <v>0</v>
      </c>
      <c r="I121" s="4">
        <v>0</v>
      </c>
    </row>
    <row r="122" spans="1:9" x14ac:dyDescent="0.2">
      <c r="A122" s="2">
        <v>10</v>
      </c>
      <c r="B122" s="1" t="s">
        <v>149</v>
      </c>
      <c r="C122" s="4">
        <v>30</v>
      </c>
      <c r="D122" s="8">
        <v>2.02</v>
      </c>
      <c r="E122" s="4">
        <v>25</v>
      </c>
      <c r="F122" s="8">
        <v>2.35</v>
      </c>
      <c r="G122" s="4">
        <v>5</v>
      </c>
      <c r="H122" s="8">
        <v>1.23</v>
      </c>
      <c r="I122" s="4">
        <v>0</v>
      </c>
    </row>
    <row r="123" spans="1:9" x14ac:dyDescent="0.2">
      <c r="A123" s="2">
        <v>10</v>
      </c>
      <c r="B123" s="1" t="s">
        <v>134</v>
      </c>
      <c r="C123" s="4">
        <v>30</v>
      </c>
      <c r="D123" s="8">
        <v>2.02</v>
      </c>
      <c r="E123" s="4">
        <v>29</v>
      </c>
      <c r="F123" s="8">
        <v>2.73</v>
      </c>
      <c r="G123" s="4">
        <v>1</v>
      </c>
      <c r="H123" s="8">
        <v>0.25</v>
      </c>
      <c r="I123" s="4">
        <v>0</v>
      </c>
    </row>
    <row r="124" spans="1:9" x14ac:dyDescent="0.2">
      <c r="A124" s="2">
        <v>12</v>
      </c>
      <c r="B124" s="1" t="s">
        <v>126</v>
      </c>
      <c r="C124" s="4">
        <v>27</v>
      </c>
      <c r="D124" s="8">
        <v>1.81</v>
      </c>
      <c r="E124" s="4">
        <v>19</v>
      </c>
      <c r="F124" s="8">
        <v>1.79</v>
      </c>
      <c r="G124" s="4">
        <v>7</v>
      </c>
      <c r="H124" s="8">
        <v>1.73</v>
      </c>
      <c r="I124" s="4">
        <v>1</v>
      </c>
    </row>
    <row r="125" spans="1:9" x14ac:dyDescent="0.2">
      <c r="A125" s="2">
        <v>12</v>
      </c>
      <c r="B125" s="1" t="s">
        <v>141</v>
      </c>
      <c r="C125" s="4">
        <v>27</v>
      </c>
      <c r="D125" s="8">
        <v>1.81</v>
      </c>
      <c r="E125" s="4">
        <v>26</v>
      </c>
      <c r="F125" s="8">
        <v>2.44</v>
      </c>
      <c r="G125" s="4">
        <v>1</v>
      </c>
      <c r="H125" s="8">
        <v>0.25</v>
      </c>
      <c r="I125" s="4">
        <v>0</v>
      </c>
    </row>
    <row r="126" spans="1:9" x14ac:dyDescent="0.2">
      <c r="A126" s="2">
        <v>14</v>
      </c>
      <c r="B126" s="1" t="s">
        <v>122</v>
      </c>
      <c r="C126" s="4">
        <v>26</v>
      </c>
      <c r="D126" s="8">
        <v>1.75</v>
      </c>
      <c r="E126" s="4">
        <v>3</v>
      </c>
      <c r="F126" s="8">
        <v>0.28000000000000003</v>
      </c>
      <c r="G126" s="4">
        <v>23</v>
      </c>
      <c r="H126" s="8">
        <v>5.68</v>
      </c>
      <c r="I126" s="4">
        <v>0</v>
      </c>
    </row>
    <row r="127" spans="1:9" x14ac:dyDescent="0.2">
      <c r="A127" s="2">
        <v>15</v>
      </c>
      <c r="B127" s="1" t="s">
        <v>129</v>
      </c>
      <c r="C127" s="4">
        <v>25</v>
      </c>
      <c r="D127" s="8">
        <v>1.68</v>
      </c>
      <c r="E127" s="4">
        <v>6</v>
      </c>
      <c r="F127" s="8">
        <v>0.56000000000000005</v>
      </c>
      <c r="G127" s="4">
        <v>17</v>
      </c>
      <c r="H127" s="8">
        <v>4.2</v>
      </c>
      <c r="I127" s="4">
        <v>0</v>
      </c>
    </row>
    <row r="128" spans="1:9" x14ac:dyDescent="0.2">
      <c r="A128" s="2">
        <v>16</v>
      </c>
      <c r="B128" s="1" t="s">
        <v>144</v>
      </c>
      <c r="C128" s="4">
        <v>23</v>
      </c>
      <c r="D128" s="8">
        <v>1.55</v>
      </c>
      <c r="E128" s="4">
        <v>19</v>
      </c>
      <c r="F128" s="8">
        <v>1.79</v>
      </c>
      <c r="G128" s="4">
        <v>4</v>
      </c>
      <c r="H128" s="8">
        <v>0.99</v>
      </c>
      <c r="I128" s="4">
        <v>0</v>
      </c>
    </row>
    <row r="129" spans="1:9" x14ac:dyDescent="0.2">
      <c r="A129" s="2">
        <v>16</v>
      </c>
      <c r="B129" s="1" t="s">
        <v>124</v>
      </c>
      <c r="C129" s="4">
        <v>23</v>
      </c>
      <c r="D129" s="8">
        <v>1.55</v>
      </c>
      <c r="E129" s="4">
        <v>22</v>
      </c>
      <c r="F129" s="8">
        <v>2.0699999999999998</v>
      </c>
      <c r="G129" s="4">
        <v>1</v>
      </c>
      <c r="H129" s="8">
        <v>0.25</v>
      </c>
      <c r="I129" s="4">
        <v>0</v>
      </c>
    </row>
    <row r="130" spans="1:9" x14ac:dyDescent="0.2">
      <c r="A130" s="2">
        <v>16</v>
      </c>
      <c r="B130" s="1" t="s">
        <v>140</v>
      </c>
      <c r="C130" s="4">
        <v>23</v>
      </c>
      <c r="D130" s="8">
        <v>1.55</v>
      </c>
      <c r="E130" s="4">
        <v>22</v>
      </c>
      <c r="F130" s="8">
        <v>2.0699999999999998</v>
      </c>
      <c r="G130" s="4">
        <v>1</v>
      </c>
      <c r="H130" s="8">
        <v>0.25</v>
      </c>
      <c r="I130" s="4">
        <v>0</v>
      </c>
    </row>
    <row r="131" spans="1:9" x14ac:dyDescent="0.2">
      <c r="A131" s="2">
        <v>19</v>
      </c>
      <c r="B131" s="1" t="s">
        <v>125</v>
      </c>
      <c r="C131" s="4">
        <v>21</v>
      </c>
      <c r="D131" s="8">
        <v>1.41</v>
      </c>
      <c r="E131" s="4">
        <v>9</v>
      </c>
      <c r="F131" s="8">
        <v>0.85</v>
      </c>
      <c r="G131" s="4">
        <v>12</v>
      </c>
      <c r="H131" s="8">
        <v>2.96</v>
      </c>
      <c r="I131" s="4">
        <v>0</v>
      </c>
    </row>
    <row r="132" spans="1:9" x14ac:dyDescent="0.2">
      <c r="A132" s="2">
        <v>20</v>
      </c>
      <c r="B132" s="1" t="s">
        <v>127</v>
      </c>
      <c r="C132" s="4">
        <v>19</v>
      </c>
      <c r="D132" s="8">
        <v>1.28</v>
      </c>
      <c r="E132" s="4">
        <v>3</v>
      </c>
      <c r="F132" s="8">
        <v>0.28000000000000003</v>
      </c>
      <c r="G132" s="4">
        <v>16</v>
      </c>
      <c r="H132" s="8">
        <v>3.95</v>
      </c>
      <c r="I132" s="4">
        <v>0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128</v>
      </c>
      <c r="C135" s="4">
        <v>90</v>
      </c>
      <c r="D135" s="8">
        <v>6.11</v>
      </c>
      <c r="E135" s="4">
        <v>56</v>
      </c>
      <c r="F135" s="8">
        <v>5.65</v>
      </c>
      <c r="G135" s="4">
        <v>34</v>
      </c>
      <c r="H135" s="8">
        <v>7.28</v>
      </c>
      <c r="I135" s="4">
        <v>0</v>
      </c>
    </row>
    <row r="136" spans="1:9" x14ac:dyDescent="0.2">
      <c r="A136" s="2">
        <v>2</v>
      </c>
      <c r="B136" s="1" t="s">
        <v>136</v>
      </c>
      <c r="C136" s="4">
        <v>79</v>
      </c>
      <c r="D136" s="8">
        <v>5.36</v>
      </c>
      <c r="E136" s="4">
        <v>75</v>
      </c>
      <c r="F136" s="8">
        <v>7.56</v>
      </c>
      <c r="G136" s="4">
        <v>4</v>
      </c>
      <c r="H136" s="8">
        <v>0.86</v>
      </c>
      <c r="I136" s="4">
        <v>0</v>
      </c>
    </row>
    <row r="137" spans="1:9" x14ac:dyDescent="0.2">
      <c r="A137" s="2">
        <v>3</v>
      </c>
      <c r="B137" s="1" t="s">
        <v>133</v>
      </c>
      <c r="C137" s="4">
        <v>67</v>
      </c>
      <c r="D137" s="8">
        <v>4.55</v>
      </c>
      <c r="E137" s="4">
        <v>66</v>
      </c>
      <c r="F137" s="8">
        <v>6.65</v>
      </c>
      <c r="G137" s="4">
        <v>1</v>
      </c>
      <c r="H137" s="8">
        <v>0.21</v>
      </c>
      <c r="I137" s="4">
        <v>0</v>
      </c>
    </row>
    <row r="138" spans="1:9" x14ac:dyDescent="0.2">
      <c r="A138" s="2">
        <v>4</v>
      </c>
      <c r="B138" s="1" t="s">
        <v>132</v>
      </c>
      <c r="C138" s="4">
        <v>60</v>
      </c>
      <c r="D138" s="8">
        <v>4.07</v>
      </c>
      <c r="E138" s="4">
        <v>56</v>
      </c>
      <c r="F138" s="8">
        <v>5.65</v>
      </c>
      <c r="G138" s="4">
        <v>4</v>
      </c>
      <c r="H138" s="8">
        <v>0.86</v>
      </c>
      <c r="I138" s="4">
        <v>0</v>
      </c>
    </row>
    <row r="139" spans="1:9" x14ac:dyDescent="0.2">
      <c r="A139" s="2">
        <v>5</v>
      </c>
      <c r="B139" s="1" t="s">
        <v>139</v>
      </c>
      <c r="C139" s="4">
        <v>52</v>
      </c>
      <c r="D139" s="8">
        <v>3.53</v>
      </c>
      <c r="E139" s="4">
        <v>50</v>
      </c>
      <c r="F139" s="8">
        <v>5.04</v>
      </c>
      <c r="G139" s="4">
        <v>2</v>
      </c>
      <c r="H139" s="8">
        <v>0.43</v>
      </c>
      <c r="I139" s="4">
        <v>0</v>
      </c>
    </row>
    <row r="140" spans="1:9" x14ac:dyDescent="0.2">
      <c r="A140" s="2">
        <v>5</v>
      </c>
      <c r="B140" s="1" t="s">
        <v>141</v>
      </c>
      <c r="C140" s="4">
        <v>52</v>
      </c>
      <c r="D140" s="8">
        <v>3.53</v>
      </c>
      <c r="E140" s="4">
        <v>49</v>
      </c>
      <c r="F140" s="8">
        <v>4.9400000000000004</v>
      </c>
      <c r="G140" s="4">
        <v>3</v>
      </c>
      <c r="H140" s="8">
        <v>0.64</v>
      </c>
      <c r="I140" s="4">
        <v>0</v>
      </c>
    </row>
    <row r="141" spans="1:9" x14ac:dyDescent="0.2">
      <c r="A141" s="2">
        <v>7</v>
      </c>
      <c r="B141" s="1" t="s">
        <v>123</v>
      </c>
      <c r="C141" s="4">
        <v>43</v>
      </c>
      <c r="D141" s="8">
        <v>2.92</v>
      </c>
      <c r="E141" s="4">
        <v>35</v>
      </c>
      <c r="F141" s="8">
        <v>3.53</v>
      </c>
      <c r="G141" s="4">
        <v>8</v>
      </c>
      <c r="H141" s="8">
        <v>1.71</v>
      </c>
      <c r="I141" s="4">
        <v>0</v>
      </c>
    </row>
    <row r="142" spans="1:9" x14ac:dyDescent="0.2">
      <c r="A142" s="2">
        <v>8</v>
      </c>
      <c r="B142" s="1" t="s">
        <v>135</v>
      </c>
      <c r="C142" s="4">
        <v>39</v>
      </c>
      <c r="D142" s="8">
        <v>2.65</v>
      </c>
      <c r="E142" s="4">
        <v>38</v>
      </c>
      <c r="F142" s="8">
        <v>3.83</v>
      </c>
      <c r="G142" s="4">
        <v>1</v>
      </c>
      <c r="H142" s="8">
        <v>0.21</v>
      </c>
      <c r="I142" s="4">
        <v>0</v>
      </c>
    </row>
    <row r="143" spans="1:9" x14ac:dyDescent="0.2">
      <c r="A143" s="2">
        <v>9</v>
      </c>
      <c r="B143" s="1" t="s">
        <v>122</v>
      </c>
      <c r="C143" s="4">
        <v>33</v>
      </c>
      <c r="D143" s="8">
        <v>2.2400000000000002</v>
      </c>
      <c r="E143" s="4">
        <v>5</v>
      </c>
      <c r="F143" s="8">
        <v>0.5</v>
      </c>
      <c r="G143" s="4">
        <v>28</v>
      </c>
      <c r="H143" s="8">
        <v>6</v>
      </c>
      <c r="I143" s="4">
        <v>0</v>
      </c>
    </row>
    <row r="144" spans="1:9" x14ac:dyDescent="0.2">
      <c r="A144" s="2">
        <v>10</v>
      </c>
      <c r="B144" s="1" t="s">
        <v>153</v>
      </c>
      <c r="C144" s="4">
        <v>30</v>
      </c>
      <c r="D144" s="8">
        <v>2.04</v>
      </c>
      <c r="E144" s="4">
        <v>28</v>
      </c>
      <c r="F144" s="8">
        <v>2.82</v>
      </c>
      <c r="G144" s="4">
        <v>2</v>
      </c>
      <c r="H144" s="8">
        <v>0.43</v>
      </c>
      <c r="I144" s="4">
        <v>0</v>
      </c>
    </row>
    <row r="145" spans="1:9" x14ac:dyDescent="0.2">
      <c r="A145" s="2">
        <v>11</v>
      </c>
      <c r="B145" s="1" t="s">
        <v>138</v>
      </c>
      <c r="C145" s="4">
        <v>27</v>
      </c>
      <c r="D145" s="8">
        <v>1.83</v>
      </c>
      <c r="E145" s="4">
        <v>27</v>
      </c>
      <c r="F145" s="8">
        <v>2.72</v>
      </c>
      <c r="G145" s="4">
        <v>0</v>
      </c>
      <c r="H145" s="8">
        <v>0</v>
      </c>
      <c r="I145" s="4">
        <v>0</v>
      </c>
    </row>
    <row r="146" spans="1:9" x14ac:dyDescent="0.2">
      <c r="A146" s="2">
        <v>12</v>
      </c>
      <c r="B146" s="1" t="s">
        <v>144</v>
      </c>
      <c r="C146" s="4">
        <v>25</v>
      </c>
      <c r="D146" s="8">
        <v>1.7</v>
      </c>
      <c r="E146" s="4">
        <v>24</v>
      </c>
      <c r="F146" s="8">
        <v>2.42</v>
      </c>
      <c r="G146" s="4">
        <v>1</v>
      </c>
      <c r="H146" s="8">
        <v>0.21</v>
      </c>
      <c r="I146" s="4">
        <v>0</v>
      </c>
    </row>
    <row r="147" spans="1:9" x14ac:dyDescent="0.2">
      <c r="A147" s="2">
        <v>13</v>
      </c>
      <c r="B147" s="1" t="s">
        <v>129</v>
      </c>
      <c r="C147" s="4">
        <v>22</v>
      </c>
      <c r="D147" s="8">
        <v>1.49</v>
      </c>
      <c r="E147" s="4">
        <v>10</v>
      </c>
      <c r="F147" s="8">
        <v>1.01</v>
      </c>
      <c r="G147" s="4">
        <v>11</v>
      </c>
      <c r="H147" s="8">
        <v>2.36</v>
      </c>
      <c r="I147" s="4">
        <v>1</v>
      </c>
    </row>
    <row r="148" spans="1:9" x14ac:dyDescent="0.2">
      <c r="A148" s="2">
        <v>14</v>
      </c>
      <c r="B148" s="1" t="s">
        <v>151</v>
      </c>
      <c r="C148" s="4">
        <v>21</v>
      </c>
      <c r="D148" s="8">
        <v>1.43</v>
      </c>
      <c r="E148" s="4">
        <v>4</v>
      </c>
      <c r="F148" s="8">
        <v>0.4</v>
      </c>
      <c r="G148" s="4">
        <v>17</v>
      </c>
      <c r="H148" s="8">
        <v>3.64</v>
      </c>
      <c r="I148" s="4">
        <v>0</v>
      </c>
    </row>
    <row r="149" spans="1:9" x14ac:dyDescent="0.2">
      <c r="A149" s="2">
        <v>14</v>
      </c>
      <c r="B149" s="1" t="s">
        <v>126</v>
      </c>
      <c r="C149" s="4">
        <v>21</v>
      </c>
      <c r="D149" s="8">
        <v>1.43</v>
      </c>
      <c r="E149" s="4">
        <v>16</v>
      </c>
      <c r="F149" s="8">
        <v>1.61</v>
      </c>
      <c r="G149" s="4">
        <v>5</v>
      </c>
      <c r="H149" s="8">
        <v>1.07</v>
      </c>
      <c r="I149" s="4">
        <v>0</v>
      </c>
    </row>
    <row r="150" spans="1:9" x14ac:dyDescent="0.2">
      <c r="A150" s="2">
        <v>14</v>
      </c>
      <c r="B150" s="1" t="s">
        <v>152</v>
      </c>
      <c r="C150" s="4">
        <v>21</v>
      </c>
      <c r="D150" s="8">
        <v>1.43</v>
      </c>
      <c r="E150" s="4">
        <v>1</v>
      </c>
      <c r="F150" s="8">
        <v>0.1</v>
      </c>
      <c r="G150" s="4">
        <v>15</v>
      </c>
      <c r="H150" s="8">
        <v>3.21</v>
      </c>
      <c r="I150" s="4">
        <v>0</v>
      </c>
    </row>
    <row r="151" spans="1:9" x14ac:dyDescent="0.2">
      <c r="A151" s="2">
        <v>17</v>
      </c>
      <c r="B151" s="1" t="s">
        <v>124</v>
      </c>
      <c r="C151" s="4">
        <v>20</v>
      </c>
      <c r="D151" s="8">
        <v>1.36</v>
      </c>
      <c r="E151" s="4">
        <v>19</v>
      </c>
      <c r="F151" s="8">
        <v>1.92</v>
      </c>
      <c r="G151" s="4">
        <v>1</v>
      </c>
      <c r="H151" s="8">
        <v>0.21</v>
      </c>
      <c r="I151" s="4">
        <v>0</v>
      </c>
    </row>
    <row r="152" spans="1:9" x14ac:dyDescent="0.2">
      <c r="A152" s="2">
        <v>17</v>
      </c>
      <c r="B152" s="1" t="s">
        <v>127</v>
      </c>
      <c r="C152" s="4">
        <v>20</v>
      </c>
      <c r="D152" s="8">
        <v>1.36</v>
      </c>
      <c r="E152" s="4">
        <v>7</v>
      </c>
      <c r="F152" s="8">
        <v>0.71</v>
      </c>
      <c r="G152" s="4">
        <v>13</v>
      </c>
      <c r="H152" s="8">
        <v>2.78</v>
      </c>
      <c r="I152" s="4">
        <v>0</v>
      </c>
    </row>
    <row r="153" spans="1:9" x14ac:dyDescent="0.2">
      <c r="A153" s="2">
        <v>17</v>
      </c>
      <c r="B153" s="1" t="s">
        <v>149</v>
      </c>
      <c r="C153" s="4">
        <v>20</v>
      </c>
      <c r="D153" s="8">
        <v>1.36</v>
      </c>
      <c r="E153" s="4">
        <v>17</v>
      </c>
      <c r="F153" s="8">
        <v>1.71</v>
      </c>
      <c r="G153" s="4">
        <v>3</v>
      </c>
      <c r="H153" s="8">
        <v>0.64</v>
      </c>
      <c r="I153" s="4">
        <v>0</v>
      </c>
    </row>
    <row r="154" spans="1:9" x14ac:dyDescent="0.2">
      <c r="A154" s="2">
        <v>17</v>
      </c>
      <c r="B154" s="1" t="s">
        <v>131</v>
      </c>
      <c r="C154" s="4">
        <v>20</v>
      </c>
      <c r="D154" s="8">
        <v>1.36</v>
      </c>
      <c r="E154" s="4">
        <v>17</v>
      </c>
      <c r="F154" s="8">
        <v>1.71</v>
      </c>
      <c r="G154" s="4">
        <v>3</v>
      </c>
      <c r="H154" s="8">
        <v>0.64</v>
      </c>
      <c r="I154" s="4">
        <v>0</v>
      </c>
    </row>
    <row r="155" spans="1:9" x14ac:dyDescent="0.2">
      <c r="A155" s="1"/>
      <c r="C155" s="4"/>
      <c r="D155" s="8"/>
      <c r="E155" s="4"/>
      <c r="F155" s="8"/>
      <c r="G155" s="4"/>
      <c r="H155" s="8"/>
      <c r="I155" s="4"/>
    </row>
    <row r="156" spans="1:9" x14ac:dyDescent="0.2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2">
      <c r="A157" s="2">
        <v>1</v>
      </c>
      <c r="B157" s="1" t="s">
        <v>133</v>
      </c>
      <c r="C157" s="4">
        <v>240</v>
      </c>
      <c r="D157" s="8">
        <v>7.94</v>
      </c>
      <c r="E157" s="4">
        <v>237</v>
      </c>
      <c r="F157" s="8">
        <v>11.69</v>
      </c>
      <c r="G157" s="4">
        <v>3</v>
      </c>
      <c r="H157" s="8">
        <v>0.3</v>
      </c>
      <c r="I157" s="4">
        <v>0</v>
      </c>
    </row>
    <row r="158" spans="1:9" x14ac:dyDescent="0.2">
      <c r="A158" s="2">
        <v>2</v>
      </c>
      <c r="B158" s="1" t="s">
        <v>136</v>
      </c>
      <c r="C158" s="4">
        <v>182</v>
      </c>
      <c r="D158" s="8">
        <v>6.02</v>
      </c>
      <c r="E158" s="4">
        <v>175</v>
      </c>
      <c r="F158" s="8">
        <v>8.6300000000000008</v>
      </c>
      <c r="G158" s="4">
        <v>7</v>
      </c>
      <c r="H158" s="8">
        <v>0.71</v>
      </c>
      <c r="I158" s="4">
        <v>0</v>
      </c>
    </row>
    <row r="159" spans="1:9" x14ac:dyDescent="0.2">
      <c r="A159" s="2">
        <v>3</v>
      </c>
      <c r="B159" s="1" t="s">
        <v>128</v>
      </c>
      <c r="C159" s="4">
        <v>171</v>
      </c>
      <c r="D159" s="8">
        <v>5.66</v>
      </c>
      <c r="E159" s="4">
        <v>88</v>
      </c>
      <c r="F159" s="8">
        <v>4.34</v>
      </c>
      <c r="G159" s="4">
        <v>83</v>
      </c>
      <c r="H159" s="8">
        <v>8.43</v>
      </c>
      <c r="I159" s="4">
        <v>0</v>
      </c>
    </row>
    <row r="160" spans="1:9" x14ac:dyDescent="0.2">
      <c r="A160" s="2">
        <v>4</v>
      </c>
      <c r="B160" s="1" t="s">
        <v>132</v>
      </c>
      <c r="C160" s="4">
        <v>124</v>
      </c>
      <c r="D160" s="8">
        <v>4.0999999999999996</v>
      </c>
      <c r="E160" s="4">
        <v>119</v>
      </c>
      <c r="F160" s="8">
        <v>5.87</v>
      </c>
      <c r="G160" s="4">
        <v>5</v>
      </c>
      <c r="H160" s="8">
        <v>0.51</v>
      </c>
      <c r="I160" s="4">
        <v>0</v>
      </c>
    </row>
    <row r="161" spans="1:9" x14ac:dyDescent="0.2">
      <c r="A161" s="2">
        <v>5</v>
      </c>
      <c r="B161" s="1" t="s">
        <v>139</v>
      </c>
      <c r="C161" s="4">
        <v>121</v>
      </c>
      <c r="D161" s="8">
        <v>4</v>
      </c>
      <c r="E161" s="4">
        <v>110</v>
      </c>
      <c r="F161" s="8">
        <v>5.43</v>
      </c>
      <c r="G161" s="4">
        <v>11</v>
      </c>
      <c r="H161" s="8">
        <v>1.1200000000000001</v>
      </c>
      <c r="I161" s="4">
        <v>0</v>
      </c>
    </row>
    <row r="162" spans="1:9" x14ac:dyDescent="0.2">
      <c r="A162" s="2">
        <v>6</v>
      </c>
      <c r="B162" s="1" t="s">
        <v>124</v>
      </c>
      <c r="C162" s="4">
        <v>94</v>
      </c>
      <c r="D162" s="8">
        <v>3.11</v>
      </c>
      <c r="E162" s="4">
        <v>73</v>
      </c>
      <c r="F162" s="8">
        <v>3.6</v>
      </c>
      <c r="G162" s="4">
        <v>21</v>
      </c>
      <c r="H162" s="8">
        <v>2.13</v>
      </c>
      <c r="I162" s="4">
        <v>0</v>
      </c>
    </row>
    <row r="163" spans="1:9" x14ac:dyDescent="0.2">
      <c r="A163" s="2">
        <v>7</v>
      </c>
      <c r="B163" s="1" t="s">
        <v>141</v>
      </c>
      <c r="C163" s="4">
        <v>81</v>
      </c>
      <c r="D163" s="8">
        <v>2.68</v>
      </c>
      <c r="E163" s="4">
        <v>71</v>
      </c>
      <c r="F163" s="8">
        <v>3.5</v>
      </c>
      <c r="G163" s="4">
        <v>10</v>
      </c>
      <c r="H163" s="8">
        <v>1.02</v>
      </c>
      <c r="I163" s="4">
        <v>0</v>
      </c>
    </row>
    <row r="164" spans="1:9" x14ac:dyDescent="0.2">
      <c r="A164" s="2">
        <v>8</v>
      </c>
      <c r="B164" s="1" t="s">
        <v>123</v>
      </c>
      <c r="C164" s="4">
        <v>80</v>
      </c>
      <c r="D164" s="8">
        <v>2.65</v>
      </c>
      <c r="E164" s="4">
        <v>62</v>
      </c>
      <c r="F164" s="8">
        <v>3.06</v>
      </c>
      <c r="G164" s="4">
        <v>18</v>
      </c>
      <c r="H164" s="8">
        <v>1.83</v>
      </c>
      <c r="I164" s="4">
        <v>0</v>
      </c>
    </row>
    <row r="165" spans="1:9" x14ac:dyDescent="0.2">
      <c r="A165" s="2">
        <v>9</v>
      </c>
      <c r="B165" s="1" t="s">
        <v>135</v>
      </c>
      <c r="C165" s="4">
        <v>76</v>
      </c>
      <c r="D165" s="8">
        <v>2.5099999999999998</v>
      </c>
      <c r="E165" s="4">
        <v>75</v>
      </c>
      <c r="F165" s="8">
        <v>3.7</v>
      </c>
      <c r="G165" s="4">
        <v>1</v>
      </c>
      <c r="H165" s="8">
        <v>0.1</v>
      </c>
      <c r="I165" s="4">
        <v>0</v>
      </c>
    </row>
    <row r="166" spans="1:9" x14ac:dyDescent="0.2">
      <c r="A166" s="2">
        <v>10</v>
      </c>
      <c r="B166" s="1" t="s">
        <v>131</v>
      </c>
      <c r="C166" s="4">
        <v>64</v>
      </c>
      <c r="D166" s="8">
        <v>2.12</v>
      </c>
      <c r="E166" s="4">
        <v>59</v>
      </c>
      <c r="F166" s="8">
        <v>2.91</v>
      </c>
      <c r="G166" s="4">
        <v>5</v>
      </c>
      <c r="H166" s="8">
        <v>0.51</v>
      </c>
      <c r="I166" s="4">
        <v>0</v>
      </c>
    </row>
    <row r="167" spans="1:9" x14ac:dyDescent="0.2">
      <c r="A167" s="2">
        <v>11</v>
      </c>
      <c r="B167" s="1" t="s">
        <v>145</v>
      </c>
      <c r="C167" s="4">
        <v>60</v>
      </c>
      <c r="D167" s="8">
        <v>1.98</v>
      </c>
      <c r="E167" s="4">
        <v>5</v>
      </c>
      <c r="F167" s="8">
        <v>0.25</v>
      </c>
      <c r="G167" s="4">
        <v>55</v>
      </c>
      <c r="H167" s="8">
        <v>5.58</v>
      </c>
      <c r="I167" s="4">
        <v>0</v>
      </c>
    </row>
    <row r="168" spans="1:9" x14ac:dyDescent="0.2">
      <c r="A168" s="2">
        <v>12</v>
      </c>
      <c r="B168" s="1" t="s">
        <v>140</v>
      </c>
      <c r="C168" s="4">
        <v>59</v>
      </c>
      <c r="D168" s="8">
        <v>1.95</v>
      </c>
      <c r="E168" s="4">
        <v>50</v>
      </c>
      <c r="F168" s="8">
        <v>2.4700000000000002</v>
      </c>
      <c r="G168" s="4">
        <v>9</v>
      </c>
      <c r="H168" s="8">
        <v>0.91</v>
      </c>
      <c r="I168" s="4">
        <v>0</v>
      </c>
    </row>
    <row r="169" spans="1:9" x14ac:dyDescent="0.2">
      <c r="A169" s="2">
        <v>13</v>
      </c>
      <c r="B169" s="1" t="s">
        <v>126</v>
      </c>
      <c r="C169" s="4">
        <v>58</v>
      </c>
      <c r="D169" s="8">
        <v>1.92</v>
      </c>
      <c r="E169" s="4">
        <v>43</v>
      </c>
      <c r="F169" s="8">
        <v>2.12</v>
      </c>
      <c r="G169" s="4">
        <v>15</v>
      </c>
      <c r="H169" s="8">
        <v>1.52</v>
      </c>
      <c r="I169" s="4">
        <v>0</v>
      </c>
    </row>
    <row r="170" spans="1:9" x14ac:dyDescent="0.2">
      <c r="A170" s="2">
        <v>14</v>
      </c>
      <c r="B170" s="1" t="s">
        <v>138</v>
      </c>
      <c r="C170" s="4">
        <v>56</v>
      </c>
      <c r="D170" s="8">
        <v>1.85</v>
      </c>
      <c r="E170" s="4">
        <v>45</v>
      </c>
      <c r="F170" s="8">
        <v>2.2200000000000002</v>
      </c>
      <c r="G170" s="4">
        <v>11</v>
      </c>
      <c r="H170" s="8">
        <v>1.1200000000000001</v>
      </c>
      <c r="I170" s="4">
        <v>0</v>
      </c>
    </row>
    <row r="171" spans="1:9" x14ac:dyDescent="0.2">
      <c r="A171" s="2">
        <v>15</v>
      </c>
      <c r="B171" s="1" t="s">
        <v>137</v>
      </c>
      <c r="C171" s="4">
        <v>48</v>
      </c>
      <c r="D171" s="8">
        <v>1.59</v>
      </c>
      <c r="E171" s="4">
        <v>42</v>
      </c>
      <c r="F171" s="8">
        <v>2.0699999999999998</v>
      </c>
      <c r="G171" s="4">
        <v>6</v>
      </c>
      <c r="H171" s="8">
        <v>0.61</v>
      </c>
      <c r="I171" s="4">
        <v>0</v>
      </c>
    </row>
    <row r="172" spans="1:9" x14ac:dyDescent="0.2">
      <c r="A172" s="2">
        <v>16</v>
      </c>
      <c r="B172" s="1" t="s">
        <v>125</v>
      </c>
      <c r="C172" s="4">
        <v>47</v>
      </c>
      <c r="D172" s="8">
        <v>1.55</v>
      </c>
      <c r="E172" s="4">
        <v>25</v>
      </c>
      <c r="F172" s="8">
        <v>1.23</v>
      </c>
      <c r="G172" s="4">
        <v>22</v>
      </c>
      <c r="H172" s="8">
        <v>2.23</v>
      </c>
      <c r="I172" s="4">
        <v>0</v>
      </c>
    </row>
    <row r="173" spans="1:9" x14ac:dyDescent="0.2">
      <c r="A173" s="2">
        <v>17</v>
      </c>
      <c r="B173" s="1" t="s">
        <v>142</v>
      </c>
      <c r="C173" s="4">
        <v>46</v>
      </c>
      <c r="D173" s="8">
        <v>1.52</v>
      </c>
      <c r="E173" s="4">
        <v>42</v>
      </c>
      <c r="F173" s="8">
        <v>2.0699999999999998</v>
      </c>
      <c r="G173" s="4">
        <v>4</v>
      </c>
      <c r="H173" s="8">
        <v>0.41</v>
      </c>
      <c r="I173" s="4">
        <v>0</v>
      </c>
    </row>
    <row r="174" spans="1:9" x14ac:dyDescent="0.2">
      <c r="A174" s="2">
        <v>17</v>
      </c>
      <c r="B174" s="1" t="s">
        <v>134</v>
      </c>
      <c r="C174" s="4">
        <v>46</v>
      </c>
      <c r="D174" s="8">
        <v>1.52</v>
      </c>
      <c r="E174" s="4">
        <v>44</v>
      </c>
      <c r="F174" s="8">
        <v>2.17</v>
      </c>
      <c r="G174" s="4">
        <v>2</v>
      </c>
      <c r="H174" s="8">
        <v>0.2</v>
      </c>
      <c r="I174" s="4">
        <v>0</v>
      </c>
    </row>
    <row r="175" spans="1:9" x14ac:dyDescent="0.2">
      <c r="A175" s="2">
        <v>19</v>
      </c>
      <c r="B175" s="1" t="s">
        <v>129</v>
      </c>
      <c r="C175" s="4">
        <v>44</v>
      </c>
      <c r="D175" s="8">
        <v>1.46</v>
      </c>
      <c r="E175" s="4">
        <v>20</v>
      </c>
      <c r="F175" s="8">
        <v>0.99</v>
      </c>
      <c r="G175" s="4">
        <v>24</v>
      </c>
      <c r="H175" s="8">
        <v>2.44</v>
      </c>
      <c r="I175" s="4">
        <v>0</v>
      </c>
    </row>
    <row r="176" spans="1:9" x14ac:dyDescent="0.2">
      <c r="A176" s="2">
        <v>20</v>
      </c>
      <c r="B176" s="1" t="s">
        <v>146</v>
      </c>
      <c r="C176" s="4">
        <v>36</v>
      </c>
      <c r="D176" s="8">
        <v>1.19</v>
      </c>
      <c r="E176" s="4">
        <v>12</v>
      </c>
      <c r="F176" s="8">
        <v>0.59</v>
      </c>
      <c r="G176" s="4">
        <v>24</v>
      </c>
      <c r="H176" s="8">
        <v>2.44</v>
      </c>
      <c r="I176" s="4">
        <v>0</v>
      </c>
    </row>
    <row r="177" spans="1:9" x14ac:dyDescent="0.2">
      <c r="A177" s="1"/>
      <c r="C177" s="4"/>
      <c r="D177" s="8"/>
      <c r="E177" s="4"/>
      <c r="F177" s="8"/>
      <c r="G177" s="4"/>
      <c r="H177" s="8"/>
      <c r="I177" s="4"/>
    </row>
    <row r="178" spans="1:9" x14ac:dyDescent="0.2">
      <c r="A178" s="1" t="s">
        <v>8</v>
      </c>
      <c r="C178" s="4"/>
      <c r="D178" s="8"/>
      <c r="E178" s="4"/>
      <c r="F178" s="8"/>
      <c r="G178" s="4"/>
      <c r="H178" s="8"/>
      <c r="I178" s="4"/>
    </row>
    <row r="179" spans="1:9" x14ac:dyDescent="0.2">
      <c r="A179" s="2">
        <v>1</v>
      </c>
      <c r="B179" s="1" t="s">
        <v>128</v>
      </c>
      <c r="C179" s="4">
        <v>76</v>
      </c>
      <c r="D179" s="8">
        <v>6.19</v>
      </c>
      <c r="E179" s="4">
        <v>16</v>
      </c>
      <c r="F179" s="8">
        <v>2.58</v>
      </c>
      <c r="G179" s="4">
        <v>60</v>
      </c>
      <c r="H179" s="8">
        <v>9.98</v>
      </c>
      <c r="I179" s="4">
        <v>0</v>
      </c>
    </row>
    <row r="180" spans="1:9" x14ac:dyDescent="0.2">
      <c r="A180" s="2">
        <v>2</v>
      </c>
      <c r="B180" s="1" t="s">
        <v>139</v>
      </c>
      <c r="C180" s="4">
        <v>66</v>
      </c>
      <c r="D180" s="8">
        <v>5.38</v>
      </c>
      <c r="E180" s="4">
        <v>62</v>
      </c>
      <c r="F180" s="8">
        <v>9.98</v>
      </c>
      <c r="G180" s="4">
        <v>4</v>
      </c>
      <c r="H180" s="8">
        <v>0.67</v>
      </c>
      <c r="I180" s="4">
        <v>0</v>
      </c>
    </row>
    <row r="181" spans="1:9" x14ac:dyDescent="0.2">
      <c r="A181" s="2">
        <v>3</v>
      </c>
      <c r="B181" s="1" t="s">
        <v>136</v>
      </c>
      <c r="C181" s="4">
        <v>63</v>
      </c>
      <c r="D181" s="8">
        <v>5.13</v>
      </c>
      <c r="E181" s="4">
        <v>59</v>
      </c>
      <c r="F181" s="8">
        <v>9.5</v>
      </c>
      <c r="G181" s="4">
        <v>4</v>
      </c>
      <c r="H181" s="8">
        <v>0.67</v>
      </c>
      <c r="I181" s="4">
        <v>0</v>
      </c>
    </row>
    <row r="182" spans="1:9" x14ac:dyDescent="0.2">
      <c r="A182" s="2">
        <v>4</v>
      </c>
      <c r="B182" s="1" t="s">
        <v>135</v>
      </c>
      <c r="C182" s="4">
        <v>45</v>
      </c>
      <c r="D182" s="8">
        <v>3.67</v>
      </c>
      <c r="E182" s="4">
        <v>42</v>
      </c>
      <c r="F182" s="8">
        <v>6.76</v>
      </c>
      <c r="G182" s="4">
        <v>3</v>
      </c>
      <c r="H182" s="8">
        <v>0.5</v>
      </c>
      <c r="I182" s="4">
        <v>0</v>
      </c>
    </row>
    <row r="183" spans="1:9" x14ac:dyDescent="0.2">
      <c r="A183" s="2">
        <v>5</v>
      </c>
      <c r="B183" s="1" t="s">
        <v>141</v>
      </c>
      <c r="C183" s="4">
        <v>37</v>
      </c>
      <c r="D183" s="8">
        <v>3.02</v>
      </c>
      <c r="E183" s="4">
        <v>33</v>
      </c>
      <c r="F183" s="8">
        <v>5.31</v>
      </c>
      <c r="G183" s="4">
        <v>4</v>
      </c>
      <c r="H183" s="8">
        <v>0.67</v>
      </c>
      <c r="I183" s="4">
        <v>0</v>
      </c>
    </row>
    <row r="184" spans="1:9" x14ac:dyDescent="0.2">
      <c r="A184" s="2">
        <v>6</v>
      </c>
      <c r="B184" s="1" t="s">
        <v>124</v>
      </c>
      <c r="C184" s="4">
        <v>34</v>
      </c>
      <c r="D184" s="8">
        <v>2.77</v>
      </c>
      <c r="E184" s="4">
        <v>22</v>
      </c>
      <c r="F184" s="8">
        <v>3.54</v>
      </c>
      <c r="G184" s="4">
        <v>12</v>
      </c>
      <c r="H184" s="8">
        <v>2</v>
      </c>
      <c r="I184" s="4">
        <v>0</v>
      </c>
    </row>
    <row r="185" spans="1:9" x14ac:dyDescent="0.2">
      <c r="A185" s="2">
        <v>7</v>
      </c>
      <c r="B185" s="1" t="s">
        <v>151</v>
      </c>
      <c r="C185" s="4">
        <v>25</v>
      </c>
      <c r="D185" s="8">
        <v>2.04</v>
      </c>
      <c r="E185" s="4">
        <v>3</v>
      </c>
      <c r="F185" s="8">
        <v>0.48</v>
      </c>
      <c r="G185" s="4">
        <v>22</v>
      </c>
      <c r="H185" s="8">
        <v>3.66</v>
      </c>
      <c r="I185" s="4">
        <v>0</v>
      </c>
    </row>
    <row r="186" spans="1:9" x14ac:dyDescent="0.2">
      <c r="A186" s="2">
        <v>8</v>
      </c>
      <c r="B186" s="1" t="s">
        <v>123</v>
      </c>
      <c r="C186" s="4">
        <v>24</v>
      </c>
      <c r="D186" s="8">
        <v>1.96</v>
      </c>
      <c r="E186" s="4">
        <v>16</v>
      </c>
      <c r="F186" s="8">
        <v>2.58</v>
      </c>
      <c r="G186" s="4">
        <v>8</v>
      </c>
      <c r="H186" s="8">
        <v>1.33</v>
      </c>
      <c r="I186" s="4">
        <v>0</v>
      </c>
    </row>
    <row r="187" spans="1:9" x14ac:dyDescent="0.2">
      <c r="A187" s="2">
        <v>8</v>
      </c>
      <c r="B187" s="1" t="s">
        <v>138</v>
      </c>
      <c r="C187" s="4">
        <v>24</v>
      </c>
      <c r="D187" s="8">
        <v>1.96</v>
      </c>
      <c r="E187" s="4">
        <v>20</v>
      </c>
      <c r="F187" s="8">
        <v>3.22</v>
      </c>
      <c r="G187" s="4">
        <v>4</v>
      </c>
      <c r="H187" s="8">
        <v>0.67</v>
      </c>
      <c r="I187" s="4">
        <v>0</v>
      </c>
    </row>
    <row r="188" spans="1:9" x14ac:dyDescent="0.2">
      <c r="A188" s="2">
        <v>10</v>
      </c>
      <c r="B188" s="1" t="s">
        <v>122</v>
      </c>
      <c r="C188" s="4">
        <v>23</v>
      </c>
      <c r="D188" s="8">
        <v>1.87</v>
      </c>
      <c r="E188" s="4">
        <v>1</v>
      </c>
      <c r="F188" s="8">
        <v>0.16</v>
      </c>
      <c r="G188" s="4">
        <v>22</v>
      </c>
      <c r="H188" s="8">
        <v>3.66</v>
      </c>
      <c r="I188" s="4">
        <v>0</v>
      </c>
    </row>
    <row r="189" spans="1:9" x14ac:dyDescent="0.2">
      <c r="A189" s="2">
        <v>11</v>
      </c>
      <c r="B189" s="1" t="s">
        <v>140</v>
      </c>
      <c r="C189" s="4">
        <v>22</v>
      </c>
      <c r="D189" s="8">
        <v>1.79</v>
      </c>
      <c r="E189" s="4">
        <v>21</v>
      </c>
      <c r="F189" s="8">
        <v>3.38</v>
      </c>
      <c r="G189" s="4">
        <v>1</v>
      </c>
      <c r="H189" s="8">
        <v>0.17</v>
      </c>
      <c r="I189" s="4">
        <v>0</v>
      </c>
    </row>
    <row r="190" spans="1:9" x14ac:dyDescent="0.2">
      <c r="A190" s="2">
        <v>11</v>
      </c>
      <c r="B190" s="1" t="s">
        <v>152</v>
      </c>
      <c r="C190" s="4">
        <v>22</v>
      </c>
      <c r="D190" s="8">
        <v>1.79</v>
      </c>
      <c r="E190" s="4">
        <v>8</v>
      </c>
      <c r="F190" s="8">
        <v>1.29</v>
      </c>
      <c r="G190" s="4">
        <v>11</v>
      </c>
      <c r="H190" s="8">
        <v>1.83</v>
      </c>
      <c r="I190" s="4">
        <v>2</v>
      </c>
    </row>
    <row r="191" spans="1:9" x14ac:dyDescent="0.2">
      <c r="A191" s="2">
        <v>13</v>
      </c>
      <c r="B191" s="1" t="s">
        <v>146</v>
      </c>
      <c r="C191" s="4">
        <v>21</v>
      </c>
      <c r="D191" s="8">
        <v>1.71</v>
      </c>
      <c r="E191" s="4">
        <v>6</v>
      </c>
      <c r="F191" s="8">
        <v>0.97</v>
      </c>
      <c r="G191" s="4">
        <v>15</v>
      </c>
      <c r="H191" s="8">
        <v>2.5</v>
      </c>
      <c r="I191" s="4">
        <v>0</v>
      </c>
    </row>
    <row r="192" spans="1:9" x14ac:dyDescent="0.2">
      <c r="A192" s="2">
        <v>13</v>
      </c>
      <c r="B192" s="1" t="s">
        <v>145</v>
      </c>
      <c r="C192" s="4">
        <v>21</v>
      </c>
      <c r="D192" s="8">
        <v>1.71</v>
      </c>
      <c r="E192" s="4">
        <v>3</v>
      </c>
      <c r="F192" s="8">
        <v>0.48</v>
      </c>
      <c r="G192" s="4">
        <v>18</v>
      </c>
      <c r="H192" s="8">
        <v>3</v>
      </c>
      <c r="I192" s="4">
        <v>0</v>
      </c>
    </row>
    <row r="193" spans="1:9" x14ac:dyDescent="0.2">
      <c r="A193" s="2">
        <v>15</v>
      </c>
      <c r="B193" s="1" t="s">
        <v>137</v>
      </c>
      <c r="C193" s="4">
        <v>20</v>
      </c>
      <c r="D193" s="8">
        <v>1.63</v>
      </c>
      <c r="E193" s="4">
        <v>15</v>
      </c>
      <c r="F193" s="8">
        <v>2.42</v>
      </c>
      <c r="G193" s="4">
        <v>5</v>
      </c>
      <c r="H193" s="8">
        <v>0.83</v>
      </c>
      <c r="I193" s="4">
        <v>0</v>
      </c>
    </row>
    <row r="194" spans="1:9" x14ac:dyDescent="0.2">
      <c r="A194" s="2">
        <v>16</v>
      </c>
      <c r="B194" s="1" t="s">
        <v>131</v>
      </c>
      <c r="C194" s="4">
        <v>19</v>
      </c>
      <c r="D194" s="8">
        <v>1.55</v>
      </c>
      <c r="E194" s="4">
        <v>12</v>
      </c>
      <c r="F194" s="8">
        <v>1.93</v>
      </c>
      <c r="G194" s="4">
        <v>7</v>
      </c>
      <c r="H194" s="8">
        <v>1.1599999999999999</v>
      </c>
      <c r="I194" s="4">
        <v>0</v>
      </c>
    </row>
    <row r="195" spans="1:9" x14ac:dyDescent="0.2">
      <c r="A195" s="2">
        <v>17</v>
      </c>
      <c r="B195" s="1" t="s">
        <v>129</v>
      </c>
      <c r="C195" s="4">
        <v>18</v>
      </c>
      <c r="D195" s="8">
        <v>1.47</v>
      </c>
      <c r="E195" s="4">
        <v>9</v>
      </c>
      <c r="F195" s="8">
        <v>1.45</v>
      </c>
      <c r="G195" s="4">
        <v>9</v>
      </c>
      <c r="H195" s="8">
        <v>1.5</v>
      </c>
      <c r="I195" s="4">
        <v>0</v>
      </c>
    </row>
    <row r="196" spans="1:9" x14ac:dyDescent="0.2">
      <c r="A196" s="2">
        <v>18</v>
      </c>
      <c r="B196" s="1" t="s">
        <v>142</v>
      </c>
      <c r="C196" s="4">
        <v>17</v>
      </c>
      <c r="D196" s="8">
        <v>1.39</v>
      </c>
      <c r="E196" s="4">
        <v>5</v>
      </c>
      <c r="F196" s="8">
        <v>0.81</v>
      </c>
      <c r="G196" s="4">
        <v>12</v>
      </c>
      <c r="H196" s="8">
        <v>2</v>
      </c>
      <c r="I196" s="4">
        <v>0</v>
      </c>
    </row>
    <row r="197" spans="1:9" x14ac:dyDescent="0.2">
      <c r="A197" s="2">
        <v>18</v>
      </c>
      <c r="B197" s="1" t="s">
        <v>125</v>
      </c>
      <c r="C197" s="4">
        <v>17</v>
      </c>
      <c r="D197" s="8">
        <v>1.39</v>
      </c>
      <c r="E197" s="4">
        <v>7</v>
      </c>
      <c r="F197" s="8">
        <v>1.1299999999999999</v>
      </c>
      <c r="G197" s="4">
        <v>10</v>
      </c>
      <c r="H197" s="8">
        <v>1.66</v>
      </c>
      <c r="I197" s="4">
        <v>0</v>
      </c>
    </row>
    <row r="198" spans="1:9" x14ac:dyDescent="0.2">
      <c r="A198" s="2">
        <v>18</v>
      </c>
      <c r="B198" s="1" t="s">
        <v>154</v>
      </c>
      <c r="C198" s="4">
        <v>17</v>
      </c>
      <c r="D198" s="8">
        <v>1.39</v>
      </c>
      <c r="E198" s="4">
        <v>5</v>
      </c>
      <c r="F198" s="8">
        <v>0.81</v>
      </c>
      <c r="G198" s="4">
        <v>12</v>
      </c>
      <c r="H198" s="8">
        <v>2</v>
      </c>
      <c r="I198" s="4">
        <v>0</v>
      </c>
    </row>
    <row r="199" spans="1:9" x14ac:dyDescent="0.2">
      <c r="A199" s="1"/>
      <c r="C199" s="4"/>
      <c r="D199" s="8"/>
      <c r="E199" s="4"/>
      <c r="F199" s="8"/>
      <c r="G199" s="4"/>
      <c r="H199" s="8"/>
      <c r="I199" s="4"/>
    </row>
    <row r="200" spans="1:9" x14ac:dyDescent="0.2">
      <c r="A200" s="1" t="s">
        <v>9</v>
      </c>
      <c r="C200" s="4"/>
      <c r="D200" s="8"/>
      <c r="E200" s="4"/>
      <c r="F200" s="8"/>
      <c r="G200" s="4"/>
      <c r="H200" s="8"/>
      <c r="I200" s="4"/>
    </row>
    <row r="201" spans="1:9" x14ac:dyDescent="0.2">
      <c r="A201" s="2">
        <v>1</v>
      </c>
      <c r="B201" s="1" t="s">
        <v>128</v>
      </c>
      <c r="C201" s="4">
        <v>316</v>
      </c>
      <c r="D201" s="8">
        <v>12.25</v>
      </c>
      <c r="E201" s="4">
        <v>292</v>
      </c>
      <c r="F201" s="8">
        <v>15.03</v>
      </c>
      <c r="G201" s="4">
        <v>24</v>
      </c>
      <c r="H201" s="8">
        <v>3.92</v>
      </c>
      <c r="I201" s="4">
        <v>0</v>
      </c>
    </row>
    <row r="202" spans="1:9" x14ac:dyDescent="0.2">
      <c r="A202" s="2">
        <v>2</v>
      </c>
      <c r="B202" s="1" t="s">
        <v>133</v>
      </c>
      <c r="C202" s="4">
        <v>187</v>
      </c>
      <c r="D202" s="8">
        <v>7.25</v>
      </c>
      <c r="E202" s="4">
        <v>187</v>
      </c>
      <c r="F202" s="8">
        <v>9.6199999999999992</v>
      </c>
      <c r="G202" s="4">
        <v>0</v>
      </c>
      <c r="H202" s="8">
        <v>0</v>
      </c>
      <c r="I202" s="4">
        <v>0</v>
      </c>
    </row>
    <row r="203" spans="1:9" x14ac:dyDescent="0.2">
      <c r="A203" s="2">
        <v>3</v>
      </c>
      <c r="B203" s="1" t="s">
        <v>136</v>
      </c>
      <c r="C203" s="4">
        <v>149</v>
      </c>
      <c r="D203" s="8">
        <v>5.78</v>
      </c>
      <c r="E203" s="4">
        <v>142</v>
      </c>
      <c r="F203" s="8">
        <v>7.31</v>
      </c>
      <c r="G203" s="4">
        <v>7</v>
      </c>
      <c r="H203" s="8">
        <v>1.1399999999999999</v>
      </c>
      <c r="I203" s="4">
        <v>0</v>
      </c>
    </row>
    <row r="204" spans="1:9" x14ac:dyDescent="0.2">
      <c r="A204" s="2">
        <v>4</v>
      </c>
      <c r="B204" s="1" t="s">
        <v>132</v>
      </c>
      <c r="C204" s="4">
        <v>104</v>
      </c>
      <c r="D204" s="8">
        <v>4.03</v>
      </c>
      <c r="E204" s="4">
        <v>100</v>
      </c>
      <c r="F204" s="8">
        <v>5.15</v>
      </c>
      <c r="G204" s="4">
        <v>4</v>
      </c>
      <c r="H204" s="8">
        <v>0.65</v>
      </c>
      <c r="I204" s="4">
        <v>0</v>
      </c>
    </row>
    <row r="205" spans="1:9" x14ac:dyDescent="0.2">
      <c r="A205" s="2">
        <v>5</v>
      </c>
      <c r="B205" s="1" t="s">
        <v>135</v>
      </c>
      <c r="C205" s="4">
        <v>82</v>
      </c>
      <c r="D205" s="8">
        <v>3.18</v>
      </c>
      <c r="E205" s="4">
        <v>81</v>
      </c>
      <c r="F205" s="8">
        <v>4.17</v>
      </c>
      <c r="G205" s="4">
        <v>1</v>
      </c>
      <c r="H205" s="8">
        <v>0.16</v>
      </c>
      <c r="I205" s="4">
        <v>0</v>
      </c>
    </row>
    <row r="206" spans="1:9" x14ac:dyDescent="0.2">
      <c r="A206" s="2">
        <v>6</v>
      </c>
      <c r="B206" s="1" t="s">
        <v>141</v>
      </c>
      <c r="C206" s="4">
        <v>80</v>
      </c>
      <c r="D206" s="8">
        <v>3.1</v>
      </c>
      <c r="E206" s="4">
        <v>75</v>
      </c>
      <c r="F206" s="8">
        <v>3.86</v>
      </c>
      <c r="G206" s="4">
        <v>5</v>
      </c>
      <c r="H206" s="8">
        <v>0.82</v>
      </c>
      <c r="I206" s="4">
        <v>0</v>
      </c>
    </row>
    <row r="207" spans="1:9" x14ac:dyDescent="0.2">
      <c r="A207" s="2">
        <v>7</v>
      </c>
      <c r="B207" s="1" t="s">
        <v>139</v>
      </c>
      <c r="C207" s="4">
        <v>70</v>
      </c>
      <c r="D207" s="8">
        <v>2.71</v>
      </c>
      <c r="E207" s="4">
        <v>70</v>
      </c>
      <c r="F207" s="8">
        <v>3.6</v>
      </c>
      <c r="G207" s="4">
        <v>0</v>
      </c>
      <c r="H207" s="8">
        <v>0</v>
      </c>
      <c r="I207" s="4">
        <v>0</v>
      </c>
    </row>
    <row r="208" spans="1:9" x14ac:dyDescent="0.2">
      <c r="A208" s="2">
        <v>8</v>
      </c>
      <c r="B208" s="1" t="s">
        <v>123</v>
      </c>
      <c r="C208" s="4">
        <v>58</v>
      </c>
      <c r="D208" s="8">
        <v>2.25</v>
      </c>
      <c r="E208" s="4">
        <v>44</v>
      </c>
      <c r="F208" s="8">
        <v>2.2599999999999998</v>
      </c>
      <c r="G208" s="4">
        <v>13</v>
      </c>
      <c r="H208" s="8">
        <v>2.12</v>
      </c>
      <c r="I208" s="4">
        <v>1</v>
      </c>
    </row>
    <row r="209" spans="1:9" x14ac:dyDescent="0.2">
      <c r="A209" s="2">
        <v>9</v>
      </c>
      <c r="B209" s="1" t="s">
        <v>124</v>
      </c>
      <c r="C209" s="4">
        <v>54</v>
      </c>
      <c r="D209" s="8">
        <v>2.09</v>
      </c>
      <c r="E209" s="4">
        <v>46</v>
      </c>
      <c r="F209" s="8">
        <v>2.37</v>
      </c>
      <c r="G209" s="4">
        <v>8</v>
      </c>
      <c r="H209" s="8">
        <v>1.31</v>
      </c>
      <c r="I209" s="4">
        <v>0</v>
      </c>
    </row>
    <row r="210" spans="1:9" x14ac:dyDescent="0.2">
      <c r="A210" s="2">
        <v>10</v>
      </c>
      <c r="B210" s="1" t="s">
        <v>153</v>
      </c>
      <c r="C210" s="4">
        <v>43</v>
      </c>
      <c r="D210" s="8">
        <v>1.67</v>
      </c>
      <c r="E210" s="4">
        <v>42</v>
      </c>
      <c r="F210" s="8">
        <v>2.16</v>
      </c>
      <c r="G210" s="4">
        <v>1</v>
      </c>
      <c r="H210" s="8">
        <v>0.16</v>
      </c>
      <c r="I210" s="4">
        <v>0</v>
      </c>
    </row>
    <row r="211" spans="1:9" x14ac:dyDescent="0.2">
      <c r="A211" s="2">
        <v>11</v>
      </c>
      <c r="B211" s="1" t="s">
        <v>137</v>
      </c>
      <c r="C211" s="4">
        <v>39</v>
      </c>
      <c r="D211" s="8">
        <v>1.51</v>
      </c>
      <c r="E211" s="4">
        <v>32</v>
      </c>
      <c r="F211" s="8">
        <v>1.65</v>
      </c>
      <c r="G211" s="4">
        <v>7</v>
      </c>
      <c r="H211" s="8">
        <v>1.1399999999999999</v>
      </c>
      <c r="I211" s="4">
        <v>0</v>
      </c>
    </row>
    <row r="212" spans="1:9" x14ac:dyDescent="0.2">
      <c r="A212" s="2">
        <v>11</v>
      </c>
      <c r="B212" s="1" t="s">
        <v>138</v>
      </c>
      <c r="C212" s="4">
        <v>39</v>
      </c>
      <c r="D212" s="8">
        <v>1.51</v>
      </c>
      <c r="E212" s="4">
        <v>33</v>
      </c>
      <c r="F212" s="8">
        <v>1.7</v>
      </c>
      <c r="G212" s="4">
        <v>6</v>
      </c>
      <c r="H212" s="8">
        <v>0.98</v>
      </c>
      <c r="I212" s="4">
        <v>0</v>
      </c>
    </row>
    <row r="213" spans="1:9" x14ac:dyDescent="0.2">
      <c r="A213" s="2">
        <v>13</v>
      </c>
      <c r="B213" s="1" t="s">
        <v>126</v>
      </c>
      <c r="C213" s="4">
        <v>37</v>
      </c>
      <c r="D213" s="8">
        <v>1.43</v>
      </c>
      <c r="E213" s="4">
        <v>34</v>
      </c>
      <c r="F213" s="8">
        <v>1.75</v>
      </c>
      <c r="G213" s="4">
        <v>3</v>
      </c>
      <c r="H213" s="8">
        <v>0.49</v>
      </c>
      <c r="I213" s="4">
        <v>0</v>
      </c>
    </row>
    <row r="214" spans="1:9" x14ac:dyDescent="0.2">
      <c r="A214" s="2">
        <v>14</v>
      </c>
      <c r="B214" s="1" t="s">
        <v>151</v>
      </c>
      <c r="C214" s="4">
        <v>36</v>
      </c>
      <c r="D214" s="8">
        <v>1.4</v>
      </c>
      <c r="E214" s="4">
        <v>13</v>
      </c>
      <c r="F214" s="8">
        <v>0.67</v>
      </c>
      <c r="G214" s="4">
        <v>23</v>
      </c>
      <c r="H214" s="8">
        <v>3.76</v>
      </c>
      <c r="I214" s="4">
        <v>0</v>
      </c>
    </row>
    <row r="215" spans="1:9" x14ac:dyDescent="0.2">
      <c r="A215" s="2">
        <v>15</v>
      </c>
      <c r="B215" s="1" t="s">
        <v>129</v>
      </c>
      <c r="C215" s="4">
        <v>35</v>
      </c>
      <c r="D215" s="8">
        <v>1.36</v>
      </c>
      <c r="E215" s="4">
        <v>22</v>
      </c>
      <c r="F215" s="8">
        <v>1.1299999999999999</v>
      </c>
      <c r="G215" s="4">
        <v>12</v>
      </c>
      <c r="H215" s="8">
        <v>1.96</v>
      </c>
      <c r="I215" s="4">
        <v>0</v>
      </c>
    </row>
    <row r="216" spans="1:9" x14ac:dyDescent="0.2">
      <c r="A216" s="2">
        <v>16</v>
      </c>
      <c r="B216" s="1" t="s">
        <v>147</v>
      </c>
      <c r="C216" s="4">
        <v>34</v>
      </c>
      <c r="D216" s="8">
        <v>1.32</v>
      </c>
      <c r="E216" s="4">
        <v>12</v>
      </c>
      <c r="F216" s="8">
        <v>0.62</v>
      </c>
      <c r="G216" s="4">
        <v>21</v>
      </c>
      <c r="H216" s="8">
        <v>3.43</v>
      </c>
      <c r="I216" s="4">
        <v>1</v>
      </c>
    </row>
    <row r="217" spans="1:9" x14ac:dyDescent="0.2">
      <c r="A217" s="2">
        <v>17</v>
      </c>
      <c r="B217" s="1" t="s">
        <v>146</v>
      </c>
      <c r="C217" s="4">
        <v>33</v>
      </c>
      <c r="D217" s="8">
        <v>1.28</v>
      </c>
      <c r="E217" s="4">
        <v>14</v>
      </c>
      <c r="F217" s="8">
        <v>0.72</v>
      </c>
      <c r="G217" s="4">
        <v>19</v>
      </c>
      <c r="H217" s="8">
        <v>3.1</v>
      </c>
      <c r="I217" s="4">
        <v>0</v>
      </c>
    </row>
    <row r="218" spans="1:9" x14ac:dyDescent="0.2">
      <c r="A218" s="2">
        <v>18</v>
      </c>
      <c r="B218" s="1" t="s">
        <v>144</v>
      </c>
      <c r="C218" s="4">
        <v>32</v>
      </c>
      <c r="D218" s="8">
        <v>1.24</v>
      </c>
      <c r="E218" s="4">
        <v>29</v>
      </c>
      <c r="F218" s="8">
        <v>1.49</v>
      </c>
      <c r="G218" s="4">
        <v>3</v>
      </c>
      <c r="H218" s="8">
        <v>0.49</v>
      </c>
      <c r="I218" s="4">
        <v>0</v>
      </c>
    </row>
    <row r="219" spans="1:9" x14ac:dyDescent="0.2">
      <c r="A219" s="2">
        <v>18</v>
      </c>
      <c r="B219" s="1" t="s">
        <v>127</v>
      </c>
      <c r="C219" s="4">
        <v>32</v>
      </c>
      <c r="D219" s="8">
        <v>1.24</v>
      </c>
      <c r="E219" s="4">
        <v>22</v>
      </c>
      <c r="F219" s="8">
        <v>1.1299999999999999</v>
      </c>
      <c r="G219" s="4">
        <v>10</v>
      </c>
      <c r="H219" s="8">
        <v>1.63</v>
      </c>
      <c r="I219" s="4">
        <v>0</v>
      </c>
    </row>
    <row r="220" spans="1:9" x14ac:dyDescent="0.2">
      <c r="A220" s="2">
        <v>18</v>
      </c>
      <c r="B220" s="1" t="s">
        <v>131</v>
      </c>
      <c r="C220" s="4">
        <v>32</v>
      </c>
      <c r="D220" s="8">
        <v>1.24</v>
      </c>
      <c r="E220" s="4">
        <v>31</v>
      </c>
      <c r="F220" s="8">
        <v>1.6</v>
      </c>
      <c r="G220" s="4">
        <v>1</v>
      </c>
      <c r="H220" s="8">
        <v>0.16</v>
      </c>
      <c r="I220" s="4">
        <v>0</v>
      </c>
    </row>
    <row r="221" spans="1:9" x14ac:dyDescent="0.2">
      <c r="A221" s="2">
        <v>18</v>
      </c>
      <c r="B221" s="1" t="s">
        <v>140</v>
      </c>
      <c r="C221" s="4">
        <v>32</v>
      </c>
      <c r="D221" s="8">
        <v>1.24</v>
      </c>
      <c r="E221" s="4">
        <v>30</v>
      </c>
      <c r="F221" s="8">
        <v>1.54</v>
      </c>
      <c r="G221" s="4">
        <v>2</v>
      </c>
      <c r="H221" s="8">
        <v>0.33</v>
      </c>
      <c r="I221" s="4">
        <v>0</v>
      </c>
    </row>
    <row r="222" spans="1:9" x14ac:dyDescent="0.2">
      <c r="A222" s="1"/>
      <c r="C222" s="4"/>
      <c r="D222" s="8"/>
      <c r="E222" s="4"/>
      <c r="F222" s="8"/>
      <c r="G222" s="4"/>
      <c r="H222" s="8"/>
      <c r="I222" s="4"/>
    </row>
    <row r="223" spans="1:9" x14ac:dyDescent="0.2">
      <c r="A223" s="1" t="s">
        <v>10</v>
      </c>
      <c r="C223" s="4"/>
      <c r="D223" s="8"/>
      <c r="E223" s="4"/>
      <c r="F223" s="8"/>
      <c r="G223" s="4"/>
      <c r="H223" s="8"/>
      <c r="I223" s="4"/>
    </row>
    <row r="224" spans="1:9" x14ac:dyDescent="0.2">
      <c r="A224" s="2">
        <v>1</v>
      </c>
      <c r="B224" s="1" t="s">
        <v>136</v>
      </c>
      <c r="C224" s="4">
        <v>103</v>
      </c>
      <c r="D224" s="8">
        <v>5.38</v>
      </c>
      <c r="E224" s="4">
        <v>102</v>
      </c>
      <c r="F224" s="8">
        <v>7.35</v>
      </c>
      <c r="G224" s="4">
        <v>1</v>
      </c>
      <c r="H224" s="8">
        <v>0.2</v>
      </c>
      <c r="I224" s="4">
        <v>0</v>
      </c>
    </row>
    <row r="225" spans="1:9" x14ac:dyDescent="0.2">
      <c r="A225" s="2">
        <v>2</v>
      </c>
      <c r="B225" s="1" t="s">
        <v>133</v>
      </c>
      <c r="C225" s="4">
        <v>86</v>
      </c>
      <c r="D225" s="8">
        <v>4.5</v>
      </c>
      <c r="E225" s="4">
        <v>83</v>
      </c>
      <c r="F225" s="8">
        <v>5.98</v>
      </c>
      <c r="G225" s="4">
        <v>3</v>
      </c>
      <c r="H225" s="8">
        <v>0.59</v>
      </c>
      <c r="I225" s="4">
        <v>0</v>
      </c>
    </row>
    <row r="226" spans="1:9" x14ac:dyDescent="0.2">
      <c r="A226" s="2">
        <v>3</v>
      </c>
      <c r="B226" s="1" t="s">
        <v>122</v>
      </c>
      <c r="C226" s="4">
        <v>75</v>
      </c>
      <c r="D226" s="8">
        <v>3.92</v>
      </c>
      <c r="E226" s="4">
        <v>6</v>
      </c>
      <c r="F226" s="8">
        <v>0.43</v>
      </c>
      <c r="G226" s="4">
        <v>69</v>
      </c>
      <c r="H226" s="8">
        <v>13.58</v>
      </c>
      <c r="I226" s="4">
        <v>0</v>
      </c>
    </row>
    <row r="227" spans="1:9" x14ac:dyDescent="0.2">
      <c r="A227" s="2">
        <v>4</v>
      </c>
      <c r="B227" s="1" t="s">
        <v>128</v>
      </c>
      <c r="C227" s="4">
        <v>74</v>
      </c>
      <c r="D227" s="8">
        <v>3.87</v>
      </c>
      <c r="E227" s="4">
        <v>54</v>
      </c>
      <c r="F227" s="8">
        <v>3.89</v>
      </c>
      <c r="G227" s="4">
        <v>19</v>
      </c>
      <c r="H227" s="8">
        <v>3.74</v>
      </c>
      <c r="I227" s="4">
        <v>0</v>
      </c>
    </row>
    <row r="228" spans="1:9" x14ac:dyDescent="0.2">
      <c r="A228" s="2">
        <v>5</v>
      </c>
      <c r="B228" s="1" t="s">
        <v>132</v>
      </c>
      <c r="C228" s="4">
        <v>64</v>
      </c>
      <c r="D228" s="8">
        <v>3.35</v>
      </c>
      <c r="E228" s="4">
        <v>59</v>
      </c>
      <c r="F228" s="8">
        <v>4.25</v>
      </c>
      <c r="G228" s="4">
        <v>5</v>
      </c>
      <c r="H228" s="8">
        <v>0.98</v>
      </c>
      <c r="I228" s="4">
        <v>0</v>
      </c>
    </row>
    <row r="229" spans="1:9" x14ac:dyDescent="0.2">
      <c r="A229" s="2">
        <v>6</v>
      </c>
      <c r="B229" s="1" t="s">
        <v>139</v>
      </c>
      <c r="C229" s="4">
        <v>63</v>
      </c>
      <c r="D229" s="8">
        <v>3.29</v>
      </c>
      <c r="E229" s="4">
        <v>57</v>
      </c>
      <c r="F229" s="8">
        <v>4.1100000000000003</v>
      </c>
      <c r="G229" s="4">
        <v>6</v>
      </c>
      <c r="H229" s="8">
        <v>1.18</v>
      </c>
      <c r="I229" s="4">
        <v>0</v>
      </c>
    </row>
    <row r="230" spans="1:9" x14ac:dyDescent="0.2">
      <c r="A230" s="2">
        <v>7</v>
      </c>
      <c r="B230" s="1" t="s">
        <v>130</v>
      </c>
      <c r="C230" s="4">
        <v>62</v>
      </c>
      <c r="D230" s="8">
        <v>3.24</v>
      </c>
      <c r="E230" s="4">
        <v>52</v>
      </c>
      <c r="F230" s="8">
        <v>3.75</v>
      </c>
      <c r="G230" s="4">
        <v>10</v>
      </c>
      <c r="H230" s="8">
        <v>1.97</v>
      </c>
      <c r="I230" s="4">
        <v>0</v>
      </c>
    </row>
    <row r="231" spans="1:9" x14ac:dyDescent="0.2">
      <c r="A231" s="2">
        <v>8</v>
      </c>
      <c r="B231" s="1" t="s">
        <v>123</v>
      </c>
      <c r="C231" s="4">
        <v>60</v>
      </c>
      <c r="D231" s="8">
        <v>3.14</v>
      </c>
      <c r="E231" s="4">
        <v>53</v>
      </c>
      <c r="F231" s="8">
        <v>3.82</v>
      </c>
      <c r="G231" s="4">
        <v>7</v>
      </c>
      <c r="H231" s="8">
        <v>1.38</v>
      </c>
      <c r="I231" s="4">
        <v>0</v>
      </c>
    </row>
    <row r="232" spans="1:9" x14ac:dyDescent="0.2">
      <c r="A232" s="2">
        <v>9</v>
      </c>
      <c r="B232" s="1" t="s">
        <v>150</v>
      </c>
      <c r="C232" s="4">
        <v>51</v>
      </c>
      <c r="D232" s="8">
        <v>2.67</v>
      </c>
      <c r="E232" s="4">
        <v>37</v>
      </c>
      <c r="F232" s="8">
        <v>2.67</v>
      </c>
      <c r="G232" s="4">
        <v>14</v>
      </c>
      <c r="H232" s="8">
        <v>2.76</v>
      </c>
      <c r="I232" s="4">
        <v>0</v>
      </c>
    </row>
    <row r="233" spans="1:9" x14ac:dyDescent="0.2">
      <c r="A233" s="2">
        <v>10</v>
      </c>
      <c r="B233" s="1" t="s">
        <v>141</v>
      </c>
      <c r="C233" s="4">
        <v>48</v>
      </c>
      <c r="D233" s="8">
        <v>2.5099999999999998</v>
      </c>
      <c r="E233" s="4">
        <v>45</v>
      </c>
      <c r="F233" s="8">
        <v>3.24</v>
      </c>
      <c r="G233" s="4">
        <v>3</v>
      </c>
      <c r="H233" s="8">
        <v>0.59</v>
      </c>
      <c r="I233" s="4">
        <v>0</v>
      </c>
    </row>
    <row r="234" spans="1:9" x14ac:dyDescent="0.2">
      <c r="A234" s="2">
        <v>11</v>
      </c>
      <c r="B234" s="1" t="s">
        <v>134</v>
      </c>
      <c r="C234" s="4">
        <v>47</v>
      </c>
      <c r="D234" s="8">
        <v>2.46</v>
      </c>
      <c r="E234" s="4">
        <v>46</v>
      </c>
      <c r="F234" s="8">
        <v>3.32</v>
      </c>
      <c r="G234" s="4">
        <v>1</v>
      </c>
      <c r="H234" s="8">
        <v>0.2</v>
      </c>
      <c r="I234" s="4">
        <v>0</v>
      </c>
    </row>
    <row r="235" spans="1:9" x14ac:dyDescent="0.2">
      <c r="A235" s="2">
        <v>11</v>
      </c>
      <c r="B235" s="1" t="s">
        <v>135</v>
      </c>
      <c r="C235" s="4">
        <v>47</v>
      </c>
      <c r="D235" s="8">
        <v>2.46</v>
      </c>
      <c r="E235" s="4">
        <v>47</v>
      </c>
      <c r="F235" s="8">
        <v>3.39</v>
      </c>
      <c r="G235" s="4">
        <v>0</v>
      </c>
      <c r="H235" s="8">
        <v>0</v>
      </c>
      <c r="I235" s="4">
        <v>0</v>
      </c>
    </row>
    <row r="236" spans="1:9" x14ac:dyDescent="0.2">
      <c r="A236" s="2">
        <v>13</v>
      </c>
      <c r="B236" s="1" t="s">
        <v>149</v>
      </c>
      <c r="C236" s="4">
        <v>45</v>
      </c>
      <c r="D236" s="8">
        <v>2.35</v>
      </c>
      <c r="E236" s="4">
        <v>43</v>
      </c>
      <c r="F236" s="8">
        <v>3.1</v>
      </c>
      <c r="G236" s="4">
        <v>2</v>
      </c>
      <c r="H236" s="8">
        <v>0.39</v>
      </c>
      <c r="I236" s="4">
        <v>0</v>
      </c>
    </row>
    <row r="237" spans="1:9" x14ac:dyDescent="0.2">
      <c r="A237" s="2">
        <v>14</v>
      </c>
      <c r="B237" s="1" t="s">
        <v>155</v>
      </c>
      <c r="C237" s="4">
        <v>37</v>
      </c>
      <c r="D237" s="8">
        <v>1.93</v>
      </c>
      <c r="E237" s="4">
        <v>34</v>
      </c>
      <c r="F237" s="8">
        <v>2.4500000000000002</v>
      </c>
      <c r="G237" s="4">
        <v>3</v>
      </c>
      <c r="H237" s="8">
        <v>0.59</v>
      </c>
      <c r="I237" s="4">
        <v>0</v>
      </c>
    </row>
    <row r="238" spans="1:9" x14ac:dyDescent="0.2">
      <c r="A238" s="2">
        <v>14</v>
      </c>
      <c r="B238" s="1" t="s">
        <v>131</v>
      </c>
      <c r="C238" s="4">
        <v>37</v>
      </c>
      <c r="D238" s="8">
        <v>1.93</v>
      </c>
      <c r="E238" s="4">
        <v>32</v>
      </c>
      <c r="F238" s="8">
        <v>2.31</v>
      </c>
      <c r="G238" s="4">
        <v>5</v>
      </c>
      <c r="H238" s="8">
        <v>0.98</v>
      </c>
      <c r="I238" s="4">
        <v>0</v>
      </c>
    </row>
    <row r="239" spans="1:9" x14ac:dyDescent="0.2">
      <c r="A239" s="2">
        <v>16</v>
      </c>
      <c r="B239" s="1" t="s">
        <v>126</v>
      </c>
      <c r="C239" s="4">
        <v>30</v>
      </c>
      <c r="D239" s="8">
        <v>1.57</v>
      </c>
      <c r="E239" s="4">
        <v>25</v>
      </c>
      <c r="F239" s="8">
        <v>1.8</v>
      </c>
      <c r="G239" s="4">
        <v>5</v>
      </c>
      <c r="H239" s="8">
        <v>0.98</v>
      </c>
      <c r="I239" s="4">
        <v>0</v>
      </c>
    </row>
    <row r="240" spans="1:9" x14ac:dyDescent="0.2">
      <c r="A240" s="2">
        <v>17</v>
      </c>
      <c r="B240" s="1" t="s">
        <v>142</v>
      </c>
      <c r="C240" s="4">
        <v>28</v>
      </c>
      <c r="D240" s="8">
        <v>1.46</v>
      </c>
      <c r="E240" s="4">
        <v>28</v>
      </c>
      <c r="F240" s="8">
        <v>2.02</v>
      </c>
      <c r="G240" s="4">
        <v>0</v>
      </c>
      <c r="H240" s="8">
        <v>0</v>
      </c>
      <c r="I240" s="4">
        <v>0</v>
      </c>
    </row>
    <row r="241" spans="1:9" x14ac:dyDescent="0.2">
      <c r="A241" s="2">
        <v>17</v>
      </c>
      <c r="B241" s="1" t="s">
        <v>129</v>
      </c>
      <c r="C241" s="4">
        <v>28</v>
      </c>
      <c r="D241" s="8">
        <v>1.46</v>
      </c>
      <c r="E241" s="4">
        <v>17</v>
      </c>
      <c r="F241" s="8">
        <v>1.23</v>
      </c>
      <c r="G241" s="4">
        <v>11</v>
      </c>
      <c r="H241" s="8">
        <v>2.17</v>
      </c>
      <c r="I241" s="4">
        <v>0</v>
      </c>
    </row>
    <row r="242" spans="1:9" x14ac:dyDescent="0.2">
      <c r="A242" s="2">
        <v>19</v>
      </c>
      <c r="B242" s="1" t="s">
        <v>146</v>
      </c>
      <c r="C242" s="4">
        <v>26</v>
      </c>
      <c r="D242" s="8">
        <v>1.36</v>
      </c>
      <c r="E242" s="4">
        <v>14</v>
      </c>
      <c r="F242" s="8">
        <v>1.01</v>
      </c>
      <c r="G242" s="4">
        <v>12</v>
      </c>
      <c r="H242" s="8">
        <v>2.36</v>
      </c>
      <c r="I242" s="4">
        <v>0</v>
      </c>
    </row>
    <row r="243" spans="1:9" x14ac:dyDescent="0.2">
      <c r="A243" s="2">
        <v>19</v>
      </c>
      <c r="B243" s="1" t="s">
        <v>156</v>
      </c>
      <c r="C243" s="4">
        <v>26</v>
      </c>
      <c r="D243" s="8">
        <v>1.36</v>
      </c>
      <c r="E243" s="4">
        <v>24</v>
      </c>
      <c r="F243" s="8">
        <v>1.73</v>
      </c>
      <c r="G243" s="4">
        <v>2</v>
      </c>
      <c r="H243" s="8">
        <v>0.39</v>
      </c>
      <c r="I243" s="4">
        <v>0</v>
      </c>
    </row>
    <row r="244" spans="1:9" x14ac:dyDescent="0.2">
      <c r="A244" s="1"/>
      <c r="C244" s="4"/>
      <c r="D244" s="8"/>
      <c r="E244" s="4"/>
      <c r="F244" s="8"/>
      <c r="G244" s="4"/>
      <c r="H244" s="8"/>
      <c r="I244" s="4"/>
    </row>
    <row r="245" spans="1:9" x14ac:dyDescent="0.2">
      <c r="A245" s="1" t="s">
        <v>11</v>
      </c>
      <c r="C245" s="4"/>
      <c r="D245" s="8"/>
      <c r="E245" s="4"/>
      <c r="F245" s="8"/>
      <c r="G245" s="4"/>
      <c r="H245" s="8"/>
      <c r="I245" s="4"/>
    </row>
    <row r="246" spans="1:9" x14ac:dyDescent="0.2">
      <c r="A246" s="2">
        <v>1</v>
      </c>
      <c r="B246" s="1" t="s">
        <v>153</v>
      </c>
      <c r="C246" s="4">
        <v>53</v>
      </c>
      <c r="D246" s="8">
        <v>5.55</v>
      </c>
      <c r="E246" s="4">
        <v>53</v>
      </c>
      <c r="F246" s="8">
        <v>7.91</v>
      </c>
      <c r="G246" s="4">
        <v>0</v>
      </c>
      <c r="H246" s="8">
        <v>0</v>
      </c>
      <c r="I246" s="4">
        <v>0</v>
      </c>
    </row>
    <row r="247" spans="1:9" x14ac:dyDescent="0.2">
      <c r="A247" s="2">
        <v>2</v>
      </c>
      <c r="B247" s="1" t="s">
        <v>136</v>
      </c>
      <c r="C247" s="4">
        <v>42</v>
      </c>
      <c r="D247" s="8">
        <v>4.4000000000000004</v>
      </c>
      <c r="E247" s="4">
        <v>39</v>
      </c>
      <c r="F247" s="8">
        <v>5.82</v>
      </c>
      <c r="G247" s="4">
        <v>3</v>
      </c>
      <c r="H247" s="8">
        <v>1.07</v>
      </c>
      <c r="I247" s="4">
        <v>0</v>
      </c>
    </row>
    <row r="248" spans="1:9" x14ac:dyDescent="0.2">
      <c r="A248" s="2">
        <v>3</v>
      </c>
      <c r="B248" s="1" t="s">
        <v>139</v>
      </c>
      <c r="C248" s="4">
        <v>41</v>
      </c>
      <c r="D248" s="8">
        <v>4.29</v>
      </c>
      <c r="E248" s="4">
        <v>39</v>
      </c>
      <c r="F248" s="8">
        <v>5.82</v>
      </c>
      <c r="G248" s="4">
        <v>1</v>
      </c>
      <c r="H248" s="8">
        <v>0.36</v>
      </c>
      <c r="I248" s="4">
        <v>1</v>
      </c>
    </row>
    <row r="249" spans="1:9" x14ac:dyDescent="0.2">
      <c r="A249" s="2">
        <v>4</v>
      </c>
      <c r="B249" s="1" t="s">
        <v>141</v>
      </c>
      <c r="C249" s="4">
        <v>37</v>
      </c>
      <c r="D249" s="8">
        <v>3.87</v>
      </c>
      <c r="E249" s="4">
        <v>32</v>
      </c>
      <c r="F249" s="8">
        <v>4.78</v>
      </c>
      <c r="G249" s="4">
        <v>5</v>
      </c>
      <c r="H249" s="8">
        <v>1.78</v>
      </c>
      <c r="I249" s="4">
        <v>0</v>
      </c>
    </row>
    <row r="250" spans="1:9" x14ac:dyDescent="0.2">
      <c r="A250" s="2">
        <v>5</v>
      </c>
      <c r="B250" s="1" t="s">
        <v>135</v>
      </c>
      <c r="C250" s="4">
        <v>32</v>
      </c>
      <c r="D250" s="8">
        <v>3.35</v>
      </c>
      <c r="E250" s="4">
        <v>31</v>
      </c>
      <c r="F250" s="8">
        <v>4.63</v>
      </c>
      <c r="G250" s="4">
        <v>1</v>
      </c>
      <c r="H250" s="8">
        <v>0.36</v>
      </c>
      <c r="I250" s="4">
        <v>0</v>
      </c>
    </row>
    <row r="251" spans="1:9" x14ac:dyDescent="0.2">
      <c r="A251" s="2">
        <v>6</v>
      </c>
      <c r="B251" s="1" t="s">
        <v>122</v>
      </c>
      <c r="C251" s="4">
        <v>31</v>
      </c>
      <c r="D251" s="8">
        <v>3.25</v>
      </c>
      <c r="E251" s="4">
        <v>4</v>
      </c>
      <c r="F251" s="8">
        <v>0.6</v>
      </c>
      <c r="G251" s="4">
        <v>27</v>
      </c>
      <c r="H251" s="8">
        <v>9.61</v>
      </c>
      <c r="I251" s="4">
        <v>0</v>
      </c>
    </row>
    <row r="252" spans="1:9" x14ac:dyDescent="0.2">
      <c r="A252" s="2">
        <v>7</v>
      </c>
      <c r="B252" s="1" t="s">
        <v>132</v>
      </c>
      <c r="C252" s="4">
        <v>30</v>
      </c>
      <c r="D252" s="8">
        <v>3.14</v>
      </c>
      <c r="E252" s="4">
        <v>29</v>
      </c>
      <c r="F252" s="8">
        <v>4.33</v>
      </c>
      <c r="G252" s="4">
        <v>1</v>
      </c>
      <c r="H252" s="8">
        <v>0.36</v>
      </c>
      <c r="I252" s="4">
        <v>0</v>
      </c>
    </row>
    <row r="253" spans="1:9" x14ac:dyDescent="0.2">
      <c r="A253" s="2">
        <v>8</v>
      </c>
      <c r="B253" s="1" t="s">
        <v>157</v>
      </c>
      <c r="C253" s="4">
        <v>26</v>
      </c>
      <c r="D253" s="8">
        <v>2.72</v>
      </c>
      <c r="E253" s="4">
        <v>25</v>
      </c>
      <c r="F253" s="8">
        <v>3.73</v>
      </c>
      <c r="G253" s="4">
        <v>1</v>
      </c>
      <c r="H253" s="8">
        <v>0.36</v>
      </c>
      <c r="I253" s="4">
        <v>0</v>
      </c>
    </row>
    <row r="254" spans="1:9" x14ac:dyDescent="0.2">
      <c r="A254" s="2">
        <v>8</v>
      </c>
      <c r="B254" s="1" t="s">
        <v>123</v>
      </c>
      <c r="C254" s="4">
        <v>26</v>
      </c>
      <c r="D254" s="8">
        <v>2.72</v>
      </c>
      <c r="E254" s="4">
        <v>23</v>
      </c>
      <c r="F254" s="8">
        <v>3.43</v>
      </c>
      <c r="G254" s="4">
        <v>3</v>
      </c>
      <c r="H254" s="8">
        <v>1.07</v>
      </c>
      <c r="I254" s="4">
        <v>0</v>
      </c>
    </row>
    <row r="255" spans="1:9" x14ac:dyDescent="0.2">
      <c r="A255" s="2">
        <v>10</v>
      </c>
      <c r="B255" s="1" t="s">
        <v>131</v>
      </c>
      <c r="C255" s="4">
        <v>25</v>
      </c>
      <c r="D255" s="8">
        <v>2.62</v>
      </c>
      <c r="E255" s="4">
        <v>24</v>
      </c>
      <c r="F255" s="8">
        <v>3.58</v>
      </c>
      <c r="G255" s="4">
        <v>1</v>
      </c>
      <c r="H255" s="8">
        <v>0.36</v>
      </c>
      <c r="I255" s="4">
        <v>0</v>
      </c>
    </row>
    <row r="256" spans="1:9" x14ac:dyDescent="0.2">
      <c r="A256" s="2">
        <v>11</v>
      </c>
      <c r="B256" s="1" t="s">
        <v>146</v>
      </c>
      <c r="C256" s="4">
        <v>23</v>
      </c>
      <c r="D256" s="8">
        <v>2.41</v>
      </c>
      <c r="E256" s="4">
        <v>12</v>
      </c>
      <c r="F256" s="8">
        <v>1.79</v>
      </c>
      <c r="G256" s="4">
        <v>11</v>
      </c>
      <c r="H256" s="8">
        <v>3.91</v>
      </c>
      <c r="I256" s="4">
        <v>0</v>
      </c>
    </row>
    <row r="257" spans="1:9" x14ac:dyDescent="0.2">
      <c r="A257" s="2">
        <v>11</v>
      </c>
      <c r="B257" s="1" t="s">
        <v>128</v>
      </c>
      <c r="C257" s="4">
        <v>23</v>
      </c>
      <c r="D257" s="8">
        <v>2.41</v>
      </c>
      <c r="E257" s="4">
        <v>12</v>
      </c>
      <c r="F257" s="8">
        <v>1.79</v>
      </c>
      <c r="G257" s="4">
        <v>11</v>
      </c>
      <c r="H257" s="8">
        <v>3.91</v>
      </c>
      <c r="I257" s="4">
        <v>0</v>
      </c>
    </row>
    <row r="258" spans="1:9" x14ac:dyDescent="0.2">
      <c r="A258" s="2">
        <v>13</v>
      </c>
      <c r="B258" s="1" t="s">
        <v>133</v>
      </c>
      <c r="C258" s="4">
        <v>18</v>
      </c>
      <c r="D258" s="8">
        <v>1.88</v>
      </c>
      <c r="E258" s="4">
        <v>18</v>
      </c>
      <c r="F258" s="8">
        <v>2.69</v>
      </c>
      <c r="G258" s="4">
        <v>0</v>
      </c>
      <c r="H258" s="8">
        <v>0</v>
      </c>
      <c r="I258" s="4">
        <v>0</v>
      </c>
    </row>
    <row r="259" spans="1:9" x14ac:dyDescent="0.2">
      <c r="A259" s="2">
        <v>13</v>
      </c>
      <c r="B259" s="1" t="s">
        <v>152</v>
      </c>
      <c r="C259" s="4">
        <v>18</v>
      </c>
      <c r="D259" s="8">
        <v>1.88</v>
      </c>
      <c r="E259" s="4">
        <v>0</v>
      </c>
      <c r="F259" s="8">
        <v>0</v>
      </c>
      <c r="G259" s="4">
        <v>18</v>
      </c>
      <c r="H259" s="8">
        <v>6.41</v>
      </c>
      <c r="I259" s="4">
        <v>0</v>
      </c>
    </row>
    <row r="260" spans="1:9" x14ac:dyDescent="0.2">
      <c r="A260" s="2">
        <v>15</v>
      </c>
      <c r="B260" s="1" t="s">
        <v>155</v>
      </c>
      <c r="C260" s="4">
        <v>16</v>
      </c>
      <c r="D260" s="8">
        <v>1.68</v>
      </c>
      <c r="E260" s="4">
        <v>14</v>
      </c>
      <c r="F260" s="8">
        <v>2.09</v>
      </c>
      <c r="G260" s="4">
        <v>2</v>
      </c>
      <c r="H260" s="8">
        <v>0.71</v>
      </c>
      <c r="I260" s="4">
        <v>0</v>
      </c>
    </row>
    <row r="261" spans="1:9" x14ac:dyDescent="0.2">
      <c r="A261" s="2">
        <v>15</v>
      </c>
      <c r="B261" s="1" t="s">
        <v>124</v>
      </c>
      <c r="C261" s="4">
        <v>16</v>
      </c>
      <c r="D261" s="8">
        <v>1.68</v>
      </c>
      <c r="E261" s="4">
        <v>11</v>
      </c>
      <c r="F261" s="8">
        <v>1.64</v>
      </c>
      <c r="G261" s="4">
        <v>5</v>
      </c>
      <c r="H261" s="8">
        <v>1.78</v>
      </c>
      <c r="I261" s="4">
        <v>0</v>
      </c>
    </row>
    <row r="262" spans="1:9" x14ac:dyDescent="0.2">
      <c r="A262" s="2">
        <v>15</v>
      </c>
      <c r="B262" s="1" t="s">
        <v>134</v>
      </c>
      <c r="C262" s="4">
        <v>16</v>
      </c>
      <c r="D262" s="8">
        <v>1.68</v>
      </c>
      <c r="E262" s="4">
        <v>15</v>
      </c>
      <c r="F262" s="8">
        <v>2.2400000000000002</v>
      </c>
      <c r="G262" s="4">
        <v>1</v>
      </c>
      <c r="H262" s="8">
        <v>0.36</v>
      </c>
      <c r="I262" s="4">
        <v>0</v>
      </c>
    </row>
    <row r="263" spans="1:9" x14ac:dyDescent="0.2">
      <c r="A263" s="2">
        <v>18</v>
      </c>
      <c r="B263" s="1" t="s">
        <v>129</v>
      </c>
      <c r="C263" s="4">
        <v>15</v>
      </c>
      <c r="D263" s="8">
        <v>1.57</v>
      </c>
      <c r="E263" s="4">
        <v>6</v>
      </c>
      <c r="F263" s="8">
        <v>0.9</v>
      </c>
      <c r="G263" s="4">
        <v>9</v>
      </c>
      <c r="H263" s="8">
        <v>3.2</v>
      </c>
      <c r="I263" s="4">
        <v>0</v>
      </c>
    </row>
    <row r="264" spans="1:9" x14ac:dyDescent="0.2">
      <c r="A264" s="2">
        <v>18</v>
      </c>
      <c r="B264" s="1" t="s">
        <v>138</v>
      </c>
      <c r="C264" s="4">
        <v>15</v>
      </c>
      <c r="D264" s="8">
        <v>1.57</v>
      </c>
      <c r="E264" s="4">
        <v>15</v>
      </c>
      <c r="F264" s="8">
        <v>2.2400000000000002</v>
      </c>
      <c r="G264" s="4">
        <v>0</v>
      </c>
      <c r="H264" s="8">
        <v>0</v>
      </c>
      <c r="I264" s="4">
        <v>0</v>
      </c>
    </row>
    <row r="265" spans="1:9" x14ac:dyDescent="0.2">
      <c r="A265" s="2">
        <v>20</v>
      </c>
      <c r="B265" s="1" t="s">
        <v>147</v>
      </c>
      <c r="C265" s="4">
        <v>14</v>
      </c>
      <c r="D265" s="8">
        <v>1.47</v>
      </c>
      <c r="E265" s="4">
        <v>7</v>
      </c>
      <c r="F265" s="8">
        <v>1.04</v>
      </c>
      <c r="G265" s="4">
        <v>7</v>
      </c>
      <c r="H265" s="8">
        <v>2.4900000000000002</v>
      </c>
      <c r="I265" s="4">
        <v>0</v>
      </c>
    </row>
    <row r="266" spans="1:9" x14ac:dyDescent="0.2">
      <c r="A266" s="2">
        <v>20</v>
      </c>
      <c r="B266" s="1" t="s">
        <v>149</v>
      </c>
      <c r="C266" s="4">
        <v>14</v>
      </c>
      <c r="D266" s="8">
        <v>1.47</v>
      </c>
      <c r="E266" s="4">
        <v>13</v>
      </c>
      <c r="F266" s="8">
        <v>1.94</v>
      </c>
      <c r="G266" s="4">
        <v>1</v>
      </c>
      <c r="H266" s="8">
        <v>0.36</v>
      </c>
      <c r="I266" s="4">
        <v>0</v>
      </c>
    </row>
    <row r="267" spans="1:9" x14ac:dyDescent="0.2">
      <c r="A267" s="1"/>
      <c r="C267" s="4"/>
      <c r="D267" s="8"/>
      <c r="E267" s="4"/>
      <c r="F267" s="8"/>
      <c r="G267" s="4"/>
      <c r="H267" s="8"/>
      <c r="I267" s="4"/>
    </row>
    <row r="268" spans="1:9" x14ac:dyDescent="0.2">
      <c r="A268" s="1" t="s">
        <v>12</v>
      </c>
      <c r="C268" s="4"/>
      <c r="D268" s="8"/>
      <c r="E268" s="4"/>
      <c r="F268" s="8"/>
      <c r="G268" s="4"/>
      <c r="H268" s="8"/>
      <c r="I268" s="4"/>
    </row>
    <row r="269" spans="1:9" x14ac:dyDescent="0.2">
      <c r="A269" s="2">
        <v>1</v>
      </c>
      <c r="B269" s="1" t="s">
        <v>133</v>
      </c>
      <c r="C269" s="4">
        <v>15</v>
      </c>
      <c r="D269" s="8">
        <v>8.67</v>
      </c>
      <c r="E269" s="4">
        <v>15</v>
      </c>
      <c r="F269" s="8">
        <v>10.71</v>
      </c>
      <c r="G269" s="4">
        <v>0</v>
      </c>
      <c r="H269" s="8">
        <v>0</v>
      </c>
      <c r="I269" s="4">
        <v>0</v>
      </c>
    </row>
    <row r="270" spans="1:9" x14ac:dyDescent="0.2">
      <c r="A270" s="2">
        <v>2</v>
      </c>
      <c r="B270" s="1" t="s">
        <v>136</v>
      </c>
      <c r="C270" s="4">
        <v>10</v>
      </c>
      <c r="D270" s="8">
        <v>5.78</v>
      </c>
      <c r="E270" s="4">
        <v>10</v>
      </c>
      <c r="F270" s="8">
        <v>7.14</v>
      </c>
      <c r="G270" s="4">
        <v>0</v>
      </c>
      <c r="H270" s="8">
        <v>0</v>
      </c>
      <c r="I270" s="4">
        <v>0</v>
      </c>
    </row>
    <row r="271" spans="1:9" x14ac:dyDescent="0.2">
      <c r="A271" s="2">
        <v>3</v>
      </c>
      <c r="B271" s="1" t="s">
        <v>128</v>
      </c>
      <c r="C271" s="4">
        <v>9</v>
      </c>
      <c r="D271" s="8">
        <v>5.2</v>
      </c>
      <c r="E271" s="4">
        <v>9</v>
      </c>
      <c r="F271" s="8">
        <v>6.43</v>
      </c>
      <c r="G271" s="4">
        <v>0</v>
      </c>
      <c r="H271" s="8">
        <v>0</v>
      </c>
      <c r="I271" s="4">
        <v>0</v>
      </c>
    </row>
    <row r="272" spans="1:9" x14ac:dyDescent="0.2">
      <c r="A272" s="2">
        <v>4</v>
      </c>
      <c r="B272" s="1" t="s">
        <v>130</v>
      </c>
      <c r="C272" s="4">
        <v>8</v>
      </c>
      <c r="D272" s="8">
        <v>4.62</v>
      </c>
      <c r="E272" s="4">
        <v>7</v>
      </c>
      <c r="F272" s="8">
        <v>5</v>
      </c>
      <c r="G272" s="4">
        <v>1</v>
      </c>
      <c r="H272" s="8">
        <v>3.85</v>
      </c>
      <c r="I272" s="4">
        <v>0</v>
      </c>
    </row>
    <row r="273" spans="1:9" x14ac:dyDescent="0.2">
      <c r="A273" s="2">
        <v>4</v>
      </c>
      <c r="B273" s="1" t="s">
        <v>131</v>
      </c>
      <c r="C273" s="4">
        <v>8</v>
      </c>
      <c r="D273" s="8">
        <v>4.62</v>
      </c>
      <c r="E273" s="4">
        <v>8</v>
      </c>
      <c r="F273" s="8">
        <v>5.71</v>
      </c>
      <c r="G273" s="4">
        <v>0</v>
      </c>
      <c r="H273" s="8">
        <v>0</v>
      </c>
      <c r="I273" s="4">
        <v>0</v>
      </c>
    </row>
    <row r="274" spans="1:9" x14ac:dyDescent="0.2">
      <c r="A274" s="2">
        <v>6</v>
      </c>
      <c r="B274" s="1" t="s">
        <v>153</v>
      </c>
      <c r="C274" s="4">
        <v>7</v>
      </c>
      <c r="D274" s="8">
        <v>4.05</v>
      </c>
      <c r="E274" s="4">
        <v>7</v>
      </c>
      <c r="F274" s="8">
        <v>5</v>
      </c>
      <c r="G274" s="4">
        <v>0</v>
      </c>
      <c r="H274" s="8">
        <v>0</v>
      </c>
      <c r="I274" s="4">
        <v>0</v>
      </c>
    </row>
    <row r="275" spans="1:9" x14ac:dyDescent="0.2">
      <c r="A275" s="2">
        <v>7</v>
      </c>
      <c r="B275" s="1" t="s">
        <v>123</v>
      </c>
      <c r="C275" s="4">
        <v>6</v>
      </c>
      <c r="D275" s="8">
        <v>3.47</v>
      </c>
      <c r="E275" s="4">
        <v>3</v>
      </c>
      <c r="F275" s="8">
        <v>2.14</v>
      </c>
      <c r="G275" s="4">
        <v>0</v>
      </c>
      <c r="H275" s="8">
        <v>0</v>
      </c>
      <c r="I275" s="4">
        <v>3</v>
      </c>
    </row>
    <row r="276" spans="1:9" x14ac:dyDescent="0.2">
      <c r="A276" s="2">
        <v>8</v>
      </c>
      <c r="B276" s="1" t="s">
        <v>158</v>
      </c>
      <c r="C276" s="4">
        <v>5</v>
      </c>
      <c r="D276" s="8">
        <v>2.89</v>
      </c>
      <c r="E276" s="4">
        <v>4</v>
      </c>
      <c r="F276" s="8">
        <v>2.86</v>
      </c>
      <c r="G276" s="4">
        <v>0</v>
      </c>
      <c r="H276" s="8">
        <v>0</v>
      </c>
      <c r="I276" s="4">
        <v>1</v>
      </c>
    </row>
    <row r="277" spans="1:9" x14ac:dyDescent="0.2">
      <c r="A277" s="2">
        <v>8</v>
      </c>
      <c r="B277" s="1" t="s">
        <v>149</v>
      </c>
      <c r="C277" s="4">
        <v>5</v>
      </c>
      <c r="D277" s="8">
        <v>2.89</v>
      </c>
      <c r="E277" s="4">
        <v>5</v>
      </c>
      <c r="F277" s="8">
        <v>3.57</v>
      </c>
      <c r="G277" s="4">
        <v>0</v>
      </c>
      <c r="H277" s="8">
        <v>0</v>
      </c>
      <c r="I277" s="4">
        <v>0</v>
      </c>
    </row>
    <row r="278" spans="1:9" x14ac:dyDescent="0.2">
      <c r="A278" s="2">
        <v>8</v>
      </c>
      <c r="B278" s="1" t="s">
        <v>141</v>
      </c>
      <c r="C278" s="4">
        <v>5</v>
      </c>
      <c r="D278" s="8">
        <v>2.89</v>
      </c>
      <c r="E278" s="4">
        <v>5</v>
      </c>
      <c r="F278" s="8">
        <v>3.57</v>
      </c>
      <c r="G278" s="4">
        <v>0</v>
      </c>
      <c r="H278" s="8">
        <v>0</v>
      </c>
      <c r="I278" s="4">
        <v>0</v>
      </c>
    </row>
    <row r="279" spans="1:9" x14ac:dyDescent="0.2">
      <c r="A279" s="2">
        <v>11</v>
      </c>
      <c r="B279" s="1" t="s">
        <v>156</v>
      </c>
      <c r="C279" s="4">
        <v>4</v>
      </c>
      <c r="D279" s="8">
        <v>2.31</v>
      </c>
      <c r="E279" s="4">
        <v>4</v>
      </c>
      <c r="F279" s="8">
        <v>2.86</v>
      </c>
      <c r="G279" s="4">
        <v>0</v>
      </c>
      <c r="H279" s="8">
        <v>0</v>
      </c>
      <c r="I279" s="4">
        <v>0</v>
      </c>
    </row>
    <row r="280" spans="1:9" x14ac:dyDescent="0.2">
      <c r="A280" s="2">
        <v>11</v>
      </c>
      <c r="B280" s="1" t="s">
        <v>126</v>
      </c>
      <c r="C280" s="4">
        <v>4</v>
      </c>
      <c r="D280" s="8">
        <v>2.31</v>
      </c>
      <c r="E280" s="4">
        <v>4</v>
      </c>
      <c r="F280" s="8">
        <v>2.86</v>
      </c>
      <c r="G280" s="4">
        <v>0</v>
      </c>
      <c r="H280" s="8">
        <v>0</v>
      </c>
      <c r="I280" s="4">
        <v>0</v>
      </c>
    </row>
    <row r="281" spans="1:9" x14ac:dyDescent="0.2">
      <c r="A281" s="2">
        <v>11</v>
      </c>
      <c r="B281" s="1" t="s">
        <v>148</v>
      </c>
      <c r="C281" s="4">
        <v>4</v>
      </c>
      <c r="D281" s="8">
        <v>2.31</v>
      </c>
      <c r="E281" s="4">
        <v>2</v>
      </c>
      <c r="F281" s="8">
        <v>1.43</v>
      </c>
      <c r="G281" s="4">
        <v>1</v>
      </c>
      <c r="H281" s="8">
        <v>3.85</v>
      </c>
      <c r="I281" s="4">
        <v>1</v>
      </c>
    </row>
    <row r="282" spans="1:9" x14ac:dyDescent="0.2">
      <c r="A282" s="2">
        <v>11</v>
      </c>
      <c r="B282" s="1" t="s">
        <v>132</v>
      </c>
      <c r="C282" s="4">
        <v>4</v>
      </c>
      <c r="D282" s="8">
        <v>2.31</v>
      </c>
      <c r="E282" s="4">
        <v>4</v>
      </c>
      <c r="F282" s="8">
        <v>2.86</v>
      </c>
      <c r="G282" s="4">
        <v>0</v>
      </c>
      <c r="H282" s="8">
        <v>0</v>
      </c>
      <c r="I282" s="4">
        <v>0</v>
      </c>
    </row>
    <row r="283" spans="1:9" x14ac:dyDescent="0.2">
      <c r="A283" s="2">
        <v>15</v>
      </c>
      <c r="B283" s="1" t="s">
        <v>146</v>
      </c>
      <c r="C283" s="4">
        <v>3</v>
      </c>
      <c r="D283" s="8">
        <v>1.73</v>
      </c>
      <c r="E283" s="4">
        <v>3</v>
      </c>
      <c r="F283" s="8">
        <v>2.14</v>
      </c>
      <c r="G283" s="4">
        <v>0</v>
      </c>
      <c r="H283" s="8">
        <v>0</v>
      </c>
      <c r="I283" s="4">
        <v>0</v>
      </c>
    </row>
    <row r="284" spans="1:9" x14ac:dyDescent="0.2">
      <c r="A284" s="2">
        <v>15</v>
      </c>
      <c r="B284" s="1" t="s">
        <v>159</v>
      </c>
      <c r="C284" s="4">
        <v>3</v>
      </c>
      <c r="D284" s="8">
        <v>1.73</v>
      </c>
      <c r="E284" s="4">
        <v>3</v>
      </c>
      <c r="F284" s="8">
        <v>2.14</v>
      </c>
      <c r="G284" s="4">
        <v>0</v>
      </c>
      <c r="H284" s="8">
        <v>0</v>
      </c>
      <c r="I284" s="4">
        <v>0</v>
      </c>
    </row>
    <row r="285" spans="1:9" x14ac:dyDescent="0.2">
      <c r="A285" s="2">
        <v>15</v>
      </c>
      <c r="B285" s="1" t="s">
        <v>160</v>
      </c>
      <c r="C285" s="4">
        <v>3</v>
      </c>
      <c r="D285" s="8">
        <v>1.73</v>
      </c>
      <c r="E285" s="4">
        <v>1</v>
      </c>
      <c r="F285" s="8">
        <v>0.71</v>
      </c>
      <c r="G285" s="4">
        <v>2</v>
      </c>
      <c r="H285" s="8">
        <v>7.69</v>
      </c>
      <c r="I285" s="4">
        <v>0</v>
      </c>
    </row>
    <row r="286" spans="1:9" x14ac:dyDescent="0.2">
      <c r="A286" s="2">
        <v>15</v>
      </c>
      <c r="B286" s="1" t="s">
        <v>134</v>
      </c>
      <c r="C286" s="4">
        <v>3</v>
      </c>
      <c r="D286" s="8">
        <v>1.73</v>
      </c>
      <c r="E286" s="4">
        <v>3</v>
      </c>
      <c r="F286" s="8">
        <v>2.14</v>
      </c>
      <c r="G286" s="4">
        <v>0</v>
      </c>
      <c r="H286" s="8">
        <v>0</v>
      </c>
      <c r="I286" s="4">
        <v>0</v>
      </c>
    </row>
    <row r="287" spans="1:9" x14ac:dyDescent="0.2">
      <c r="A287" s="2">
        <v>15</v>
      </c>
      <c r="B287" s="1" t="s">
        <v>161</v>
      </c>
      <c r="C287" s="4">
        <v>3</v>
      </c>
      <c r="D287" s="8">
        <v>1.73</v>
      </c>
      <c r="E287" s="4">
        <v>3</v>
      </c>
      <c r="F287" s="8">
        <v>2.14</v>
      </c>
      <c r="G287" s="4">
        <v>0</v>
      </c>
      <c r="H287" s="8">
        <v>0</v>
      </c>
      <c r="I287" s="4">
        <v>0</v>
      </c>
    </row>
    <row r="288" spans="1:9" x14ac:dyDescent="0.2">
      <c r="A288" s="2">
        <v>15</v>
      </c>
      <c r="B288" s="1" t="s">
        <v>139</v>
      </c>
      <c r="C288" s="4">
        <v>3</v>
      </c>
      <c r="D288" s="8">
        <v>1.73</v>
      </c>
      <c r="E288" s="4">
        <v>2</v>
      </c>
      <c r="F288" s="8">
        <v>1.43</v>
      </c>
      <c r="G288" s="4">
        <v>1</v>
      </c>
      <c r="H288" s="8">
        <v>3.85</v>
      </c>
      <c r="I288" s="4">
        <v>0</v>
      </c>
    </row>
    <row r="289" spans="1:9" x14ac:dyDescent="0.2">
      <c r="A289" s="1"/>
      <c r="C289" s="4"/>
      <c r="D289" s="8"/>
      <c r="E289" s="4"/>
      <c r="F289" s="8"/>
      <c r="G289" s="4"/>
      <c r="H289" s="8"/>
      <c r="I289" s="4"/>
    </row>
    <row r="290" spans="1:9" x14ac:dyDescent="0.2">
      <c r="A290" s="1" t="s">
        <v>13</v>
      </c>
      <c r="C290" s="4"/>
      <c r="D290" s="8"/>
      <c r="E290" s="4"/>
      <c r="F290" s="8"/>
      <c r="G290" s="4"/>
      <c r="H290" s="8"/>
      <c r="I290" s="4"/>
    </row>
    <row r="291" spans="1:9" x14ac:dyDescent="0.2">
      <c r="A291" s="2">
        <v>1</v>
      </c>
      <c r="B291" s="1" t="s">
        <v>153</v>
      </c>
      <c r="C291" s="4">
        <v>12</v>
      </c>
      <c r="D291" s="8">
        <v>13.04</v>
      </c>
      <c r="E291" s="4">
        <v>12</v>
      </c>
      <c r="F291" s="8">
        <v>21.43</v>
      </c>
      <c r="G291" s="4">
        <v>0</v>
      </c>
      <c r="H291" s="8">
        <v>0</v>
      </c>
      <c r="I291" s="4">
        <v>0</v>
      </c>
    </row>
    <row r="292" spans="1:9" x14ac:dyDescent="0.2">
      <c r="A292" s="2">
        <v>2</v>
      </c>
      <c r="B292" s="1" t="s">
        <v>170</v>
      </c>
      <c r="C292" s="4">
        <v>8</v>
      </c>
      <c r="D292" s="8">
        <v>8.6999999999999993</v>
      </c>
      <c r="E292" s="4">
        <v>7</v>
      </c>
      <c r="F292" s="8">
        <v>12.5</v>
      </c>
      <c r="G292" s="4">
        <v>1</v>
      </c>
      <c r="H292" s="8">
        <v>4.3499999999999996</v>
      </c>
      <c r="I292" s="4">
        <v>0</v>
      </c>
    </row>
    <row r="293" spans="1:9" x14ac:dyDescent="0.2">
      <c r="A293" s="2">
        <v>3</v>
      </c>
      <c r="B293" s="1" t="s">
        <v>123</v>
      </c>
      <c r="C293" s="4">
        <v>5</v>
      </c>
      <c r="D293" s="8">
        <v>5.43</v>
      </c>
      <c r="E293" s="4">
        <v>5</v>
      </c>
      <c r="F293" s="8">
        <v>8.93</v>
      </c>
      <c r="G293" s="4">
        <v>0</v>
      </c>
      <c r="H293" s="8">
        <v>0</v>
      </c>
      <c r="I293" s="4">
        <v>0</v>
      </c>
    </row>
    <row r="294" spans="1:9" x14ac:dyDescent="0.2">
      <c r="A294" s="2">
        <v>3</v>
      </c>
      <c r="B294" s="1" t="s">
        <v>182</v>
      </c>
      <c r="C294" s="4">
        <v>5</v>
      </c>
      <c r="D294" s="8">
        <v>5.43</v>
      </c>
      <c r="E294" s="4">
        <v>0</v>
      </c>
      <c r="F294" s="8">
        <v>0</v>
      </c>
      <c r="G294" s="4">
        <v>0</v>
      </c>
      <c r="H294" s="8">
        <v>0</v>
      </c>
      <c r="I294" s="4">
        <v>5</v>
      </c>
    </row>
    <row r="295" spans="1:9" x14ac:dyDescent="0.2">
      <c r="A295" s="2">
        <v>5</v>
      </c>
      <c r="B295" s="1" t="s">
        <v>185</v>
      </c>
      <c r="C295" s="4">
        <v>4</v>
      </c>
      <c r="D295" s="8">
        <v>4.3499999999999996</v>
      </c>
      <c r="E295" s="4">
        <v>0</v>
      </c>
      <c r="F295" s="8">
        <v>0</v>
      </c>
      <c r="G295" s="4">
        <v>0</v>
      </c>
      <c r="H295" s="8">
        <v>0</v>
      </c>
      <c r="I295" s="4">
        <v>2</v>
      </c>
    </row>
    <row r="296" spans="1:9" x14ac:dyDescent="0.2">
      <c r="A296" s="2">
        <v>6</v>
      </c>
      <c r="B296" s="1" t="s">
        <v>122</v>
      </c>
      <c r="C296" s="4">
        <v>3</v>
      </c>
      <c r="D296" s="8">
        <v>3.26</v>
      </c>
      <c r="E296" s="4">
        <v>0</v>
      </c>
      <c r="F296" s="8">
        <v>0</v>
      </c>
      <c r="G296" s="4">
        <v>3</v>
      </c>
      <c r="H296" s="8">
        <v>13.04</v>
      </c>
      <c r="I296" s="4">
        <v>0</v>
      </c>
    </row>
    <row r="297" spans="1:9" x14ac:dyDescent="0.2">
      <c r="A297" s="2">
        <v>6</v>
      </c>
      <c r="B297" s="1" t="s">
        <v>151</v>
      </c>
      <c r="C297" s="4">
        <v>3</v>
      </c>
      <c r="D297" s="8">
        <v>3.26</v>
      </c>
      <c r="E297" s="4">
        <v>1</v>
      </c>
      <c r="F297" s="8">
        <v>1.79</v>
      </c>
      <c r="G297" s="4">
        <v>2</v>
      </c>
      <c r="H297" s="8">
        <v>8.6999999999999993</v>
      </c>
      <c r="I297" s="4">
        <v>0</v>
      </c>
    </row>
    <row r="298" spans="1:9" x14ac:dyDescent="0.2">
      <c r="A298" s="2">
        <v>6</v>
      </c>
      <c r="B298" s="1" t="s">
        <v>155</v>
      </c>
      <c r="C298" s="4">
        <v>3</v>
      </c>
      <c r="D298" s="8">
        <v>3.26</v>
      </c>
      <c r="E298" s="4">
        <v>3</v>
      </c>
      <c r="F298" s="8">
        <v>5.36</v>
      </c>
      <c r="G298" s="4">
        <v>0</v>
      </c>
      <c r="H298" s="8">
        <v>0</v>
      </c>
      <c r="I298" s="4">
        <v>0</v>
      </c>
    </row>
    <row r="299" spans="1:9" x14ac:dyDescent="0.2">
      <c r="A299" s="2">
        <v>6</v>
      </c>
      <c r="B299" s="1" t="s">
        <v>156</v>
      </c>
      <c r="C299" s="4">
        <v>3</v>
      </c>
      <c r="D299" s="8">
        <v>3.26</v>
      </c>
      <c r="E299" s="4">
        <v>2</v>
      </c>
      <c r="F299" s="8">
        <v>3.57</v>
      </c>
      <c r="G299" s="4">
        <v>0</v>
      </c>
      <c r="H299" s="8">
        <v>0</v>
      </c>
      <c r="I299" s="4">
        <v>1</v>
      </c>
    </row>
    <row r="300" spans="1:9" x14ac:dyDescent="0.2">
      <c r="A300" s="2">
        <v>6</v>
      </c>
      <c r="B300" s="1" t="s">
        <v>159</v>
      </c>
      <c r="C300" s="4">
        <v>3</v>
      </c>
      <c r="D300" s="8">
        <v>3.26</v>
      </c>
      <c r="E300" s="4">
        <v>3</v>
      </c>
      <c r="F300" s="8">
        <v>5.36</v>
      </c>
      <c r="G300" s="4">
        <v>0</v>
      </c>
      <c r="H300" s="8">
        <v>0</v>
      </c>
      <c r="I300" s="4">
        <v>0</v>
      </c>
    </row>
    <row r="301" spans="1:9" x14ac:dyDescent="0.2">
      <c r="A301" s="2">
        <v>6</v>
      </c>
      <c r="B301" s="1" t="s">
        <v>131</v>
      </c>
      <c r="C301" s="4">
        <v>3</v>
      </c>
      <c r="D301" s="8">
        <v>3.26</v>
      </c>
      <c r="E301" s="4">
        <v>1</v>
      </c>
      <c r="F301" s="8">
        <v>1.79</v>
      </c>
      <c r="G301" s="4">
        <v>1</v>
      </c>
      <c r="H301" s="8">
        <v>4.3499999999999996</v>
      </c>
      <c r="I301" s="4">
        <v>1</v>
      </c>
    </row>
    <row r="302" spans="1:9" x14ac:dyDescent="0.2">
      <c r="A302" s="2">
        <v>6</v>
      </c>
      <c r="B302" s="1" t="s">
        <v>135</v>
      </c>
      <c r="C302" s="4">
        <v>3</v>
      </c>
      <c r="D302" s="8">
        <v>3.26</v>
      </c>
      <c r="E302" s="4">
        <v>3</v>
      </c>
      <c r="F302" s="8">
        <v>5.36</v>
      </c>
      <c r="G302" s="4">
        <v>0</v>
      </c>
      <c r="H302" s="8">
        <v>0</v>
      </c>
      <c r="I302" s="4">
        <v>0</v>
      </c>
    </row>
    <row r="303" spans="1:9" x14ac:dyDescent="0.2">
      <c r="A303" s="2">
        <v>6</v>
      </c>
      <c r="B303" s="1" t="s">
        <v>136</v>
      </c>
      <c r="C303" s="4">
        <v>3</v>
      </c>
      <c r="D303" s="8">
        <v>3.26</v>
      </c>
      <c r="E303" s="4">
        <v>3</v>
      </c>
      <c r="F303" s="8">
        <v>5.36</v>
      </c>
      <c r="G303" s="4">
        <v>0</v>
      </c>
      <c r="H303" s="8">
        <v>0</v>
      </c>
      <c r="I303" s="4">
        <v>0</v>
      </c>
    </row>
    <row r="304" spans="1:9" x14ac:dyDescent="0.2">
      <c r="A304" s="2">
        <v>14</v>
      </c>
      <c r="B304" s="1" t="s">
        <v>173</v>
      </c>
      <c r="C304" s="4">
        <v>2</v>
      </c>
      <c r="D304" s="8">
        <v>2.17</v>
      </c>
      <c r="E304" s="4">
        <v>0</v>
      </c>
      <c r="F304" s="8">
        <v>0</v>
      </c>
      <c r="G304" s="4">
        <v>2</v>
      </c>
      <c r="H304" s="8">
        <v>8.6999999999999993</v>
      </c>
      <c r="I304" s="4">
        <v>0</v>
      </c>
    </row>
    <row r="305" spans="1:9" x14ac:dyDescent="0.2">
      <c r="A305" s="2">
        <v>14</v>
      </c>
      <c r="B305" s="1" t="s">
        <v>125</v>
      </c>
      <c r="C305" s="4">
        <v>2</v>
      </c>
      <c r="D305" s="8">
        <v>2.17</v>
      </c>
      <c r="E305" s="4">
        <v>2</v>
      </c>
      <c r="F305" s="8">
        <v>3.57</v>
      </c>
      <c r="G305" s="4">
        <v>0</v>
      </c>
      <c r="H305" s="8">
        <v>0</v>
      </c>
      <c r="I305" s="4">
        <v>0</v>
      </c>
    </row>
    <row r="306" spans="1:9" x14ac:dyDescent="0.2">
      <c r="A306" s="2">
        <v>14</v>
      </c>
      <c r="B306" s="1" t="s">
        <v>148</v>
      </c>
      <c r="C306" s="4">
        <v>2</v>
      </c>
      <c r="D306" s="8">
        <v>2.17</v>
      </c>
      <c r="E306" s="4">
        <v>1</v>
      </c>
      <c r="F306" s="8">
        <v>1.79</v>
      </c>
      <c r="G306" s="4">
        <v>1</v>
      </c>
      <c r="H306" s="8">
        <v>4.3499999999999996</v>
      </c>
      <c r="I306" s="4">
        <v>0</v>
      </c>
    </row>
    <row r="307" spans="1:9" x14ac:dyDescent="0.2">
      <c r="A307" s="2">
        <v>14</v>
      </c>
      <c r="B307" s="1" t="s">
        <v>183</v>
      </c>
      <c r="C307" s="4">
        <v>2</v>
      </c>
      <c r="D307" s="8">
        <v>2.17</v>
      </c>
      <c r="E307" s="4">
        <v>0</v>
      </c>
      <c r="F307" s="8">
        <v>0</v>
      </c>
      <c r="G307" s="4">
        <v>2</v>
      </c>
      <c r="H307" s="8">
        <v>8.6999999999999993</v>
      </c>
      <c r="I307" s="4">
        <v>0</v>
      </c>
    </row>
    <row r="308" spans="1:9" x14ac:dyDescent="0.2">
      <c r="A308" s="2">
        <v>18</v>
      </c>
      <c r="B308" s="1" t="s">
        <v>162</v>
      </c>
      <c r="C308" s="4">
        <v>1</v>
      </c>
      <c r="D308" s="8">
        <v>1.0900000000000001</v>
      </c>
      <c r="E308" s="4">
        <v>0</v>
      </c>
      <c r="F308" s="8">
        <v>0</v>
      </c>
      <c r="G308" s="4">
        <v>1</v>
      </c>
      <c r="H308" s="8">
        <v>4.3499999999999996</v>
      </c>
      <c r="I308" s="4">
        <v>0</v>
      </c>
    </row>
    <row r="309" spans="1:9" x14ac:dyDescent="0.2">
      <c r="A309" s="2">
        <v>18</v>
      </c>
      <c r="B309" s="1" t="s">
        <v>146</v>
      </c>
      <c r="C309" s="4">
        <v>1</v>
      </c>
      <c r="D309" s="8">
        <v>1.0900000000000001</v>
      </c>
      <c r="E309" s="4">
        <v>1</v>
      </c>
      <c r="F309" s="8">
        <v>1.79</v>
      </c>
      <c r="G309" s="4">
        <v>0</v>
      </c>
      <c r="H309" s="8">
        <v>0</v>
      </c>
      <c r="I309" s="4">
        <v>0</v>
      </c>
    </row>
    <row r="310" spans="1:9" x14ac:dyDescent="0.2">
      <c r="A310" s="2">
        <v>18</v>
      </c>
      <c r="B310" s="1" t="s">
        <v>163</v>
      </c>
      <c r="C310" s="4">
        <v>1</v>
      </c>
      <c r="D310" s="8">
        <v>1.0900000000000001</v>
      </c>
      <c r="E310" s="4">
        <v>1</v>
      </c>
      <c r="F310" s="8">
        <v>1.79</v>
      </c>
      <c r="G310" s="4">
        <v>0</v>
      </c>
      <c r="H310" s="8">
        <v>0</v>
      </c>
      <c r="I310" s="4">
        <v>0</v>
      </c>
    </row>
    <row r="311" spans="1:9" x14ac:dyDescent="0.2">
      <c r="A311" s="2">
        <v>18</v>
      </c>
      <c r="B311" s="1" t="s">
        <v>164</v>
      </c>
      <c r="C311" s="4">
        <v>1</v>
      </c>
      <c r="D311" s="8">
        <v>1.0900000000000001</v>
      </c>
      <c r="E311" s="4">
        <v>0</v>
      </c>
      <c r="F311" s="8">
        <v>0</v>
      </c>
      <c r="G311" s="4">
        <v>1</v>
      </c>
      <c r="H311" s="8">
        <v>4.3499999999999996</v>
      </c>
      <c r="I311" s="4">
        <v>0</v>
      </c>
    </row>
    <row r="312" spans="1:9" x14ac:dyDescent="0.2">
      <c r="A312" s="2">
        <v>18</v>
      </c>
      <c r="B312" s="1" t="s">
        <v>165</v>
      </c>
      <c r="C312" s="4">
        <v>1</v>
      </c>
      <c r="D312" s="8">
        <v>1.0900000000000001</v>
      </c>
      <c r="E312" s="4">
        <v>0</v>
      </c>
      <c r="F312" s="8">
        <v>0</v>
      </c>
      <c r="G312" s="4">
        <v>1</v>
      </c>
      <c r="H312" s="8">
        <v>4.3499999999999996</v>
      </c>
      <c r="I312" s="4">
        <v>0</v>
      </c>
    </row>
    <row r="313" spans="1:9" x14ac:dyDescent="0.2">
      <c r="A313" s="2">
        <v>18</v>
      </c>
      <c r="B313" s="1" t="s">
        <v>166</v>
      </c>
      <c r="C313" s="4">
        <v>1</v>
      </c>
      <c r="D313" s="8">
        <v>1.0900000000000001</v>
      </c>
      <c r="E313" s="4">
        <v>0</v>
      </c>
      <c r="F313" s="8">
        <v>0</v>
      </c>
      <c r="G313" s="4">
        <v>1</v>
      </c>
      <c r="H313" s="8">
        <v>4.3499999999999996</v>
      </c>
      <c r="I313" s="4">
        <v>0</v>
      </c>
    </row>
    <row r="314" spans="1:9" x14ac:dyDescent="0.2">
      <c r="A314" s="2">
        <v>18</v>
      </c>
      <c r="B314" s="1" t="s">
        <v>167</v>
      </c>
      <c r="C314" s="4">
        <v>1</v>
      </c>
      <c r="D314" s="8">
        <v>1.0900000000000001</v>
      </c>
      <c r="E314" s="4">
        <v>1</v>
      </c>
      <c r="F314" s="8">
        <v>1.79</v>
      </c>
      <c r="G314" s="4">
        <v>0</v>
      </c>
      <c r="H314" s="8">
        <v>0</v>
      </c>
      <c r="I314" s="4">
        <v>0</v>
      </c>
    </row>
    <row r="315" spans="1:9" x14ac:dyDescent="0.2">
      <c r="A315" s="2">
        <v>18</v>
      </c>
      <c r="B315" s="1" t="s">
        <v>168</v>
      </c>
      <c r="C315" s="4">
        <v>1</v>
      </c>
      <c r="D315" s="8">
        <v>1.0900000000000001</v>
      </c>
      <c r="E315" s="4">
        <v>1</v>
      </c>
      <c r="F315" s="8">
        <v>1.79</v>
      </c>
      <c r="G315" s="4">
        <v>0</v>
      </c>
      <c r="H315" s="8">
        <v>0</v>
      </c>
      <c r="I315" s="4">
        <v>0</v>
      </c>
    </row>
    <row r="316" spans="1:9" x14ac:dyDescent="0.2">
      <c r="A316" s="2">
        <v>18</v>
      </c>
      <c r="B316" s="1" t="s">
        <v>169</v>
      </c>
      <c r="C316" s="4">
        <v>1</v>
      </c>
      <c r="D316" s="8">
        <v>1.0900000000000001</v>
      </c>
      <c r="E316" s="4">
        <v>0</v>
      </c>
      <c r="F316" s="8">
        <v>0</v>
      </c>
      <c r="G316" s="4">
        <v>1</v>
      </c>
      <c r="H316" s="8">
        <v>4.3499999999999996</v>
      </c>
      <c r="I316" s="4">
        <v>0</v>
      </c>
    </row>
    <row r="317" spans="1:9" x14ac:dyDescent="0.2">
      <c r="A317" s="2">
        <v>18</v>
      </c>
      <c r="B317" s="1" t="s">
        <v>171</v>
      </c>
      <c r="C317" s="4">
        <v>1</v>
      </c>
      <c r="D317" s="8">
        <v>1.0900000000000001</v>
      </c>
      <c r="E317" s="4">
        <v>0</v>
      </c>
      <c r="F317" s="8">
        <v>0</v>
      </c>
      <c r="G317" s="4">
        <v>0</v>
      </c>
      <c r="H317" s="8">
        <v>0</v>
      </c>
      <c r="I317" s="4">
        <v>0</v>
      </c>
    </row>
    <row r="318" spans="1:9" x14ac:dyDescent="0.2">
      <c r="A318" s="2">
        <v>18</v>
      </c>
      <c r="B318" s="1" t="s">
        <v>172</v>
      </c>
      <c r="C318" s="4">
        <v>1</v>
      </c>
      <c r="D318" s="8">
        <v>1.0900000000000001</v>
      </c>
      <c r="E318" s="4">
        <v>0</v>
      </c>
      <c r="F318" s="8">
        <v>0</v>
      </c>
      <c r="G318" s="4">
        <v>0</v>
      </c>
      <c r="H318" s="8">
        <v>0</v>
      </c>
      <c r="I318" s="4">
        <v>0</v>
      </c>
    </row>
    <row r="319" spans="1:9" x14ac:dyDescent="0.2">
      <c r="A319" s="2">
        <v>18</v>
      </c>
      <c r="B319" s="1" t="s">
        <v>157</v>
      </c>
      <c r="C319" s="4">
        <v>1</v>
      </c>
      <c r="D319" s="8">
        <v>1.0900000000000001</v>
      </c>
      <c r="E319" s="4">
        <v>1</v>
      </c>
      <c r="F319" s="8">
        <v>1.79</v>
      </c>
      <c r="G319" s="4">
        <v>0</v>
      </c>
      <c r="H319" s="8">
        <v>0</v>
      </c>
      <c r="I319" s="4">
        <v>0</v>
      </c>
    </row>
    <row r="320" spans="1:9" x14ac:dyDescent="0.2">
      <c r="A320" s="2">
        <v>18</v>
      </c>
      <c r="B320" s="1" t="s">
        <v>174</v>
      </c>
      <c r="C320" s="4">
        <v>1</v>
      </c>
      <c r="D320" s="8">
        <v>1.0900000000000001</v>
      </c>
      <c r="E320" s="4">
        <v>1</v>
      </c>
      <c r="F320" s="8">
        <v>1.79</v>
      </c>
      <c r="G320" s="4">
        <v>0</v>
      </c>
      <c r="H320" s="8">
        <v>0</v>
      </c>
      <c r="I320" s="4">
        <v>0</v>
      </c>
    </row>
    <row r="321" spans="1:9" x14ac:dyDescent="0.2">
      <c r="A321" s="2">
        <v>18</v>
      </c>
      <c r="B321" s="1" t="s">
        <v>175</v>
      </c>
      <c r="C321" s="4">
        <v>1</v>
      </c>
      <c r="D321" s="8">
        <v>1.0900000000000001</v>
      </c>
      <c r="E321" s="4">
        <v>1</v>
      </c>
      <c r="F321" s="8">
        <v>1.79</v>
      </c>
      <c r="G321" s="4">
        <v>0</v>
      </c>
      <c r="H321" s="8">
        <v>0</v>
      </c>
      <c r="I321" s="4">
        <v>0</v>
      </c>
    </row>
    <row r="322" spans="1:9" x14ac:dyDescent="0.2">
      <c r="A322" s="2">
        <v>18</v>
      </c>
      <c r="B322" s="1" t="s">
        <v>176</v>
      </c>
      <c r="C322" s="4">
        <v>1</v>
      </c>
      <c r="D322" s="8">
        <v>1.0900000000000001</v>
      </c>
      <c r="E322" s="4">
        <v>1</v>
      </c>
      <c r="F322" s="8">
        <v>1.79</v>
      </c>
      <c r="G322" s="4">
        <v>0</v>
      </c>
      <c r="H322" s="8">
        <v>0</v>
      </c>
      <c r="I322" s="4">
        <v>0</v>
      </c>
    </row>
    <row r="323" spans="1:9" x14ac:dyDescent="0.2">
      <c r="A323" s="2">
        <v>18</v>
      </c>
      <c r="B323" s="1" t="s">
        <v>160</v>
      </c>
      <c r="C323" s="4">
        <v>1</v>
      </c>
      <c r="D323" s="8">
        <v>1.0900000000000001</v>
      </c>
      <c r="E323" s="4">
        <v>1</v>
      </c>
      <c r="F323" s="8">
        <v>1.79</v>
      </c>
      <c r="G323" s="4">
        <v>0</v>
      </c>
      <c r="H323" s="8">
        <v>0</v>
      </c>
      <c r="I323" s="4">
        <v>0</v>
      </c>
    </row>
    <row r="324" spans="1:9" x14ac:dyDescent="0.2">
      <c r="A324" s="2">
        <v>18</v>
      </c>
      <c r="B324" s="1" t="s">
        <v>177</v>
      </c>
      <c r="C324" s="4">
        <v>1</v>
      </c>
      <c r="D324" s="8">
        <v>1.0900000000000001</v>
      </c>
      <c r="E324" s="4">
        <v>1</v>
      </c>
      <c r="F324" s="8">
        <v>1.79</v>
      </c>
      <c r="G324" s="4">
        <v>0</v>
      </c>
      <c r="H324" s="8">
        <v>0</v>
      </c>
      <c r="I324" s="4">
        <v>0</v>
      </c>
    </row>
    <row r="325" spans="1:9" x14ac:dyDescent="0.2">
      <c r="A325" s="2">
        <v>18</v>
      </c>
      <c r="B325" s="1" t="s">
        <v>178</v>
      </c>
      <c r="C325" s="4">
        <v>1</v>
      </c>
      <c r="D325" s="8">
        <v>1.0900000000000001</v>
      </c>
      <c r="E325" s="4">
        <v>1</v>
      </c>
      <c r="F325" s="8">
        <v>1.79</v>
      </c>
      <c r="G325" s="4">
        <v>0</v>
      </c>
      <c r="H325" s="8">
        <v>0</v>
      </c>
      <c r="I325" s="4">
        <v>0</v>
      </c>
    </row>
    <row r="326" spans="1:9" x14ac:dyDescent="0.2">
      <c r="A326" s="2">
        <v>18</v>
      </c>
      <c r="B326" s="1" t="s">
        <v>129</v>
      </c>
      <c r="C326" s="4">
        <v>1</v>
      </c>
      <c r="D326" s="8">
        <v>1.0900000000000001</v>
      </c>
      <c r="E326" s="4">
        <v>0</v>
      </c>
      <c r="F326" s="8">
        <v>0</v>
      </c>
      <c r="G326" s="4">
        <v>1</v>
      </c>
      <c r="H326" s="8">
        <v>4.3499999999999996</v>
      </c>
      <c r="I326" s="4">
        <v>0</v>
      </c>
    </row>
    <row r="327" spans="1:9" x14ac:dyDescent="0.2">
      <c r="A327" s="2">
        <v>18</v>
      </c>
      <c r="B327" s="1" t="s">
        <v>179</v>
      </c>
      <c r="C327" s="4">
        <v>1</v>
      </c>
      <c r="D327" s="8">
        <v>1.0900000000000001</v>
      </c>
      <c r="E327" s="4">
        <v>0</v>
      </c>
      <c r="F327" s="8">
        <v>0</v>
      </c>
      <c r="G327" s="4">
        <v>1</v>
      </c>
      <c r="H327" s="8">
        <v>4.3499999999999996</v>
      </c>
      <c r="I327" s="4">
        <v>0</v>
      </c>
    </row>
    <row r="328" spans="1:9" x14ac:dyDescent="0.2">
      <c r="A328" s="2">
        <v>18</v>
      </c>
      <c r="B328" s="1" t="s">
        <v>149</v>
      </c>
      <c r="C328" s="4">
        <v>1</v>
      </c>
      <c r="D328" s="8">
        <v>1.0900000000000001</v>
      </c>
      <c r="E328" s="4">
        <v>1</v>
      </c>
      <c r="F328" s="8">
        <v>1.79</v>
      </c>
      <c r="G328" s="4">
        <v>0</v>
      </c>
      <c r="H328" s="8">
        <v>0</v>
      </c>
      <c r="I328" s="4">
        <v>0</v>
      </c>
    </row>
    <row r="329" spans="1:9" x14ac:dyDescent="0.2">
      <c r="A329" s="2">
        <v>18</v>
      </c>
      <c r="B329" s="1" t="s">
        <v>180</v>
      </c>
      <c r="C329" s="4">
        <v>1</v>
      </c>
      <c r="D329" s="8">
        <v>1.0900000000000001</v>
      </c>
      <c r="E329" s="4">
        <v>0</v>
      </c>
      <c r="F329" s="8">
        <v>0</v>
      </c>
      <c r="G329" s="4">
        <v>1</v>
      </c>
      <c r="H329" s="8">
        <v>4.3499999999999996</v>
      </c>
      <c r="I329" s="4">
        <v>0</v>
      </c>
    </row>
    <row r="330" spans="1:9" x14ac:dyDescent="0.2">
      <c r="A330" s="2">
        <v>18</v>
      </c>
      <c r="B330" s="1" t="s">
        <v>181</v>
      </c>
      <c r="C330" s="4">
        <v>1</v>
      </c>
      <c r="D330" s="8">
        <v>1.0900000000000001</v>
      </c>
      <c r="E330" s="4">
        <v>0</v>
      </c>
      <c r="F330" s="8">
        <v>0</v>
      </c>
      <c r="G330" s="4">
        <v>1</v>
      </c>
      <c r="H330" s="8">
        <v>4.3499999999999996</v>
      </c>
      <c r="I330" s="4">
        <v>0</v>
      </c>
    </row>
    <row r="331" spans="1:9" x14ac:dyDescent="0.2">
      <c r="A331" s="2">
        <v>18</v>
      </c>
      <c r="B331" s="1" t="s">
        <v>150</v>
      </c>
      <c r="C331" s="4">
        <v>1</v>
      </c>
      <c r="D331" s="8">
        <v>1.0900000000000001</v>
      </c>
      <c r="E331" s="4">
        <v>1</v>
      </c>
      <c r="F331" s="8">
        <v>1.79</v>
      </c>
      <c r="G331" s="4">
        <v>0</v>
      </c>
      <c r="H331" s="8">
        <v>0</v>
      </c>
      <c r="I331" s="4">
        <v>0</v>
      </c>
    </row>
    <row r="332" spans="1:9" x14ac:dyDescent="0.2">
      <c r="A332" s="2">
        <v>18</v>
      </c>
      <c r="B332" s="1" t="s">
        <v>139</v>
      </c>
      <c r="C332" s="4">
        <v>1</v>
      </c>
      <c r="D332" s="8">
        <v>1.0900000000000001</v>
      </c>
      <c r="E332" s="4">
        <v>0</v>
      </c>
      <c r="F332" s="8">
        <v>0</v>
      </c>
      <c r="G332" s="4">
        <v>1</v>
      </c>
      <c r="H332" s="8">
        <v>4.3499999999999996</v>
      </c>
      <c r="I332" s="4">
        <v>0</v>
      </c>
    </row>
    <row r="333" spans="1:9" x14ac:dyDescent="0.2">
      <c r="A333" s="2">
        <v>18</v>
      </c>
      <c r="B333" s="1" t="s">
        <v>184</v>
      </c>
      <c r="C333" s="4">
        <v>1</v>
      </c>
      <c r="D333" s="8">
        <v>1.0900000000000001</v>
      </c>
      <c r="E333" s="4">
        <v>0</v>
      </c>
      <c r="F333" s="8">
        <v>0</v>
      </c>
      <c r="G333" s="4">
        <v>1</v>
      </c>
      <c r="H333" s="8">
        <v>4.3499999999999996</v>
      </c>
      <c r="I333" s="4">
        <v>0</v>
      </c>
    </row>
    <row r="334" spans="1:9" x14ac:dyDescent="0.2">
      <c r="A334" s="1"/>
      <c r="C334" s="4"/>
      <c r="D334" s="8"/>
      <c r="E334" s="4"/>
      <c r="F334" s="8"/>
      <c r="G334" s="4"/>
      <c r="H334" s="8"/>
      <c r="I334" s="4"/>
    </row>
    <row r="335" spans="1:9" x14ac:dyDescent="0.2">
      <c r="A335" s="1" t="s">
        <v>14</v>
      </c>
      <c r="C335" s="4"/>
      <c r="D335" s="8"/>
      <c r="E335" s="4"/>
      <c r="F335" s="8"/>
      <c r="G335" s="4"/>
      <c r="H335" s="8"/>
      <c r="I335" s="4"/>
    </row>
    <row r="336" spans="1:9" x14ac:dyDescent="0.2">
      <c r="A336" s="2">
        <v>1</v>
      </c>
      <c r="B336" s="1" t="s">
        <v>153</v>
      </c>
      <c r="C336" s="4">
        <v>8</v>
      </c>
      <c r="D336" s="8">
        <v>17.39</v>
      </c>
      <c r="E336" s="4">
        <v>8</v>
      </c>
      <c r="F336" s="8">
        <v>27.59</v>
      </c>
      <c r="G336" s="4">
        <v>0</v>
      </c>
      <c r="H336" s="8">
        <v>0</v>
      </c>
      <c r="I336" s="4">
        <v>0</v>
      </c>
    </row>
    <row r="337" spans="1:9" x14ac:dyDescent="0.2">
      <c r="A337" s="2">
        <v>2</v>
      </c>
      <c r="B337" s="1" t="s">
        <v>156</v>
      </c>
      <c r="C337" s="4">
        <v>5</v>
      </c>
      <c r="D337" s="8">
        <v>10.87</v>
      </c>
      <c r="E337" s="4">
        <v>4</v>
      </c>
      <c r="F337" s="8">
        <v>13.79</v>
      </c>
      <c r="G337" s="4">
        <v>0</v>
      </c>
      <c r="H337" s="8">
        <v>0</v>
      </c>
      <c r="I337" s="4">
        <v>1</v>
      </c>
    </row>
    <row r="338" spans="1:9" x14ac:dyDescent="0.2">
      <c r="A338" s="2">
        <v>3</v>
      </c>
      <c r="B338" s="1" t="s">
        <v>130</v>
      </c>
      <c r="C338" s="4">
        <v>3</v>
      </c>
      <c r="D338" s="8">
        <v>6.52</v>
      </c>
      <c r="E338" s="4">
        <v>1</v>
      </c>
      <c r="F338" s="8">
        <v>3.45</v>
      </c>
      <c r="G338" s="4">
        <v>2</v>
      </c>
      <c r="H338" s="8">
        <v>15.38</v>
      </c>
      <c r="I338" s="4">
        <v>0</v>
      </c>
    </row>
    <row r="339" spans="1:9" x14ac:dyDescent="0.2">
      <c r="A339" s="2">
        <v>4</v>
      </c>
      <c r="B339" s="1" t="s">
        <v>122</v>
      </c>
      <c r="C339" s="4">
        <v>2</v>
      </c>
      <c r="D339" s="8">
        <v>4.3499999999999996</v>
      </c>
      <c r="E339" s="4">
        <v>0</v>
      </c>
      <c r="F339" s="8">
        <v>0</v>
      </c>
      <c r="G339" s="4">
        <v>2</v>
      </c>
      <c r="H339" s="8">
        <v>15.38</v>
      </c>
      <c r="I339" s="4">
        <v>0</v>
      </c>
    </row>
    <row r="340" spans="1:9" x14ac:dyDescent="0.2">
      <c r="A340" s="2">
        <v>4</v>
      </c>
      <c r="B340" s="1" t="s">
        <v>188</v>
      </c>
      <c r="C340" s="4">
        <v>2</v>
      </c>
      <c r="D340" s="8">
        <v>4.3499999999999996</v>
      </c>
      <c r="E340" s="4">
        <v>2</v>
      </c>
      <c r="F340" s="8">
        <v>6.9</v>
      </c>
      <c r="G340" s="4">
        <v>0</v>
      </c>
      <c r="H340" s="8">
        <v>0</v>
      </c>
      <c r="I340" s="4">
        <v>0</v>
      </c>
    </row>
    <row r="341" spans="1:9" x14ac:dyDescent="0.2">
      <c r="A341" s="2">
        <v>4</v>
      </c>
      <c r="B341" s="1" t="s">
        <v>168</v>
      </c>
      <c r="C341" s="4">
        <v>2</v>
      </c>
      <c r="D341" s="8">
        <v>4.3499999999999996</v>
      </c>
      <c r="E341" s="4">
        <v>2</v>
      </c>
      <c r="F341" s="8">
        <v>6.9</v>
      </c>
      <c r="G341" s="4">
        <v>0</v>
      </c>
      <c r="H341" s="8">
        <v>0</v>
      </c>
      <c r="I341" s="4">
        <v>0</v>
      </c>
    </row>
    <row r="342" spans="1:9" x14ac:dyDescent="0.2">
      <c r="A342" s="2">
        <v>4</v>
      </c>
      <c r="B342" s="1" t="s">
        <v>126</v>
      </c>
      <c r="C342" s="4">
        <v>2</v>
      </c>
      <c r="D342" s="8">
        <v>4.3499999999999996</v>
      </c>
      <c r="E342" s="4">
        <v>1</v>
      </c>
      <c r="F342" s="8">
        <v>3.45</v>
      </c>
      <c r="G342" s="4">
        <v>0</v>
      </c>
      <c r="H342" s="8">
        <v>0</v>
      </c>
      <c r="I342" s="4">
        <v>1</v>
      </c>
    </row>
    <row r="343" spans="1:9" x14ac:dyDescent="0.2">
      <c r="A343" s="2">
        <v>4</v>
      </c>
      <c r="B343" s="1" t="s">
        <v>134</v>
      </c>
      <c r="C343" s="4">
        <v>2</v>
      </c>
      <c r="D343" s="8">
        <v>4.3499999999999996</v>
      </c>
      <c r="E343" s="4">
        <v>2</v>
      </c>
      <c r="F343" s="8">
        <v>6.9</v>
      </c>
      <c r="G343" s="4">
        <v>0</v>
      </c>
      <c r="H343" s="8">
        <v>0</v>
      </c>
      <c r="I343" s="4">
        <v>0</v>
      </c>
    </row>
    <row r="344" spans="1:9" x14ac:dyDescent="0.2">
      <c r="A344" s="2">
        <v>9</v>
      </c>
      <c r="B344" s="1" t="s">
        <v>186</v>
      </c>
      <c r="C344" s="4">
        <v>1</v>
      </c>
      <c r="D344" s="8">
        <v>2.17</v>
      </c>
      <c r="E344" s="4">
        <v>1</v>
      </c>
      <c r="F344" s="8">
        <v>3.45</v>
      </c>
      <c r="G344" s="4">
        <v>0</v>
      </c>
      <c r="H344" s="8">
        <v>0</v>
      </c>
      <c r="I344" s="4">
        <v>0</v>
      </c>
    </row>
    <row r="345" spans="1:9" x14ac:dyDescent="0.2">
      <c r="A345" s="2">
        <v>9</v>
      </c>
      <c r="B345" s="1" t="s">
        <v>187</v>
      </c>
      <c r="C345" s="4">
        <v>1</v>
      </c>
      <c r="D345" s="8">
        <v>2.17</v>
      </c>
      <c r="E345" s="4">
        <v>0</v>
      </c>
      <c r="F345" s="8">
        <v>0</v>
      </c>
      <c r="G345" s="4">
        <v>1</v>
      </c>
      <c r="H345" s="8">
        <v>7.69</v>
      </c>
      <c r="I345" s="4">
        <v>0</v>
      </c>
    </row>
    <row r="346" spans="1:9" x14ac:dyDescent="0.2">
      <c r="A346" s="2">
        <v>9</v>
      </c>
      <c r="B346" s="1" t="s">
        <v>189</v>
      </c>
      <c r="C346" s="4">
        <v>1</v>
      </c>
      <c r="D346" s="8">
        <v>2.17</v>
      </c>
      <c r="E346" s="4">
        <v>1</v>
      </c>
      <c r="F346" s="8">
        <v>3.45</v>
      </c>
      <c r="G346" s="4">
        <v>0</v>
      </c>
      <c r="H346" s="8">
        <v>0</v>
      </c>
      <c r="I346" s="4">
        <v>0</v>
      </c>
    </row>
    <row r="347" spans="1:9" x14ac:dyDescent="0.2">
      <c r="A347" s="2">
        <v>9</v>
      </c>
      <c r="B347" s="1" t="s">
        <v>190</v>
      </c>
      <c r="C347" s="4">
        <v>1</v>
      </c>
      <c r="D347" s="8">
        <v>2.17</v>
      </c>
      <c r="E347" s="4">
        <v>0</v>
      </c>
      <c r="F347" s="8">
        <v>0</v>
      </c>
      <c r="G347" s="4">
        <v>1</v>
      </c>
      <c r="H347" s="8">
        <v>7.69</v>
      </c>
      <c r="I347" s="4">
        <v>0</v>
      </c>
    </row>
    <row r="348" spans="1:9" x14ac:dyDescent="0.2">
      <c r="A348" s="2">
        <v>9</v>
      </c>
      <c r="B348" s="1" t="s">
        <v>155</v>
      </c>
      <c r="C348" s="4">
        <v>1</v>
      </c>
      <c r="D348" s="8">
        <v>2.17</v>
      </c>
      <c r="E348" s="4">
        <v>1</v>
      </c>
      <c r="F348" s="8">
        <v>3.45</v>
      </c>
      <c r="G348" s="4">
        <v>0</v>
      </c>
      <c r="H348" s="8">
        <v>0</v>
      </c>
      <c r="I348" s="4">
        <v>0</v>
      </c>
    </row>
    <row r="349" spans="1:9" x14ac:dyDescent="0.2">
      <c r="A349" s="2">
        <v>9</v>
      </c>
      <c r="B349" s="1" t="s">
        <v>191</v>
      </c>
      <c r="C349" s="4">
        <v>1</v>
      </c>
      <c r="D349" s="8">
        <v>2.17</v>
      </c>
      <c r="E349" s="4">
        <v>0</v>
      </c>
      <c r="F349" s="8">
        <v>0</v>
      </c>
      <c r="G349" s="4">
        <v>1</v>
      </c>
      <c r="H349" s="8">
        <v>7.69</v>
      </c>
      <c r="I349" s="4">
        <v>0</v>
      </c>
    </row>
    <row r="350" spans="1:9" x14ac:dyDescent="0.2">
      <c r="A350" s="2">
        <v>9</v>
      </c>
      <c r="B350" s="1" t="s">
        <v>123</v>
      </c>
      <c r="C350" s="4">
        <v>1</v>
      </c>
      <c r="D350" s="8">
        <v>2.17</v>
      </c>
      <c r="E350" s="4">
        <v>1</v>
      </c>
      <c r="F350" s="8">
        <v>3.45</v>
      </c>
      <c r="G350" s="4">
        <v>0</v>
      </c>
      <c r="H350" s="8">
        <v>0</v>
      </c>
      <c r="I350" s="4">
        <v>0</v>
      </c>
    </row>
    <row r="351" spans="1:9" x14ac:dyDescent="0.2">
      <c r="A351" s="2">
        <v>9</v>
      </c>
      <c r="B351" s="1" t="s">
        <v>124</v>
      </c>
      <c r="C351" s="4">
        <v>1</v>
      </c>
      <c r="D351" s="8">
        <v>2.17</v>
      </c>
      <c r="E351" s="4">
        <v>1</v>
      </c>
      <c r="F351" s="8">
        <v>3.45</v>
      </c>
      <c r="G351" s="4">
        <v>0</v>
      </c>
      <c r="H351" s="8">
        <v>0</v>
      </c>
      <c r="I351" s="4">
        <v>0</v>
      </c>
    </row>
    <row r="352" spans="1:9" x14ac:dyDescent="0.2">
      <c r="A352" s="2">
        <v>9</v>
      </c>
      <c r="B352" s="1" t="s">
        <v>160</v>
      </c>
      <c r="C352" s="4">
        <v>1</v>
      </c>
      <c r="D352" s="8">
        <v>2.17</v>
      </c>
      <c r="E352" s="4">
        <v>0</v>
      </c>
      <c r="F352" s="8">
        <v>0</v>
      </c>
      <c r="G352" s="4">
        <v>1</v>
      </c>
      <c r="H352" s="8">
        <v>7.69</v>
      </c>
      <c r="I352" s="4">
        <v>0</v>
      </c>
    </row>
    <row r="353" spans="1:9" x14ac:dyDescent="0.2">
      <c r="A353" s="2">
        <v>9</v>
      </c>
      <c r="B353" s="1" t="s">
        <v>192</v>
      </c>
      <c r="C353" s="4">
        <v>1</v>
      </c>
      <c r="D353" s="8">
        <v>2.17</v>
      </c>
      <c r="E353" s="4">
        <v>0</v>
      </c>
      <c r="F353" s="8">
        <v>0</v>
      </c>
      <c r="G353" s="4">
        <v>1</v>
      </c>
      <c r="H353" s="8">
        <v>7.69</v>
      </c>
      <c r="I353" s="4">
        <v>0</v>
      </c>
    </row>
    <row r="354" spans="1:9" x14ac:dyDescent="0.2">
      <c r="A354" s="2">
        <v>9</v>
      </c>
      <c r="B354" s="1" t="s">
        <v>193</v>
      </c>
      <c r="C354" s="4">
        <v>1</v>
      </c>
      <c r="D354" s="8">
        <v>2.17</v>
      </c>
      <c r="E354" s="4">
        <v>0</v>
      </c>
      <c r="F354" s="8">
        <v>0</v>
      </c>
      <c r="G354" s="4">
        <v>1</v>
      </c>
      <c r="H354" s="8">
        <v>7.69</v>
      </c>
      <c r="I354" s="4">
        <v>0</v>
      </c>
    </row>
    <row r="355" spans="1:9" x14ac:dyDescent="0.2">
      <c r="A355" s="2">
        <v>9</v>
      </c>
      <c r="B355" s="1" t="s">
        <v>149</v>
      </c>
      <c r="C355" s="4">
        <v>1</v>
      </c>
      <c r="D355" s="8">
        <v>2.17</v>
      </c>
      <c r="E355" s="4">
        <v>1</v>
      </c>
      <c r="F355" s="8">
        <v>3.45</v>
      </c>
      <c r="G355" s="4">
        <v>0</v>
      </c>
      <c r="H355" s="8">
        <v>0</v>
      </c>
      <c r="I355" s="4">
        <v>0</v>
      </c>
    </row>
    <row r="356" spans="1:9" x14ac:dyDescent="0.2">
      <c r="A356" s="2">
        <v>9</v>
      </c>
      <c r="B356" s="1" t="s">
        <v>131</v>
      </c>
      <c r="C356" s="4">
        <v>1</v>
      </c>
      <c r="D356" s="8">
        <v>2.17</v>
      </c>
      <c r="E356" s="4">
        <v>1</v>
      </c>
      <c r="F356" s="8">
        <v>3.45</v>
      </c>
      <c r="G356" s="4">
        <v>0</v>
      </c>
      <c r="H356" s="8">
        <v>0</v>
      </c>
      <c r="I356" s="4">
        <v>0</v>
      </c>
    </row>
    <row r="357" spans="1:9" x14ac:dyDescent="0.2">
      <c r="A357" s="2">
        <v>9</v>
      </c>
      <c r="B357" s="1" t="s">
        <v>132</v>
      </c>
      <c r="C357" s="4">
        <v>1</v>
      </c>
      <c r="D357" s="8">
        <v>2.17</v>
      </c>
      <c r="E357" s="4">
        <v>1</v>
      </c>
      <c r="F357" s="8">
        <v>3.45</v>
      </c>
      <c r="G357" s="4">
        <v>0</v>
      </c>
      <c r="H357" s="8">
        <v>0</v>
      </c>
      <c r="I357" s="4">
        <v>0</v>
      </c>
    </row>
    <row r="358" spans="1:9" x14ac:dyDescent="0.2">
      <c r="A358" s="2">
        <v>9</v>
      </c>
      <c r="B358" s="1" t="s">
        <v>194</v>
      </c>
      <c r="C358" s="4">
        <v>1</v>
      </c>
      <c r="D358" s="8">
        <v>2.17</v>
      </c>
      <c r="E358" s="4">
        <v>0</v>
      </c>
      <c r="F358" s="8">
        <v>0</v>
      </c>
      <c r="G358" s="4">
        <v>1</v>
      </c>
      <c r="H358" s="8">
        <v>7.69</v>
      </c>
      <c r="I358" s="4">
        <v>0</v>
      </c>
    </row>
    <row r="359" spans="1:9" x14ac:dyDescent="0.2">
      <c r="A359" s="2">
        <v>9</v>
      </c>
      <c r="B359" s="1" t="s">
        <v>195</v>
      </c>
      <c r="C359" s="4">
        <v>1</v>
      </c>
      <c r="D359" s="8">
        <v>2.17</v>
      </c>
      <c r="E359" s="4">
        <v>0</v>
      </c>
      <c r="F359" s="8">
        <v>0</v>
      </c>
      <c r="G359" s="4">
        <v>1</v>
      </c>
      <c r="H359" s="8">
        <v>7.69</v>
      </c>
      <c r="I359" s="4">
        <v>0</v>
      </c>
    </row>
    <row r="360" spans="1:9" x14ac:dyDescent="0.2">
      <c r="A360" s="2">
        <v>9</v>
      </c>
      <c r="B360" s="1" t="s">
        <v>150</v>
      </c>
      <c r="C360" s="4">
        <v>1</v>
      </c>
      <c r="D360" s="8">
        <v>2.17</v>
      </c>
      <c r="E360" s="4">
        <v>0</v>
      </c>
      <c r="F360" s="8">
        <v>0</v>
      </c>
      <c r="G360" s="4">
        <v>1</v>
      </c>
      <c r="H360" s="8">
        <v>7.69</v>
      </c>
      <c r="I360" s="4">
        <v>0</v>
      </c>
    </row>
    <row r="361" spans="1:9" x14ac:dyDescent="0.2">
      <c r="A361" s="2">
        <v>9</v>
      </c>
      <c r="B361" s="1" t="s">
        <v>182</v>
      </c>
      <c r="C361" s="4">
        <v>1</v>
      </c>
      <c r="D361" s="8">
        <v>2.17</v>
      </c>
      <c r="E361" s="4">
        <v>0</v>
      </c>
      <c r="F361" s="8">
        <v>0</v>
      </c>
      <c r="G361" s="4">
        <v>0</v>
      </c>
      <c r="H361" s="8">
        <v>0</v>
      </c>
      <c r="I361" s="4">
        <v>1</v>
      </c>
    </row>
    <row r="362" spans="1:9" x14ac:dyDescent="0.2">
      <c r="A362" s="2">
        <v>9</v>
      </c>
      <c r="B362" s="1" t="s">
        <v>196</v>
      </c>
      <c r="C362" s="4">
        <v>1</v>
      </c>
      <c r="D362" s="8">
        <v>2.17</v>
      </c>
      <c r="E362" s="4">
        <v>0</v>
      </c>
      <c r="F362" s="8">
        <v>0</v>
      </c>
      <c r="G362" s="4">
        <v>0</v>
      </c>
      <c r="H362" s="8">
        <v>0</v>
      </c>
      <c r="I362" s="4">
        <v>0</v>
      </c>
    </row>
    <row r="363" spans="1:9" x14ac:dyDescent="0.2">
      <c r="A363" s="2">
        <v>9</v>
      </c>
      <c r="B363" s="1" t="s">
        <v>141</v>
      </c>
      <c r="C363" s="4">
        <v>1</v>
      </c>
      <c r="D363" s="8">
        <v>2.17</v>
      </c>
      <c r="E363" s="4">
        <v>1</v>
      </c>
      <c r="F363" s="8">
        <v>3.45</v>
      </c>
      <c r="G363" s="4">
        <v>0</v>
      </c>
      <c r="H363" s="8">
        <v>0</v>
      </c>
      <c r="I363" s="4">
        <v>0</v>
      </c>
    </row>
    <row r="364" spans="1:9" x14ac:dyDescent="0.2">
      <c r="A364" s="1"/>
      <c r="C364" s="4"/>
      <c r="D364" s="8"/>
      <c r="E364" s="4"/>
      <c r="F364" s="8"/>
      <c r="G364" s="4"/>
      <c r="H364" s="8"/>
      <c r="I364" s="4"/>
    </row>
    <row r="365" spans="1:9" x14ac:dyDescent="0.2">
      <c r="A365" s="1" t="s">
        <v>15</v>
      </c>
      <c r="C365" s="4"/>
      <c r="D365" s="8"/>
      <c r="E365" s="4"/>
      <c r="F365" s="8"/>
      <c r="G365" s="4"/>
      <c r="H365" s="8"/>
      <c r="I365" s="4"/>
    </row>
    <row r="366" spans="1:9" x14ac:dyDescent="0.2">
      <c r="A366" s="2">
        <v>1</v>
      </c>
      <c r="B366" s="1" t="s">
        <v>153</v>
      </c>
      <c r="C366" s="4">
        <v>19</v>
      </c>
      <c r="D366" s="8">
        <v>6.64</v>
      </c>
      <c r="E366" s="4">
        <v>19</v>
      </c>
      <c r="F366" s="8">
        <v>8.76</v>
      </c>
      <c r="G366" s="4">
        <v>0</v>
      </c>
      <c r="H366" s="8">
        <v>0</v>
      </c>
      <c r="I366" s="4">
        <v>0</v>
      </c>
    </row>
    <row r="367" spans="1:9" x14ac:dyDescent="0.2">
      <c r="A367" s="2">
        <v>2</v>
      </c>
      <c r="B367" s="1" t="s">
        <v>130</v>
      </c>
      <c r="C367" s="4">
        <v>18</v>
      </c>
      <c r="D367" s="8">
        <v>6.29</v>
      </c>
      <c r="E367" s="4">
        <v>11</v>
      </c>
      <c r="F367" s="8">
        <v>5.07</v>
      </c>
      <c r="G367" s="4">
        <v>7</v>
      </c>
      <c r="H367" s="8">
        <v>11.67</v>
      </c>
      <c r="I367" s="4">
        <v>0</v>
      </c>
    </row>
    <row r="368" spans="1:9" x14ac:dyDescent="0.2">
      <c r="A368" s="2">
        <v>3</v>
      </c>
      <c r="B368" s="1" t="s">
        <v>148</v>
      </c>
      <c r="C368" s="4">
        <v>16</v>
      </c>
      <c r="D368" s="8">
        <v>5.59</v>
      </c>
      <c r="E368" s="4">
        <v>12</v>
      </c>
      <c r="F368" s="8">
        <v>5.53</v>
      </c>
      <c r="G368" s="4">
        <v>4</v>
      </c>
      <c r="H368" s="8">
        <v>6.67</v>
      </c>
      <c r="I368" s="4">
        <v>0</v>
      </c>
    </row>
    <row r="369" spans="1:9" x14ac:dyDescent="0.2">
      <c r="A369" s="2">
        <v>3</v>
      </c>
      <c r="B369" s="1" t="s">
        <v>136</v>
      </c>
      <c r="C369" s="4">
        <v>16</v>
      </c>
      <c r="D369" s="8">
        <v>5.59</v>
      </c>
      <c r="E369" s="4">
        <v>16</v>
      </c>
      <c r="F369" s="8">
        <v>7.37</v>
      </c>
      <c r="G369" s="4">
        <v>0</v>
      </c>
      <c r="H369" s="8">
        <v>0</v>
      </c>
      <c r="I369" s="4">
        <v>0</v>
      </c>
    </row>
    <row r="370" spans="1:9" x14ac:dyDescent="0.2">
      <c r="A370" s="2">
        <v>5</v>
      </c>
      <c r="B370" s="1" t="s">
        <v>128</v>
      </c>
      <c r="C370" s="4">
        <v>11</v>
      </c>
      <c r="D370" s="8">
        <v>3.85</v>
      </c>
      <c r="E370" s="4">
        <v>10</v>
      </c>
      <c r="F370" s="8">
        <v>4.6100000000000003</v>
      </c>
      <c r="G370" s="4">
        <v>1</v>
      </c>
      <c r="H370" s="8">
        <v>1.67</v>
      </c>
      <c r="I370" s="4">
        <v>0</v>
      </c>
    </row>
    <row r="371" spans="1:9" x14ac:dyDescent="0.2">
      <c r="A371" s="2">
        <v>5</v>
      </c>
      <c r="B371" s="1" t="s">
        <v>131</v>
      </c>
      <c r="C371" s="4">
        <v>11</v>
      </c>
      <c r="D371" s="8">
        <v>3.85</v>
      </c>
      <c r="E371" s="4">
        <v>10</v>
      </c>
      <c r="F371" s="8">
        <v>4.6100000000000003</v>
      </c>
      <c r="G371" s="4">
        <v>1</v>
      </c>
      <c r="H371" s="8">
        <v>1.67</v>
      </c>
      <c r="I371" s="4">
        <v>0</v>
      </c>
    </row>
    <row r="372" spans="1:9" x14ac:dyDescent="0.2">
      <c r="A372" s="2">
        <v>7</v>
      </c>
      <c r="B372" s="1" t="s">
        <v>123</v>
      </c>
      <c r="C372" s="4">
        <v>10</v>
      </c>
      <c r="D372" s="8">
        <v>3.5</v>
      </c>
      <c r="E372" s="4">
        <v>9</v>
      </c>
      <c r="F372" s="8">
        <v>4.1500000000000004</v>
      </c>
      <c r="G372" s="4">
        <v>1</v>
      </c>
      <c r="H372" s="8">
        <v>1.67</v>
      </c>
      <c r="I372" s="4">
        <v>0</v>
      </c>
    </row>
    <row r="373" spans="1:9" x14ac:dyDescent="0.2">
      <c r="A373" s="2">
        <v>7</v>
      </c>
      <c r="B373" s="1" t="s">
        <v>134</v>
      </c>
      <c r="C373" s="4">
        <v>10</v>
      </c>
      <c r="D373" s="8">
        <v>3.5</v>
      </c>
      <c r="E373" s="4">
        <v>8</v>
      </c>
      <c r="F373" s="8">
        <v>3.69</v>
      </c>
      <c r="G373" s="4">
        <v>2</v>
      </c>
      <c r="H373" s="8">
        <v>3.33</v>
      </c>
      <c r="I373" s="4">
        <v>0</v>
      </c>
    </row>
    <row r="374" spans="1:9" x14ac:dyDescent="0.2">
      <c r="A374" s="2">
        <v>9</v>
      </c>
      <c r="B374" s="1" t="s">
        <v>149</v>
      </c>
      <c r="C374" s="4">
        <v>8</v>
      </c>
      <c r="D374" s="8">
        <v>2.8</v>
      </c>
      <c r="E374" s="4">
        <v>7</v>
      </c>
      <c r="F374" s="8">
        <v>3.23</v>
      </c>
      <c r="G374" s="4">
        <v>1</v>
      </c>
      <c r="H374" s="8">
        <v>1.67</v>
      </c>
      <c r="I374" s="4">
        <v>0</v>
      </c>
    </row>
    <row r="375" spans="1:9" x14ac:dyDescent="0.2">
      <c r="A375" s="2">
        <v>9</v>
      </c>
      <c r="B375" s="1" t="s">
        <v>132</v>
      </c>
      <c r="C375" s="4">
        <v>8</v>
      </c>
      <c r="D375" s="8">
        <v>2.8</v>
      </c>
      <c r="E375" s="4">
        <v>8</v>
      </c>
      <c r="F375" s="8">
        <v>3.69</v>
      </c>
      <c r="G375" s="4">
        <v>0</v>
      </c>
      <c r="H375" s="8">
        <v>0</v>
      </c>
      <c r="I375" s="4">
        <v>0</v>
      </c>
    </row>
    <row r="376" spans="1:9" x14ac:dyDescent="0.2">
      <c r="A376" s="2">
        <v>11</v>
      </c>
      <c r="B376" s="1" t="s">
        <v>133</v>
      </c>
      <c r="C376" s="4">
        <v>7</v>
      </c>
      <c r="D376" s="8">
        <v>2.4500000000000002</v>
      </c>
      <c r="E376" s="4">
        <v>7</v>
      </c>
      <c r="F376" s="8">
        <v>3.23</v>
      </c>
      <c r="G376" s="4">
        <v>0</v>
      </c>
      <c r="H376" s="8">
        <v>0</v>
      </c>
      <c r="I376" s="4">
        <v>0</v>
      </c>
    </row>
    <row r="377" spans="1:9" x14ac:dyDescent="0.2">
      <c r="A377" s="2">
        <v>11</v>
      </c>
      <c r="B377" s="1" t="s">
        <v>141</v>
      </c>
      <c r="C377" s="4">
        <v>7</v>
      </c>
      <c r="D377" s="8">
        <v>2.4500000000000002</v>
      </c>
      <c r="E377" s="4">
        <v>7</v>
      </c>
      <c r="F377" s="8">
        <v>3.23</v>
      </c>
      <c r="G377" s="4">
        <v>0</v>
      </c>
      <c r="H377" s="8">
        <v>0</v>
      </c>
      <c r="I377" s="4">
        <v>0</v>
      </c>
    </row>
    <row r="378" spans="1:9" x14ac:dyDescent="0.2">
      <c r="A378" s="2">
        <v>13</v>
      </c>
      <c r="B378" s="1" t="s">
        <v>122</v>
      </c>
      <c r="C378" s="4">
        <v>6</v>
      </c>
      <c r="D378" s="8">
        <v>2.1</v>
      </c>
      <c r="E378" s="4">
        <v>0</v>
      </c>
      <c r="F378" s="8">
        <v>0</v>
      </c>
      <c r="G378" s="4">
        <v>6</v>
      </c>
      <c r="H378" s="8">
        <v>10</v>
      </c>
      <c r="I378" s="4">
        <v>0</v>
      </c>
    </row>
    <row r="379" spans="1:9" x14ac:dyDescent="0.2">
      <c r="A379" s="2">
        <v>14</v>
      </c>
      <c r="B379" s="1" t="s">
        <v>144</v>
      </c>
      <c r="C379" s="4">
        <v>5</v>
      </c>
      <c r="D379" s="8">
        <v>1.75</v>
      </c>
      <c r="E379" s="4">
        <v>5</v>
      </c>
      <c r="F379" s="8">
        <v>2.2999999999999998</v>
      </c>
      <c r="G379" s="4">
        <v>0</v>
      </c>
      <c r="H379" s="8">
        <v>0</v>
      </c>
      <c r="I379" s="4">
        <v>0</v>
      </c>
    </row>
    <row r="380" spans="1:9" x14ac:dyDescent="0.2">
      <c r="A380" s="2">
        <v>14</v>
      </c>
      <c r="B380" s="1" t="s">
        <v>135</v>
      </c>
      <c r="C380" s="4">
        <v>5</v>
      </c>
      <c r="D380" s="8">
        <v>1.75</v>
      </c>
      <c r="E380" s="4">
        <v>5</v>
      </c>
      <c r="F380" s="8">
        <v>2.2999999999999998</v>
      </c>
      <c r="G380" s="4">
        <v>0</v>
      </c>
      <c r="H380" s="8">
        <v>0</v>
      </c>
      <c r="I380" s="4">
        <v>0</v>
      </c>
    </row>
    <row r="381" spans="1:9" x14ac:dyDescent="0.2">
      <c r="A381" s="2">
        <v>14</v>
      </c>
      <c r="B381" s="1" t="s">
        <v>185</v>
      </c>
      <c r="C381" s="4">
        <v>5</v>
      </c>
      <c r="D381" s="8">
        <v>1.75</v>
      </c>
      <c r="E381" s="4">
        <v>0</v>
      </c>
      <c r="F381" s="8">
        <v>0</v>
      </c>
      <c r="G381" s="4">
        <v>0</v>
      </c>
      <c r="H381" s="8">
        <v>0</v>
      </c>
      <c r="I381" s="4">
        <v>5</v>
      </c>
    </row>
    <row r="382" spans="1:9" x14ac:dyDescent="0.2">
      <c r="A382" s="2">
        <v>17</v>
      </c>
      <c r="B382" s="1" t="s">
        <v>197</v>
      </c>
      <c r="C382" s="4">
        <v>4</v>
      </c>
      <c r="D382" s="8">
        <v>1.4</v>
      </c>
      <c r="E382" s="4">
        <v>0</v>
      </c>
      <c r="F382" s="8">
        <v>0</v>
      </c>
      <c r="G382" s="4">
        <v>4</v>
      </c>
      <c r="H382" s="8">
        <v>6.67</v>
      </c>
      <c r="I382" s="4">
        <v>0</v>
      </c>
    </row>
    <row r="383" spans="1:9" x14ac:dyDescent="0.2">
      <c r="A383" s="2">
        <v>17</v>
      </c>
      <c r="B383" s="1" t="s">
        <v>198</v>
      </c>
      <c r="C383" s="4">
        <v>4</v>
      </c>
      <c r="D383" s="8">
        <v>1.4</v>
      </c>
      <c r="E383" s="4">
        <v>3</v>
      </c>
      <c r="F383" s="8">
        <v>1.38</v>
      </c>
      <c r="G383" s="4">
        <v>1</v>
      </c>
      <c r="H383" s="8">
        <v>1.67</v>
      </c>
      <c r="I383" s="4">
        <v>0</v>
      </c>
    </row>
    <row r="384" spans="1:9" x14ac:dyDescent="0.2">
      <c r="A384" s="2">
        <v>17</v>
      </c>
      <c r="B384" s="1" t="s">
        <v>156</v>
      </c>
      <c r="C384" s="4">
        <v>4</v>
      </c>
      <c r="D384" s="8">
        <v>1.4</v>
      </c>
      <c r="E384" s="4">
        <v>4</v>
      </c>
      <c r="F384" s="8">
        <v>1.84</v>
      </c>
      <c r="G384" s="4">
        <v>0</v>
      </c>
      <c r="H384" s="8">
        <v>0</v>
      </c>
      <c r="I384" s="4">
        <v>0</v>
      </c>
    </row>
    <row r="385" spans="1:9" x14ac:dyDescent="0.2">
      <c r="A385" s="2">
        <v>17</v>
      </c>
      <c r="B385" s="1" t="s">
        <v>124</v>
      </c>
      <c r="C385" s="4">
        <v>4</v>
      </c>
      <c r="D385" s="8">
        <v>1.4</v>
      </c>
      <c r="E385" s="4">
        <v>3</v>
      </c>
      <c r="F385" s="8">
        <v>1.38</v>
      </c>
      <c r="G385" s="4">
        <v>1</v>
      </c>
      <c r="H385" s="8">
        <v>1.67</v>
      </c>
      <c r="I385" s="4">
        <v>0</v>
      </c>
    </row>
    <row r="386" spans="1:9" x14ac:dyDescent="0.2">
      <c r="A386" s="2">
        <v>17</v>
      </c>
      <c r="B386" s="1" t="s">
        <v>150</v>
      </c>
      <c r="C386" s="4">
        <v>4</v>
      </c>
      <c r="D386" s="8">
        <v>1.4</v>
      </c>
      <c r="E386" s="4">
        <v>3</v>
      </c>
      <c r="F386" s="8">
        <v>1.38</v>
      </c>
      <c r="G386" s="4">
        <v>1</v>
      </c>
      <c r="H386" s="8">
        <v>1.67</v>
      </c>
      <c r="I386" s="4">
        <v>0</v>
      </c>
    </row>
    <row r="387" spans="1:9" x14ac:dyDescent="0.2">
      <c r="A387" s="2">
        <v>17</v>
      </c>
      <c r="B387" s="1" t="s">
        <v>138</v>
      </c>
      <c r="C387" s="4">
        <v>4</v>
      </c>
      <c r="D387" s="8">
        <v>1.4</v>
      </c>
      <c r="E387" s="4">
        <v>4</v>
      </c>
      <c r="F387" s="8">
        <v>1.84</v>
      </c>
      <c r="G387" s="4">
        <v>0</v>
      </c>
      <c r="H387" s="8">
        <v>0</v>
      </c>
      <c r="I387" s="4">
        <v>0</v>
      </c>
    </row>
    <row r="388" spans="1:9" x14ac:dyDescent="0.2">
      <c r="A388" s="2">
        <v>17</v>
      </c>
      <c r="B388" s="1" t="s">
        <v>139</v>
      </c>
      <c r="C388" s="4">
        <v>4</v>
      </c>
      <c r="D388" s="8">
        <v>1.4</v>
      </c>
      <c r="E388" s="4">
        <v>4</v>
      </c>
      <c r="F388" s="8">
        <v>1.84</v>
      </c>
      <c r="G388" s="4">
        <v>0</v>
      </c>
      <c r="H388" s="8">
        <v>0</v>
      </c>
      <c r="I388" s="4">
        <v>0</v>
      </c>
    </row>
    <row r="389" spans="1:9" x14ac:dyDescent="0.2">
      <c r="A389" s="1"/>
      <c r="C389" s="4"/>
      <c r="D389" s="8"/>
      <c r="E389" s="4"/>
      <c r="F389" s="8"/>
      <c r="G389" s="4"/>
      <c r="H389" s="8"/>
      <c r="I389" s="4"/>
    </row>
    <row r="390" spans="1:9" x14ac:dyDescent="0.2">
      <c r="A390" s="1" t="s">
        <v>16</v>
      </c>
      <c r="C390" s="4"/>
      <c r="D390" s="8"/>
      <c r="E390" s="4"/>
      <c r="F390" s="8"/>
      <c r="G390" s="4"/>
      <c r="H390" s="8"/>
      <c r="I390" s="4"/>
    </row>
    <row r="391" spans="1:9" x14ac:dyDescent="0.2">
      <c r="A391" s="2">
        <v>1</v>
      </c>
      <c r="B391" s="1" t="s">
        <v>131</v>
      </c>
      <c r="C391" s="4">
        <v>31</v>
      </c>
      <c r="D391" s="8">
        <v>6.58</v>
      </c>
      <c r="E391" s="4">
        <v>24</v>
      </c>
      <c r="F391" s="8">
        <v>6.4</v>
      </c>
      <c r="G391" s="4">
        <v>7</v>
      </c>
      <c r="H391" s="8">
        <v>7.78</v>
      </c>
      <c r="I391" s="4">
        <v>0</v>
      </c>
    </row>
    <row r="392" spans="1:9" x14ac:dyDescent="0.2">
      <c r="A392" s="2">
        <v>2</v>
      </c>
      <c r="B392" s="1" t="s">
        <v>134</v>
      </c>
      <c r="C392" s="4">
        <v>28</v>
      </c>
      <c r="D392" s="8">
        <v>5.94</v>
      </c>
      <c r="E392" s="4">
        <v>28</v>
      </c>
      <c r="F392" s="8">
        <v>7.47</v>
      </c>
      <c r="G392" s="4">
        <v>0</v>
      </c>
      <c r="H392" s="8">
        <v>0</v>
      </c>
      <c r="I392" s="4">
        <v>0</v>
      </c>
    </row>
    <row r="393" spans="1:9" x14ac:dyDescent="0.2">
      <c r="A393" s="2">
        <v>3</v>
      </c>
      <c r="B393" s="1" t="s">
        <v>133</v>
      </c>
      <c r="C393" s="4">
        <v>27</v>
      </c>
      <c r="D393" s="8">
        <v>5.73</v>
      </c>
      <c r="E393" s="4">
        <v>26</v>
      </c>
      <c r="F393" s="8">
        <v>6.93</v>
      </c>
      <c r="G393" s="4">
        <v>0</v>
      </c>
      <c r="H393" s="8">
        <v>0</v>
      </c>
      <c r="I393" s="4">
        <v>1</v>
      </c>
    </row>
    <row r="394" spans="1:9" x14ac:dyDescent="0.2">
      <c r="A394" s="2">
        <v>4</v>
      </c>
      <c r="B394" s="1" t="s">
        <v>130</v>
      </c>
      <c r="C394" s="4">
        <v>24</v>
      </c>
      <c r="D394" s="8">
        <v>5.0999999999999996</v>
      </c>
      <c r="E394" s="4">
        <v>19</v>
      </c>
      <c r="F394" s="8">
        <v>5.07</v>
      </c>
      <c r="G394" s="4">
        <v>5</v>
      </c>
      <c r="H394" s="8">
        <v>5.56</v>
      </c>
      <c r="I394" s="4">
        <v>0</v>
      </c>
    </row>
    <row r="395" spans="1:9" x14ac:dyDescent="0.2">
      <c r="A395" s="2">
        <v>5</v>
      </c>
      <c r="B395" s="1" t="s">
        <v>136</v>
      </c>
      <c r="C395" s="4">
        <v>23</v>
      </c>
      <c r="D395" s="8">
        <v>4.88</v>
      </c>
      <c r="E395" s="4">
        <v>23</v>
      </c>
      <c r="F395" s="8">
        <v>6.13</v>
      </c>
      <c r="G395" s="4">
        <v>0</v>
      </c>
      <c r="H395" s="8">
        <v>0</v>
      </c>
      <c r="I395" s="4">
        <v>0</v>
      </c>
    </row>
    <row r="396" spans="1:9" x14ac:dyDescent="0.2">
      <c r="A396" s="2">
        <v>6</v>
      </c>
      <c r="B396" s="1" t="s">
        <v>123</v>
      </c>
      <c r="C396" s="4">
        <v>20</v>
      </c>
      <c r="D396" s="8">
        <v>4.25</v>
      </c>
      <c r="E396" s="4">
        <v>20</v>
      </c>
      <c r="F396" s="8">
        <v>5.33</v>
      </c>
      <c r="G396" s="4">
        <v>0</v>
      </c>
      <c r="H396" s="8">
        <v>0</v>
      </c>
      <c r="I396" s="4">
        <v>0</v>
      </c>
    </row>
    <row r="397" spans="1:9" x14ac:dyDescent="0.2">
      <c r="A397" s="2">
        <v>7</v>
      </c>
      <c r="B397" s="1" t="s">
        <v>126</v>
      </c>
      <c r="C397" s="4">
        <v>15</v>
      </c>
      <c r="D397" s="8">
        <v>3.18</v>
      </c>
      <c r="E397" s="4">
        <v>13</v>
      </c>
      <c r="F397" s="8">
        <v>3.47</v>
      </c>
      <c r="G397" s="4">
        <v>2</v>
      </c>
      <c r="H397" s="8">
        <v>2.2200000000000002</v>
      </c>
      <c r="I397" s="4">
        <v>0</v>
      </c>
    </row>
    <row r="398" spans="1:9" x14ac:dyDescent="0.2">
      <c r="A398" s="2">
        <v>7</v>
      </c>
      <c r="B398" s="1" t="s">
        <v>132</v>
      </c>
      <c r="C398" s="4">
        <v>15</v>
      </c>
      <c r="D398" s="8">
        <v>3.18</v>
      </c>
      <c r="E398" s="4">
        <v>14</v>
      </c>
      <c r="F398" s="8">
        <v>3.73</v>
      </c>
      <c r="G398" s="4">
        <v>1</v>
      </c>
      <c r="H398" s="8">
        <v>1.1100000000000001</v>
      </c>
      <c r="I398" s="4">
        <v>0</v>
      </c>
    </row>
    <row r="399" spans="1:9" x14ac:dyDescent="0.2">
      <c r="A399" s="2">
        <v>9</v>
      </c>
      <c r="B399" s="1" t="s">
        <v>156</v>
      </c>
      <c r="C399" s="4">
        <v>14</v>
      </c>
      <c r="D399" s="8">
        <v>2.97</v>
      </c>
      <c r="E399" s="4">
        <v>14</v>
      </c>
      <c r="F399" s="8">
        <v>3.73</v>
      </c>
      <c r="G399" s="4">
        <v>0</v>
      </c>
      <c r="H399" s="8">
        <v>0</v>
      </c>
      <c r="I399" s="4">
        <v>0</v>
      </c>
    </row>
    <row r="400" spans="1:9" x14ac:dyDescent="0.2">
      <c r="A400" s="2">
        <v>10</v>
      </c>
      <c r="B400" s="1" t="s">
        <v>128</v>
      </c>
      <c r="C400" s="4">
        <v>13</v>
      </c>
      <c r="D400" s="8">
        <v>2.76</v>
      </c>
      <c r="E400" s="4">
        <v>8</v>
      </c>
      <c r="F400" s="8">
        <v>2.13</v>
      </c>
      <c r="G400" s="4">
        <v>5</v>
      </c>
      <c r="H400" s="8">
        <v>5.56</v>
      </c>
      <c r="I400" s="4">
        <v>0</v>
      </c>
    </row>
    <row r="401" spans="1:9" x14ac:dyDescent="0.2">
      <c r="A401" s="2">
        <v>10</v>
      </c>
      <c r="B401" s="1" t="s">
        <v>149</v>
      </c>
      <c r="C401" s="4">
        <v>13</v>
      </c>
      <c r="D401" s="8">
        <v>2.76</v>
      </c>
      <c r="E401" s="4">
        <v>13</v>
      </c>
      <c r="F401" s="8">
        <v>3.47</v>
      </c>
      <c r="G401" s="4">
        <v>0</v>
      </c>
      <c r="H401" s="8">
        <v>0</v>
      </c>
      <c r="I401" s="4">
        <v>0</v>
      </c>
    </row>
    <row r="402" spans="1:9" x14ac:dyDescent="0.2">
      <c r="A402" s="2">
        <v>12</v>
      </c>
      <c r="B402" s="1" t="s">
        <v>135</v>
      </c>
      <c r="C402" s="4">
        <v>12</v>
      </c>
      <c r="D402" s="8">
        <v>2.5499999999999998</v>
      </c>
      <c r="E402" s="4">
        <v>12</v>
      </c>
      <c r="F402" s="8">
        <v>3.2</v>
      </c>
      <c r="G402" s="4">
        <v>0</v>
      </c>
      <c r="H402" s="8">
        <v>0</v>
      </c>
      <c r="I402" s="4">
        <v>0</v>
      </c>
    </row>
    <row r="403" spans="1:9" x14ac:dyDescent="0.2">
      <c r="A403" s="2">
        <v>13</v>
      </c>
      <c r="B403" s="1" t="s">
        <v>139</v>
      </c>
      <c r="C403" s="4">
        <v>11</v>
      </c>
      <c r="D403" s="8">
        <v>2.34</v>
      </c>
      <c r="E403" s="4">
        <v>11</v>
      </c>
      <c r="F403" s="8">
        <v>2.93</v>
      </c>
      <c r="G403" s="4">
        <v>0</v>
      </c>
      <c r="H403" s="8">
        <v>0</v>
      </c>
      <c r="I403" s="4">
        <v>0</v>
      </c>
    </row>
    <row r="404" spans="1:9" x14ac:dyDescent="0.2">
      <c r="A404" s="2">
        <v>14</v>
      </c>
      <c r="B404" s="1" t="s">
        <v>199</v>
      </c>
      <c r="C404" s="4">
        <v>10</v>
      </c>
      <c r="D404" s="8">
        <v>2.12</v>
      </c>
      <c r="E404" s="4">
        <v>10</v>
      </c>
      <c r="F404" s="8">
        <v>2.67</v>
      </c>
      <c r="G404" s="4">
        <v>0</v>
      </c>
      <c r="H404" s="8">
        <v>0</v>
      </c>
      <c r="I404" s="4">
        <v>0</v>
      </c>
    </row>
    <row r="405" spans="1:9" x14ac:dyDescent="0.2">
      <c r="A405" s="2">
        <v>15</v>
      </c>
      <c r="B405" s="1" t="s">
        <v>163</v>
      </c>
      <c r="C405" s="4">
        <v>9</v>
      </c>
      <c r="D405" s="8">
        <v>1.91</v>
      </c>
      <c r="E405" s="4">
        <v>6</v>
      </c>
      <c r="F405" s="8">
        <v>1.6</v>
      </c>
      <c r="G405" s="4">
        <v>3</v>
      </c>
      <c r="H405" s="8">
        <v>3.33</v>
      </c>
      <c r="I405" s="4">
        <v>0</v>
      </c>
    </row>
    <row r="406" spans="1:9" x14ac:dyDescent="0.2">
      <c r="A406" s="2">
        <v>15</v>
      </c>
      <c r="B406" s="1" t="s">
        <v>153</v>
      </c>
      <c r="C406" s="4">
        <v>9</v>
      </c>
      <c r="D406" s="8">
        <v>1.91</v>
      </c>
      <c r="E406" s="4">
        <v>9</v>
      </c>
      <c r="F406" s="8">
        <v>2.4</v>
      </c>
      <c r="G406" s="4">
        <v>0</v>
      </c>
      <c r="H406" s="8">
        <v>0</v>
      </c>
      <c r="I406" s="4">
        <v>0</v>
      </c>
    </row>
    <row r="407" spans="1:9" x14ac:dyDescent="0.2">
      <c r="A407" s="2">
        <v>17</v>
      </c>
      <c r="B407" s="1" t="s">
        <v>150</v>
      </c>
      <c r="C407" s="4">
        <v>8</v>
      </c>
      <c r="D407" s="8">
        <v>1.7</v>
      </c>
      <c r="E407" s="4">
        <v>4</v>
      </c>
      <c r="F407" s="8">
        <v>1.07</v>
      </c>
      <c r="G407" s="4">
        <v>4</v>
      </c>
      <c r="H407" s="8">
        <v>4.4400000000000004</v>
      </c>
      <c r="I407" s="4">
        <v>0</v>
      </c>
    </row>
    <row r="408" spans="1:9" x14ac:dyDescent="0.2">
      <c r="A408" s="2">
        <v>18</v>
      </c>
      <c r="B408" s="1" t="s">
        <v>144</v>
      </c>
      <c r="C408" s="4">
        <v>7</v>
      </c>
      <c r="D408" s="8">
        <v>1.49</v>
      </c>
      <c r="E408" s="4">
        <v>7</v>
      </c>
      <c r="F408" s="8">
        <v>1.87</v>
      </c>
      <c r="G408" s="4">
        <v>0</v>
      </c>
      <c r="H408" s="8">
        <v>0</v>
      </c>
      <c r="I408" s="4">
        <v>0</v>
      </c>
    </row>
    <row r="409" spans="1:9" x14ac:dyDescent="0.2">
      <c r="A409" s="2">
        <v>18</v>
      </c>
      <c r="B409" s="1" t="s">
        <v>125</v>
      </c>
      <c r="C409" s="4">
        <v>7</v>
      </c>
      <c r="D409" s="8">
        <v>1.49</v>
      </c>
      <c r="E409" s="4">
        <v>4</v>
      </c>
      <c r="F409" s="8">
        <v>1.07</v>
      </c>
      <c r="G409" s="4">
        <v>3</v>
      </c>
      <c r="H409" s="8">
        <v>3.33</v>
      </c>
      <c r="I409" s="4">
        <v>0</v>
      </c>
    </row>
    <row r="410" spans="1:9" x14ac:dyDescent="0.2">
      <c r="A410" s="2">
        <v>18</v>
      </c>
      <c r="B410" s="1" t="s">
        <v>148</v>
      </c>
      <c r="C410" s="4">
        <v>7</v>
      </c>
      <c r="D410" s="8">
        <v>1.49</v>
      </c>
      <c r="E410" s="4">
        <v>5</v>
      </c>
      <c r="F410" s="8">
        <v>1.33</v>
      </c>
      <c r="G410" s="4">
        <v>2</v>
      </c>
      <c r="H410" s="8">
        <v>2.2200000000000002</v>
      </c>
      <c r="I410" s="4">
        <v>0</v>
      </c>
    </row>
    <row r="411" spans="1:9" x14ac:dyDescent="0.2">
      <c r="A411" s="2">
        <v>18</v>
      </c>
      <c r="B411" s="1" t="s">
        <v>200</v>
      </c>
      <c r="C411" s="4">
        <v>7</v>
      </c>
      <c r="D411" s="8">
        <v>1.49</v>
      </c>
      <c r="E411" s="4">
        <v>5</v>
      </c>
      <c r="F411" s="8">
        <v>1.33</v>
      </c>
      <c r="G411" s="4">
        <v>2</v>
      </c>
      <c r="H411" s="8">
        <v>2.2200000000000002</v>
      </c>
      <c r="I411" s="4">
        <v>0</v>
      </c>
    </row>
    <row r="412" spans="1:9" x14ac:dyDescent="0.2">
      <c r="A412" s="1"/>
      <c r="C412" s="4"/>
      <c r="D412" s="8"/>
      <c r="E412" s="4"/>
      <c r="F412" s="8"/>
      <c r="G412" s="4"/>
      <c r="H412" s="8"/>
      <c r="I412" s="4"/>
    </row>
    <row r="413" spans="1:9" x14ac:dyDescent="0.2">
      <c r="A413" s="1" t="s">
        <v>17</v>
      </c>
      <c r="C413" s="4"/>
      <c r="D413" s="8"/>
      <c r="E413" s="4"/>
      <c r="F413" s="8"/>
      <c r="G413" s="4"/>
      <c r="H413" s="8"/>
      <c r="I413" s="4"/>
    </row>
    <row r="414" spans="1:9" x14ac:dyDescent="0.2">
      <c r="A414" s="2">
        <v>1</v>
      </c>
      <c r="B414" s="1" t="s">
        <v>150</v>
      </c>
      <c r="C414" s="4">
        <v>17</v>
      </c>
      <c r="D414" s="8">
        <v>8.59</v>
      </c>
      <c r="E414" s="4">
        <v>6</v>
      </c>
      <c r="F414" s="8">
        <v>5.41</v>
      </c>
      <c r="G414" s="4">
        <v>11</v>
      </c>
      <c r="H414" s="8">
        <v>12.94</v>
      </c>
      <c r="I414" s="4">
        <v>0</v>
      </c>
    </row>
    <row r="415" spans="1:9" x14ac:dyDescent="0.2">
      <c r="A415" s="2">
        <v>2</v>
      </c>
      <c r="B415" s="1" t="s">
        <v>128</v>
      </c>
      <c r="C415" s="4">
        <v>12</v>
      </c>
      <c r="D415" s="8">
        <v>6.06</v>
      </c>
      <c r="E415" s="4">
        <v>8</v>
      </c>
      <c r="F415" s="8">
        <v>7.21</v>
      </c>
      <c r="G415" s="4">
        <v>4</v>
      </c>
      <c r="H415" s="8">
        <v>4.71</v>
      </c>
      <c r="I415" s="4">
        <v>0</v>
      </c>
    </row>
    <row r="416" spans="1:9" x14ac:dyDescent="0.2">
      <c r="A416" s="2">
        <v>3</v>
      </c>
      <c r="B416" s="1" t="s">
        <v>122</v>
      </c>
      <c r="C416" s="4">
        <v>11</v>
      </c>
      <c r="D416" s="8">
        <v>5.56</v>
      </c>
      <c r="E416" s="4">
        <v>0</v>
      </c>
      <c r="F416" s="8">
        <v>0</v>
      </c>
      <c r="G416" s="4">
        <v>11</v>
      </c>
      <c r="H416" s="8">
        <v>12.94</v>
      </c>
      <c r="I416" s="4">
        <v>0</v>
      </c>
    </row>
    <row r="417" spans="1:9" x14ac:dyDescent="0.2">
      <c r="A417" s="2">
        <v>3</v>
      </c>
      <c r="B417" s="1" t="s">
        <v>153</v>
      </c>
      <c r="C417" s="4">
        <v>11</v>
      </c>
      <c r="D417" s="8">
        <v>5.56</v>
      </c>
      <c r="E417" s="4">
        <v>11</v>
      </c>
      <c r="F417" s="8">
        <v>9.91</v>
      </c>
      <c r="G417" s="4">
        <v>0</v>
      </c>
      <c r="H417" s="8">
        <v>0</v>
      </c>
      <c r="I417" s="4">
        <v>0</v>
      </c>
    </row>
    <row r="418" spans="1:9" x14ac:dyDescent="0.2">
      <c r="A418" s="2">
        <v>5</v>
      </c>
      <c r="B418" s="1" t="s">
        <v>130</v>
      </c>
      <c r="C418" s="4">
        <v>10</v>
      </c>
      <c r="D418" s="8">
        <v>5.05</v>
      </c>
      <c r="E418" s="4">
        <v>5</v>
      </c>
      <c r="F418" s="8">
        <v>4.5</v>
      </c>
      <c r="G418" s="4">
        <v>5</v>
      </c>
      <c r="H418" s="8">
        <v>5.88</v>
      </c>
      <c r="I418" s="4">
        <v>0</v>
      </c>
    </row>
    <row r="419" spans="1:9" x14ac:dyDescent="0.2">
      <c r="A419" s="2">
        <v>6</v>
      </c>
      <c r="B419" s="1" t="s">
        <v>123</v>
      </c>
      <c r="C419" s="4">
        <v>8</v>
      </c>
      <c r="D419" s="8">
        <v>4.04</v>
      </c>
      <c r="E419" s="4">
        <v>5</v>
      </c>
      <c r="F419" s="8">
        <v>4.5</v>
      </c>
      <c r="G419" s="4">
        <v>3</v>
      </c>
      <c r="H419" s="8">
        <v>3.53</v>
      </c>
      <c r="I419" s="4">
        <v>0</v>
      </c>
    </row>
    <row r="420" spans="1:9" x14ac:dyDescent="0.2">
      <c r="A420" s="2">
        <v>7</v>
      </c>
      <c r="B420" s="1" t="s">
        <v>126</v>
      </c>
      <c r="C420" s="4">
        <v>6</v>
      </c>
      <c r="D420" s="8">
        <v>3.03</v>
      </c>
      <c r="E420" s="4">
        <v>2</v>
      </c>
      <c r="F420" s="8">
        <v>1.8</v>
      </c>
      <c r="G420" s="4">
        <v>4</v>
      </c>
      <c r="H420" s="8">
        <v>4.71</v>
      </c>
      <c r="I420" s="4">
        <v>0</v>
      </c>
    </row>
    <row r="421" spans="1:9" x14ac:dyDescent="0.2">
      <c r="A421" s="2">
        <v>7</v>
      </c>
      <c r="B421" s="1" t="s">
        <v>131</v>
      </c>
      <c r="C421" s="4">
        <v>6</v>
      </c>
      <c r="D421" s="8">
        <v>3.03</v>
      </c>
      <c r="E421" s="4">
        <v>4</v>
      </c>
      <c r="F421" s="8">
        <v>3.6</v>
      </c>
      <c r="G421" s="4">
        <v>2</v>
      </c>
      <c r="H421" s="8">
        <v>2.35</v>
      </c>
      <c r="I421" s="4">
        <v>0</v>
      </c>
    </row>
    <row r="422" spans="1:9" x14ac:dyDescent="0.2">
      <c r="A422" s="2">
        <v>7</v>
      </c>
      <c r="B422" s="1" t="s">
        <v>139</v>
      </c>
      <c r="C422" s="4">
        <v>6</v>
      </c>
      <c r="D422" s="8">
        <v>3.03</v>
      </c>
      <c r="E422" s="4">
        <v>5</v>
      </c>
      <c r="F422" s="8">
        <v>4.5</v>
      </c>
      <c r="G422" s="4">
        <v>1</v>
      </c>
      <c r="H422" s="8">
        <v>1.18</v>
      </c>
      <c r="I422" s="4">
        <v>0</v>
      </c>
    </row>
    <row r="423" spans="1:9" x14ac:dyDescent="0.2">
      <c r="A423" s="2">
        <v>10</v>
      </c>
      <c r="B423" s="1" t="s">
        <v>156</v>
      </c>
      <c r="C423" s="4">
        <v>5</v>
      </c>
      <c r="D423" s="8">
        <v>2.5299999999999998</v>
      </c>
      <c r="E423" s="4">
        <v>5</v>
      </c>
      <c r="F423" s="8">
        <v>4.5</v>
      </c>
      <c r="G423" s="4">
        <v>0</v>
      </c>
      <c r="H423" s="8">
        <v>0</v>
      </c>
      <c r="I423" s="4">
        <v>0</v>
      </c>
    </row>
    <row r="424" spans="1:9" x14ac:dyDescent="0.2">
      <c r="A424" s="2">
        <v>10</v>
      </c>
      <c r="B424" s="1" t="s">
        <v>136</v>
      </c>
      <c r="C424" s="4">
        <v>5</v>
      </c>
      <c r="D424" s="8">
        <v>2.5299999999999998</v>
      </c>
      <c r="E424" s="4">
        <v>5</v>
      </c>
      <c r="F424" s="8">
        <v>4.5</v>
      </c>
      <c r="G424" s="4">
        <v>0</v>
      </c>
      <c r="H424" s="8">
        <v>0</v>
      </c>
      <c r="I424" s="4">
        <v>0</v>
      </c>
    </row>
    <row r="425" spans="1:9" x14ac:dyDescent="0.2">
      <c r="A425" s="2">
        <v>10</v>
      </c>
      <c r="B425" s="1" t="s">
        <v>194</v>
      </c>
      <c r="C425" s="4">
        <v>5</v>
      </c>
      <c r="D425" s="8">
        <v>2.5299999999999998</v>
      </c>
      <c r="E425" s="4">
        <v>3</v>
      </c>
      <c r="F425" s="8">
        <v>2.7</v>
      </c>
      <c r="G425" s="4">
        <v>2</v>
      </c>
      <c r="H425" s="8">
        <v>2.35</v>
      </c>
      <c r="I425" s="4">
        <v>0</v>
      </c>
    </row>
    <row r="426" spans="1:9" x14ac:dyDescent="0.2">
      <c r="A426" s="2">
        <v>13</v>
      </c>
      <c r="B426" s="1" t="s">
        <v>146</v>
      </c>
      <c r="C426" s="4">
        <v>4</v>
      </c>
      <c r="D426" s="8">
        <v>2.02</v>
      </c>
      <c r="E426" s="4">
        <v>0</v>
      </c>
      <c r="F426" s="8">
        <v>0</v>
      </c>
      <c r="G426" s="4">
        <v>4</v>
      </c>
      <c r="H426" s="8">
        <v>4.71</v>
      </c>
      <c r="I426" s="4">
        <v>0</v>
      </c>
    </row>
    <row r="427" spans="1:9" x14ac:dyDescent="0.2">
      <c r="A427" s="2">
        <v>13</v>
      </c>
      <c r="B427" s="1" t="s">
        <v>170</v>
      </c>
      <c r="C427" s="4">
        <v>4</v>
      </c>
      <c r="D427" s="8">
        <v>2.02</v>
      </c>
      <c r="E427" s="4">
        <v>4</v>
      </c>
      <c r="F427" s="8">
        <v>3.6</v>
      </c>
      <c r="G427" s="4">
        <v>0</v>
      </c>
      <c r="H427" s="8">
        <v>0</v>
      </c>
      <c r="I427" s="4">
        <v>0</v>
      </c>
    </row>
    <row r="428" spans="1:9" x14ac:dyDescent="0.2">
      <c r="A428" s="2">
        <v>13</v>
      </c>
      <c r="B428" s="1" t="s">
        <v>158</v>
      </c>
      <c r="C428" s="4">
        <v>4</v>
      </c>
      <c r="D428" s="8">
        <v>2.02</v>
      </c>
      <c r="E428" s="4">
        <v>4</v>
      </c>
      <c r="F428" s="8">
        <v>3.6</v>
      </c>
      <c r="G428" s="4">
        <v>0</v>
      </c>
      <c r="H428" s="8">
        <v>0</v>
      </c>
      <c r="I428" s="4">
        <v>0</v>
      </c>
    </row>
    <row r="429" spans="1:9" x14ac:dyDescent="0.2">
      <c r="A429" s="2">
        <v>13</v>
      </c>
      <c r="B429" s="1" t="s">
        <v>141</v>
      </c>
      <c r="C429" s="4">
        <v>4</v>
      </c>
      <c r="D429" s="8">
        <v>2.02</v>
      </c>
      <c r="E429" s="4">
        <v>4</v>
      </c>
      <c r="F429" s="8">
        <v>3.6</v>
      </c>
      <c r="G429" s="4">
        <v>0</v>
      </c>
      <c r="H429" s="8">
        <v>0</v>
      </c>
      <c r="I429" s="4">
        <v>0</v>
      </c>
    </row>
    <row r="430" spans="1:9" x14ac:dyDescent="0.2">
      <c r="A430" s="2">
        <v>17</v>
      </c>
      <c r="B430" s="1" t="s">
        <v>145</v>
      </c>
      <c r="C430" s="4">
        <v>3</v>
      </c>
      <c r="D430" s="8">
        <v>1.52</v>
      </c>
      <c r="E430" s="4">
        <v>0</v>
      </c>
      <c r="F430" s="8">
        <v>0</v>
      </c>
      <c r="G430" s="4">
        <v>3</v>
      </c>
      <c r="H430" s="8">
        <v>3.53</v>
      </c>
      <c r="I430" s="4">
        <v>0</v>
      </c>
    </row>
    <row r="431" spans="1:9" x14ac:dyDescent="0.2">
      <c r="A431" s="2">
        <v>17</v>
      </c>
      <c r="B431" s="1" t="s">
        <v>135</v>
      </c>
      <c r="C431" s="4">
        <v>3</v>
      </c>
      <c r="D431" s="8">
        <v>1.52</v>
      </c>
      <c r="E431" s="4">
        <v>3</v>
      </c>
      <c r="F431" s="8">
        <v>2.7</v>
      </c>
      <c r="G431" s="4">
        <v>0</v>
      </c>
      <c r="H431" s="8">
        <v>0</v>
      </c>
      <c r="I431" s="4">
        <v>0</v>
      </c>
    </row>
    <row r="432" spans="1:9" x14ac:dyDescent="0.2">
      <c r="A432" s="2">
        <v>19</v>
      </c>
      <c r="B432" s="1" t="s">
        <v>197</v>
      </c>
      <c r="C432" s="4">
        <v>2</v>
      </c>
      <c r="D432" s="8">
        <v>1.01</v>
      </c>
      <c r="E432" s="4">
        <v>0</v>
      </c>
      <c r="F432" s="8">
        <v>0</v>
      </c>
      <c r="G432" s="4">
        <v>2</v>
      </c>
      <c r="H432" s="8">
        <v>2.35</v>
      </c>
      <c r="I432" s="4">
        <v>0</v>
      </c>
    </row>
    <row r="433" spans="1:9" x14ac:dyDescent="0.2">
      <c r="A433" s="2">
        <v>19</v>
      </c>
      <c r="B433" s="1" t="s">
        <v>163</v>
      </c>
      <c r="C433" s="4">
        <v>2</v>
      </c>
      <c r="D433" s="8">
        <v>1.01</v>
      </c>
      <c r="E433" s="4">
        <v>2</v>
      </c>
      <c r="F433" s="8">
        <v>1.8</v>
      </c>
      <c r="G433" s="4">
        <v>0</v>
      </c>
      <c r="H433" s="8">
        <v>0</v>
      </c>
      <c r="I433" s="4">
        <v>0</v>
      </c>
    </row>
    <row r="434" spans="1:9" x14ac:dyDescent="0.2">
      <c r="A434" s="2">
        <v>19</v>
      </c>
      <c r="B434" s="1" t="s">
        <v>201</v>
      </c>
      <c r="C434" s="4">
        <v>2</v>
      </c>
      <c r="D434" s="8">
        <v>1.01</v>
      </c>
      <c r="E434" s="4">
        <v>1</v>
      </c>
      <c r="F434" s="8">
        <v>0.9</v>
      </c>
      <c r="G434" s="4">
        <v>1</v>
      </c>
      <c r="H434" s="8">
        <v>1.18</v>
      </c>
      <c r="I434" s="4">
        <v>0</v>
      </c>
    </row>
    <row r="435" spans="1:9" x14ac:dyDescent="0.2">
      <c r="A435" s="2">
        <v>19</v>
      </c>
      <c r="B435" s="1" t="s">
        <v>202</v>
      </c>
      <c r="C435" s="4">
        <v>2</v>
      </c>
      <c r="D435" s="8">
        <v>1.01</v>
      </c>
      <c r="E435" s="4">
        <v>2</v>
      </c>
      <c r="F435" s="8">
        <v>1.8</v>
      </c>
      <c r="G435" s="4">
        <v>0</v>
      </c>
      <c r="H435" s="8">
        <v>0</v>
      </c>
      <c r="I435" s="4">
        <v>0</v>
      </c>
    </row>
    <row r="436" spans="1:9" x14ac:dyDescent="0.2">
      <c r="A436" s="2">
        <v>19</v>
      </c>
      <c r="B436" s="1" t="s">
        <v>143</v>
      </c>
      <c r="C436" s="4">
        <v>2</v>
      </c>
      <c r="D436" s="8">
        <v>1.01</v>
      </c>
      <c r="E436" s="4">
        <v>1</v>
      </c>
      <c r="F436" s="8">
        <v>0.9</v>
      </c>
      <c r="G436" s="4">
        <v>1</v>
      </c>
      <c r="H436" s="8">
        <v>1.18</v>
      </c>
      <c r="I436" s="4">
        <v>0</v>
      </c>
    </row>
    <row r="437" spans="1:9" x14ac:dyDescent="0.2">
      <c r="A437" s="2">
        <v>19</v>
      </c>
      <c r="B437" s="1" t="s">
        <v>174</v>
      </c>
      <c r="C437" s="4">
        <v>2</v>
      </c>
      <c r="D437" s="8">
        <v>1.01</v>
      </c>
      <c r="E437" s="4">
        <v>2</v>
      </c>
      <c r="F437" s="8">
        <v>1.8</v>
      </c>
      <c r="G437" s="4">
        <v>0</v>
      </c>
      <c r="H437" s="8">
        <v>0</v>
      </c>
      <c r="I437" s="4">
        <v>0</v>
      </c>
    </row>
    <row r="438" spans="1:9" x14ac:dyDescent="0.2">
      <c r="A438" s="2">
        <v>19</v>
      </c>
      <c r="B438" s="1" t="s">
        <v>144</v>
      </c>
      <c r="C438" s="4">
        <v>2</v>
      </c>
      <c r="D438" s="8">
        <v>1.01</v>
      </c>
      <c r="E438" s="4">
        <v>1</v>
      </c>
      <c r="F438" s="8">
        <v>0.9</v>
      </c>
      <c r="G438" s="4">
        <v>1</v>
      </c>
      <c r="H438" s="8">
        <v>1.18</v>
      </c>
      <c r="I438" s="4">
        <v>0</v>
      </c>
    </row>
    <row r="439" spans="1:9" x14ac:dyDescent="0.2">
      <c r="A439" s="2">
        <v>19</v>
      </c>
      <c r="B439" s="1" t="s">
        <v>159</v>
      </c>
      <c r="C439" s="4">
        <v>2</v>
      </c>
      <c r="D439" s="8">
        <v>1.01</v>
      </c>
      <c r="E439" s="4">
        <v>2</v>
      </c>
      <c r="F439" s="8">
        <v>1.8</v>
      </c>
      <c r="G439" s="4">
        <v>0</v>
      </c>
      <c r="H439" s="8">
        <v>0</v>
      </c>
      <c r="I439" s="4">
        <v>0</v>
      </c>
    </row>
    <row r="440" spans="1:9" x14ac:dyDescent="0.2">
      <c r="A440" s="2">
        <v>19</v>
      </c>
      <c r="B440" s="1" t="s">
        <v>125</v>
      </c>
      <c r="C440" s="4">
        <v>2</v>
      </c>
      <c r="D440" s="8">
        <v>1.01</v>
      </c>
      <c r="E440" s="4">
        <v>1</v>
      </c>
      <c r="F440" s="8">
        <v>0.9</v>
      </c>
      <c r="G440" s="4">
        <v>1</v>
      </c>
      <c r="H440" s="8">
        <v>1.18</v>
      </c>
      <c r="I440" s="4">
        <v>0</v>
      </c>
    </row>
    <row r="441" spans="1:9" x14ac:dyDescent="0.2">
      <c r="A441" s="2">
        <v>19</v>
      </c>
      <c r="B441" s="1" t="s">
        <v>160</v>
      </c>
      <c r="C441" s="4">
        <v>2</v>
      </c>
      <c r="D441" s="8">
        <v>1.01</v>
      </c>
      <c r="E441" s="4">
        <v>0</v>
      </c>
      <c r="F441" s="8">
        <v>0</v>
      </c>
      <c r="G441" s="4">
        <v>2</v>
      </c>
      <c r="H441" s="8">
        <v>2.35</v>
      </c>
      <c r="I441" s="4">
        <v>0</v>
      </c>
    </row>
    <row r="442" spans="1:9" x14ac:dyDescent="0.2">
      <c r="A442" s="2">
        <v>19</v>
      </c>
      <c r="B442" s="1" t="s">
        <v>127</v>
      </c>
      <c r="C442" s="4">
        <v>2</v>
      </c>
      <c r="D442" s="8">
        <v>1.01</v>
      </c>
      <c r="E442" s="4">
        <v>0</v>
      </c>
      <c r="F442" s="8">
        <v>0</v>
      </c>
      <c r="G442" s="4">
        <v>2</v>
      </c>
      <c r="H442" s="8">
        <v>2.35</v>
      </c>
      <c r="I442" s="4">
        <v>0</v>
      </c>
    </row>
    <row r="443" spans="1:9" x14ac:dyDescent="0.2">
      <c r="A443" s="2">
        <v>19</v>
      </c>
      <c r="B443" s="1" t="s">
        <v>149</v>
      </c>
      <c r="C443" s="4">
        <v>2</v>
      </c>
      <c r="D443" s="8">
        <v>1.01</v>
      </c>
      <c r="E443" s="4">
        <v>2</v>
      </c>
      <c r="F443" s="8">
        <v>1.8</v>
      </c>
      <c r="G443" s="4">
        <v>0</v>
      </c>
      <c r="H443" s="8">
        <v>0</v>
      </c>
      <c r="I443" s="4">
        <v>0</v>
      </c>
    </row>
    <row r="444" spans="1:9" x14ac:dyDescent="0.2">
      <c r="A444" s="2">
        <v>19</v>
      </c>
      <c r="B444" s="1" t="s">
        <v>200</v>
      </c>
      <c r="C444" s="4">
        <v>2</v>
      </c>
      <c r="D444" s="8">
        <v>1.01</v>
      </c>
      <c r="E444" s="4">
        <v>2</v>
      </c>
      <c r="F444" s="8">
        <v>1.8</v>
      </c>
      <c r="G444" s="4">
        <v>0</v>
      </c>
      <c r="H444" s="8">
        <v>0</v>
      </c>
      <c r="I444" s="4">
        <v>0</v>
      </c>
    </row>
    <row r="445" spans="1:9" x14ac:dyDescent="0.2">
      <c r="A445" s="2">
        <v>19</v>
      </c>
      <c r="B445" s="1" t="s">
        <v>132</v>
      </c>
      <c r="C445" s="4">
        <v>2</v>
      </c>
      <c r="D445" s="8">
        <v>1.01</v>
      </c>
      <c r="E445" s="4">
        <v>2</v>
      </c>
      <c r="F445" s="8">
        <v>1.8</v>
      </c>
      <c r="G445" s="4">
        <v>0</v>
      </c>
      <c r="H445" s="8">
        <v>0</v>
      </c>
      <c r="I445" s="4">
        <v>0</v>
      </c>
    </row>
    <row r="446" spans="1:9" x14ac:dyDescent="0.2">
      <c r="A446" s="2">
        <v>19</v>
      </c>
      <c r="B446" s="1" t="s">
        <v>140</v>
      </c>
      <c r="C446" s="4">
        <v>2</v>
      </c>
      <c r="D446" s="8">
        <v>1.01</v>
      </c>
      <c r="E446" s="4">
        <v>2</v>
      </c>
      <c r="F446" s="8">
        <v>1.8</v>
      </c>
      <c r="G446" s="4">
        <v>0</v>
      </c>
      <c r="H446" s="8">
        <v>0</v>
      </c>
      <c r="I446" s="4">
        <v>0</v>
      </c>
    </row>
    <row r="447" spans="1:9" x14ac:dyDescent="0.2">
      <c r="A447" s="2">
        <v>19</v>
      </c>
      <c r="B447" s="1" t="s">
        <v>203</v>
      </c>
      <c r="C447" s="4">
        <v>2</v>
      </c>
      <c r="D447" s="8">
        <v>1.01</v>
      </c>
      <c r="E447" s="4">
        <v>0</v>
      </c>
      <c r="F447" s="8">
        <v>0</v>
      </c>
      <c r="G447" s="4">
        <v>1</v>
      </c>
      <c r="H447" s="8">
        <v>1.18</v>
      </c>
      <c r="I447" s="4">
        <v>0</v>
      </c>
    </row>
    <row r="448" spans="1:9" x14ac:dyDescent="0.2">
      <c r="A448" s="2">
        <v>19</v>
      </c>
      <c r="B448" s="1" t="s">
        <v>204</v>
      </c>
      <c r="C448" s="4">
        <v>2</v>
      </c>
      <c r="D448" s="8">
        <v>1.01</v>
      </c>
      <c r="E448" s="4">
        <v>1</v>
      </c>
      <c r="F448" s="8">
        <v>0.9</v>
      </c>
      <c r="G448" s="4">
        <v>1</v>
      </c>
      <c r="H448" s="8">
        <v>1.18</v>
      </c>
      <c r="I448" s="4">
        <v>0</v>
      </c>
    </row>
    <row r="449" spans="1:9" x14ac:dyDescent="0.2">
      <c r="A449" s="1"/>
      <c r="C449" s="4"/>
      <c r="D449" s="8"/>
      <c r="E449" s="4"/>
      <c r="F449" s="8"/>
      <c r="G449" s="4"/>
      <c r="H449" s="8"/>
      <c r="I449" s="4"/>
    </row>
    <row r="450" spans="1:9" x14ac:dyDescent="0.2">
      <c r="A450" s="1" t="s">
        <v>18</v>
      </c>
      <c r="C450" s="4"/>
      <c r="D450" s="8"/>
      <c r="E450" s="4"/>
      <c r="F450" s="8"/>
      <c r="G450" s="4"/>
      <c r="H450" s="8"/>
      <c r="I450" s="4"/>
    </row>
    <row r="451" spans="1:9" x14ac:dyDescent="0.2">
      <c r="A451" s="2">
        <v>1</v>
      </c>
      <c r="B451" s="1" t="s">
        <v>128</v>
      </c>
      <c r="C451" s="4">
        <v>10</v>
      </c>
      <c r="D451" s="8">
        <v>6.71</v>
      </c>
      <c r="E451" s="4">
        <v>9</v>
      </c>
      <c r="F451" s="8">
        <v>9.18</v>
      </c>
      <c r="G451" s="4">
        <v>1</v>
      </c>
      <c r="H451" s="8">
        <v>2.56</v>
      </c>
      <c r="I451" s="4">
        <v>0</v>
      </c>
    </row>
    <row r="452" spans="1:9" x14ac:dyDescent="0.2">
      <c r="A452" s="2">
        <v>2</v>
      </c>
      <c r="B452" s="1" t="s">
        <v>122</v>
      </c>
      <c r="C452" s="4">
        <v>8</v>
      </c>
      <c r="D452" s="8">
        <v>5.37</v>
      </c>
      <c r="E452" s="4">
        <v>1</v>
      </c>
      <c r="F452" s="8">
        <v>1.02</v>
      </c>
      <c r="G452" s="4">
        <v>7</v>
      </c>
      <c r="H452" s="8">
        <v>17.95</v>
      </c>
      <c r="I452" s="4">
        <v>0</v>
      </c>
    </row>
    <row r="453" spans="1:9" x14ac:dyDescent="0.2">
      <c r="A453" s="2">
        <v>3</v>
      </c>
      <c r="B453" s="1" t="s">
        <v>132</v>
      </c>
      <c r="C453" s="4">
        <v>7</v>
      </c>
      <c r="D453" s="8">
        <v>4.7</v>
      </c>
      <c r="E453" s="4">
        <v>7</v>
      </c>
      <c r="F453" s="8">
        <v>7.14</v>
      </c>
      <c r="G453" s="4">
        <v>0</v>
      </c>
      <c r="H453" s="8">
        <v>0</v>
      </c>
      <c r="I453" s="4">
        <v>0</v>
      </c>
    </row>
    <row r="454" spans="1:9" x14ac:dyDescent="0.2">
      <c r="A454" s="2">
        <v>4</v>
      </c>
      <c r="B454" s="1" t="s">
        <v>147</v>
      </c>
      <c r="C454" s="4">
        <v>6</v>
      </c>
      <c r="D454" s="8">
        <v>4.03</v>
      </c>
      <c r="E454" s="4">
        <v>5</v>
      </c>
      <c r="F454" s="8">
        <v>5.0999999999999996</v>
      </c>
      <c r="G454" s="4">
        <v>1</v>
      </c>
      <c r="H454" s="8">
        <v>2.56</v>
      </c>
      <c r="I454" s="4">
        <v>0</v>
      </c>
    </row>
    <row r="455" spans="1:9" x14ac:dyDescent="0.2">
      <c r="A455" s="2">
        <v>4</v>
      </c>
      <c r="B455" s="1" t="s">
        <v>136</v>
      </c>
      <c r="C455" s="4">
        <v>6</v>
      </c>
      <c r="D455" s="8">
        <v>4.03</v>
      </c>
      <c r="E455" s="4">
        <v>6</v>
      </c>
      <c r="F455" s="8">
        <v>6.12</v>
      </c>
      <c r="G455" s="4">
        <v>0</v>
      </c>
      <c r="H455" s="8">
        <v>0</v>
      </c>
      <c r="I455" s="4">
        <v>0</v>
      </c>
    </row>
    <row r="456" spans="1:9" x14ac:dyDescent="0.2">
      <c r="A456" s="2">
        <v>4</v>
      </c>
      <c r="B456" s="1" t="s">
        <v>195</v>
      </c>
      <c r="C456" s="4">
        <v>6</v>
      </c>
      <c r="D456" s="8">
        <v>4.03</v>
      </c>
      <c r="E456" s="4">
        <v>0</v>
      </c>
      <c r="F456" s="8">
        <v>0</v>
      </c>
      <c r="G456" s="4">
        <v>0</v>
      </c>
      <c r="H456" s="8">
        <v>0</v>
      </c>
      <c r="I456" s="4">
        <v>1</v>
      </c>
    </row>
    <row r="457" spans="1:9" x14ac:dyDescent="0.2">
      <c r="A457" s="2">
        <v>4</v>
      </c>
      <c r="B457" s="1" t="s">
        <v>139</v>
      </c>
      <c r="C457" s="4">
        <v>6</v>
      </c>
      <c r="D457" s="8">
        <v>4.03</v>
      </c>
      <c r="E457" s="4">
        <v>6</v>
      </c>
      <c r="F457" s="8">
        <v>6.12</v>
      </c>
      <c r="G457" s="4">
        <v>0</v>
      </c>
      <c r="H457" s="8">
        <v>0</v>
      </c>
      <c r="I457" s="4">
        <v>0</v>
      </c>
    </row>
    <row r="458" spans="1:9" x14ac:dyDescent="0.2">
      <c r="A458" s="2">
        <v>8</v>
      </c>
      <c r="B458" s="1" t="s">
        <v>202</v>
      </c>
      <c r="C458" s="4">
        <v>4</v>
      </c>
      <c r="D458" s="8">
        <v>2.68</v>
      </c>
      <c r="E458" s="4">
        <v>4</v>
      </c>
      <c r="F458" s="8">
        <v>4.08</v>
      </c>
      <c r="G458" s="4">
        <v>0</v>
      </c>
      <c r="H458" s="8">
        <v>0</v>
      </c>
      <c r="I458" s="4">
        <v>0</v>
      </c>
    </row>
    <row r="459" spans="1:9" x14ac:dyDescent="0.2">
      <c r="A459" s="2">
        <v>8</v>
      </c>
      <c r="B459" s="1" t="s">
        <v>123</v>
      </c>
      <c r="C459" s="4">
        <v>4</v>
      </c>
      <c r="D459" s="8">
        <v>2.68</v>
      </c>
      <c r="E459" s="4">
        <v>4</v>
      </c>
      <c r="F459" s="8">
        <v>4.08</v>
      </c>
      <c r="G459" s="4">
        <v>0</v>
      </c>
      <c r="H459" s="8">
        <v>0</v>
      </c>
      <c r="I459" s="4">
        <v>0</v>
      </c>
    </row>
    <row r="460" spans="1:9" x14ac:dyDescent="0.2">
      <c r="A460" s="2">
        <v>8</v>
      </c>
      <c r="B460" s="1" t="s">
        <v>153</v>
      </c>
      <c r="C460" s="4">
        <v>4</v>
      </c>
      <c r="D460" s="8">
        <v>2.68</v>
      </c>
      <c r="E460" s="4">
        <v>4</v>
      </c>
      <c r="F460" s="8">
        <v>4.08</v>
      </c>
      <c r="G460" s="4">
        <v>0</v>
      </c>
      <c r="H460" s="8">
        <v>0</v>
      </c>
      <c r="I460" s="4">
        <v>0</v>
      </c>
    </row>
    <row r="461" spans="1:9" x14ac:dyDescent="0.2">
      <c r="A461" s="2">
        <v>8</v>
      </c>
      <c r="B461" s="1" t="s">
        <v>150</v>
      </c>
      <c r="C461" s="4">
        <v>4</v>
      </c>
      <c r="D461" s="8">
        <v>2.68</v>
      </c>
      <c r="E461" s="4">
        <v>4</v>
      </c>
      <c r="F461" s="8">
        <v>4.08</v>
      </c>
      <c r="G461" s="4">
        <v>0</v>
      </c>
      <c r="H461" s="8">
        <v>0</v>
      </c>
      <c r="I461" s="4">
        <v>0</v>
      </c>
    </row>
    <row r="462" spans="1:9" x14ac:dyDescent="0.2">
      <c r="A462" s="2">
        <v>8</v>
      </c>
      <c r="B462" s="1" t="s">
        <v>152</v>
      </c>
      <c r="C462" s="4">
        <v>4</v>
      </c>
      <c r="D462" s="8">
        <v>2.68</v>
      </c>
      <c r="E462" s="4">
        <v>1</v>
      </c>
      <c r="F462" s="8">
        <v>1.02</v>
      </c>
      <c r="G462" s="4">
        <v>2</v>
      </c>
      <c r="H462" s="8">
        <v>5.13</v>
      </c>
      <c r="I462" s="4">
        <v>0</v>
      </c>
    </row>
    <row r="463" spans="1:9" x14ac:dyDescent="0.2">
      <c r="A463" s="2">
        <v>13</v>
      </c>
      <c r="B463" s="1" t="s">
        <v>156</v>
      </c>
      <c r="C463" s="4">
        <v>3</v>
      </c>
      <c r="D463" s="8">
        <v>2.0099999999999998</v>
      </c>
      <c r="E463" s="4">
        <v>3</v>
      </c>
      <c r="F463" s="8">
        <v>3.06</v>
      </c>
      <c r="G463" s="4">
        <v>0</v>
      </c>
      <c r="H463" s="8">
        <v>0</v>
      </c>
      <c r="I463" s="4">
        <v>0</v>
      </c>
    </row>
    <row r="464" spans="1:9" x14ac:dyDescent="0.2">
      <c r="A464" s="2">
        <v>13</v>
      </c>
      <c r="B464" s="1" t="s">
        <v>154</v>
      </c>
      <c r="C464" s="4">
        <v>3</v>
      </c>
      <c r="D464" s="8">
        <v>2.0099999999999998</v>
      </c>
      <c r="E464" s="4">
        <v>3</v>
      </c>
      <c r="F464" s="8">
        <v>3.06</v>
      </c>
      <c r="G464" s="4">
        <v>0</v>
      </c>
      <c r="H464" s="8">
        <v>0</v>
      </c>
      <c r="I464" s="4">
        <v>0</v>
      </c>
    </row>
    <row r="465" spans="1:9" x14ac:dyDescent="0.2">
      <c r="A465" s="2">
        <v>13</v>
      </c>
      <c r="B465" s="1" t="s">
        <v>130</v>
      </c>
      <c r="C465" s="4">
        <v>3</v>
      </c>
      <c r="D465" s="8">
        <v>2.0099999999999998</v>
      </c>
      <c r="E465" s="4">
        <v>2</v>
      </c>
      <c r="F465" s="8">
        <v>2.04</v>
      </c>
      <c r="G465" s="4">
        <v>1</v>
      </c>
      <c r="H465" s="8">
        <v>2.56</v>
      </c>
      <c r="I465" s="4">
        <v>0</v>
      </c>
    </row>
    <row r="466" spans="1:9" x14ac:dyDescent="0.2">
      <c r="A466" s="2">
        <v>13</v>
      </c>
      <c r="B466" s="1" t="s">
        <v>180</v>
      </c>
      <c r="C466" s="4">
        <v>3</v>
      </c>
      <c r="D466" s="8">
        <v>2.0099999999999998</v>
      </c>
      <c r="E466" s="4">
        <v>2</v>
      </c>
      <c r="F466" s="8">
        <v>2.04</v>
      </c>
      <c r="G466" s="4">
        <v>1</v>
      </c>
      <c r="H466" s="8">
        <v>2.56</v>
      </c>
      <c r="I466" s="4">
        <v>0</v>
      </c>
    </row>
    <row r="467" spans="1:9" x14ac:dyDescent="0.2">
      <c r="A467" s="2">
        <v>13</v>
      </c>
      <c r="B467" s="1" t="s">
        <v>135</v>
      </c>
      <c r="C467" s="4">
        <v>3</v>
      </c>
      <c r="D467" s="8">
        <v>2.0099999999999998</v>
      </c>
      <c r="E467" s="4">
        <v>3</v>
      </c>
      <c r="F467" s="8">
        <v>3.06</v>
      </c>
      <c r="G467" s="4">
        <v>0</v>
      </c>
      <c r="H467" s="8">
        <v>0</v>
      </c>
      <c r="I467" s="4">
        <v>0</v>
      </c>
    </row>
    <row r="468" spans="1:9" x14ac:dyDescent="0.2">
      <c r="A468" s="2">
        <v>13</v>
      </c>
      <c r="B468" s="1" t="s">
        <v>194</v>
      </c>
      <c r="C468" s="4">
        <v>3</v>
      </c>
      <c r="D468" s="8">
        <v>2.0099999999999998</v>
      </c>
      <c r="E468" s="4">
        <v>2</v>
      </c>
      <c r="F468" s="8">
        <v>2.04</v>
      </c>
      <c r="G468" s="4">
        <v>0</v>
      </c>
      <c r="H468" s="8">
        <v>0</v>
      </c>
      <c r="I468" s="4">
        <v>1</v>
      </c>
    </row>
    <row r="469" spans="1:9" x14ac:dyDescent="0.2">
      <c r="A469" s="2">
        <v>13</v>
      </c>
      <c r="B469" s="1" t="s">
        <v>141</v>
      </c>
      <c r="C469" s="4">
        <v>3</v>
      </c>
      <c r="D469" s="8">
        <v>2.0099999999999998</v>
      </c>
      <c r="E469" s="4">
        <v>2</v>
      </c>
      <c r="F469" s="8">
        <v>2.04</v>
      </c>
      <c r="G469" s="4">
        <v>1</v>
      </c>
      <c r="H469" s="8">
        <v>2.56</v>
      </c>
      <c r="I469" s="4">
        <v>0</v>
      </c>
    </row>
    <row r="470" spans="1:9" x14ac:dyDescent="0.2">
      <c r="A470" s="2">
        <v>20</v>
      </c>
      <c r="B470" s="1" t="s">
        <v>146</v>
      </c>
      <c r="C470" s="4">
        <v>2</v>
      </c>
      <c r="D470" s="8">
        <v>1.34</v>
      </c>
      <c r="E470" s="4">
        <v>1</v>
      </c>
      <c r="F470" s="8">
        <v>1.02</v>
      </c>
      <c r="G470" s="4">
        <v>1</v>
      </c>
      <c r="H470" s="8">
        <v>2.56</v>
      </c>
      <c r="I470" s="4">
        <v>0</v>
      </c>
    </row>
    <row r="471" spans="1:9" x14ac:dyDescent="0.2">
      <c r="A471" s="2">
        <v>20</v>
      </c>
      <c r="B471" s="1" t="s">
        <v>155</v>
      </c>
      <c r="C471" s="4">
        <v>2</v>
      </c>
      <c r="D471" s="8">
        <v>1.34</v>
      </c>
      <c r="E471" s="4">
        <v>1</v>
      </c>
      <c r="F471" s="8">
        <v>1.02</v>
      </c>
      <c r="G471" s="4">
        <v>1</v>
      </c>
      <c r="H471" s="8">
        <v>2.56</v>
      </c>
      <c r="I471" s="4">
        <v>0</v>
      </c>
    </row>
    <row r="472" spans="1:9" x14ac:dyDescent="0.2">
      <c r="A472" s="2">
        <v>20</v>
      </c>
      <c r="B472" s="1" t="s">
        <v>144</v>
      </c>
      <c r="C472" s="4">
        <v>2</v>
      </c>
      <c r="D472" s="8">
        <v>1.34</v>
      </c>
      <c r="E472" s="4">
        <v>2</v>
      </c>
      <c r="F472" s="8">
        <v>2.04</v>
      </c>
      <c r="G472" s="4">
        <v>0</v>
      </c>
      <c r="H472" s="8">
        <v>0</v>
      </c>
      <c r="I472" s="4">
        <v>0</v>
      </c>
    </row>
    <row r="473" spans="1:9" x14ac:dyDescent="0.2">
      <c r="A473" s="2">
        <v>20</v>
      </c>
      <c r="B473" s="1" t="s">
        <v>175</v>
      </c>
      <c r="C473" s="4">
        <v>2</v>
      </c>
      <c r="D473" s="8">
        <v>1.34</v>
      </c>
      <c r="E473" s="4">
        <v>2</v>
      </c>
      <c r="F473" s="8">
        <v>2.04</v>
      </c>
      <c r="G473" s="4">
        <v>0</v>
      </c>
      <c r="H473" s="8">
        <v>0</v>
      </c>
      <c r="I473" s="4">
        <v>0</v>
      </c>
    </row>
    <row r="474" spans="1:9" x14ac:dyDescent="0.2">
      <c r="A474" s="2">
        <v>20</v>
      </c>
      <c r="B474" s="1" t="s">
        <v>205</v>
      </c>
      <c r="C474" s="4">
        <v>2</v>
      </c>
      <c r="D474" s="8">
        <v>1.34</v>
      </c>
      <c r="E474" s="4">
        <v>1</v>
      </c>
      <c r="F474" s="8">
        <v>1.02</v>
      </c>
      <c r="G474" s="4">
        <v>1</v>
      </c>
      <c r="H474" s="8">
        <v>2.56</v>
      </c>
      <c r="I474" s="4">
        <v>0</v>
      </c>
    </row>
    <row r="475" spans="1:9" x14ac:dyDescent="0.2">
      <c r="A475" s="2">
        <v>20</v>
      </c>
      <c r="B475" s="1" t="s">
        <v>149</v>
      </c>
      <c r="C475" s="4">
        <v>2</v>
      </c>
      <c r="D475" s="8">
        <v>1.34</v>
      </c>
      <c r="E475" s="4">
        <v>2</v>
      </c>
      <c r="F475" s="8">
        <v>2.04</v>
      </c>
      <c r="G475" s="4">
        <v>0</v>
      </c>
      <c r="H475" s="8">
        <v>0</v>
      </c>
      <c r="I475" s="4">
        <v>0</v>
      </c>
    </row>
    <row r="476" spans="1:9" x14ac:dyDescent="0.2">
      <c r="A476" s="2">
        <v>20</v>
      </c>
      <c r="B476" s="1" t="s">
        <v>133</v>
      </c>
      <c r="C476" s="4">
        <v>2</v>
      </c>
      <c r="D476" s="8">
        <v>1.34</v>
      </c>
      <c r="E476" s="4">
        <v>2</v>
      </c>
      <c r="F476" s="8">
        <v>2.04</v>
      </c>
      <c r="G476" s="4">
        <v>0</v>
      </c>
      <c r="H476" s="8">
        <v>0</v>
      </c>
      <c r="I476" s="4">
        <v>0</v>
      </c>
    </row>
    <row r="477" spans="1:9" x14ac:dyDescent="0.2">
      <c r="A477" s="2">
        <v>20</v>
      </c>
      <c r="B477" s="1" t="s">
        <v>206</v>
      </c>
      <c r="C477" s="4">
        <v>2</v>
      </c>
      <c r="D477" s="8">
        <v>1.34</v>
      </c>
      <c r="E477" s="4">
        <v>2</v>
      </c>
      <c r="F477" s="8">
        <v>2.04</v>
      </c>
      <c r="G477" s="4">
        <v>0</v>
      </c>
      <c r="H477" s="8">
        <v>0</v>
      </c>
      <c r="I477" s="4">
        <v>0</v>
      </c>
    </row>
    <row r="478" spans="1:9" x14ac:dyDescent="0.2">
      <c r="A478" s="2">
        <v>20</v>
      </c>
      <c r="B478" s="1" t="s">
        <v>196</v>
      </c>
      <c r="C478" s="4">
        <v>2</v>
      </c>
      <c r="D478" s="8">
        <v>1.34</v>
      </c>
      <c r="E478" s="4">
        <v>0</v>
      </c>
      <c r="F478" s="8">
        <v>0</v>
      </c>
      <c r="G478" s="4">
        <v>2</v>
      </c>
      <c r="H478" s="8">
        <v>5.13</v>
      </c>
      <c r="I478" s="4">
        <v>0</v>
      </c>
    </row>
    <row r="479" spans="1:9" x14ac:dyDescent="0.2">
      <c r="A479" s="2">
        <v>20</v>
      </c>
      <c r="B479" s="1" t="s">
        <v>183</v>
      </c>
      <c r="C479" s="4">
        <v>2</v>
      </c>
      <c r="D479" s="8">
        <v>1.34</v>
      </c>
      <c r="E479" s="4">
        <v>0</v>
      </c>
      <c r="F479" s="8">
        <v>0</v>
      </c>
      <c r="G479" s="4">
        <v>2</v>
      </c>
      <c r="H479" s="8">
        <v>5.13</v>
      </c>
      <c r="I479" s="4">
        <v>0</v>
      </c>
    </row>
    <row r="480" spans="1:9" x14ac:dyDescent="0.2">
      <c r="A480" s="2">
        <v>20</v>
      </c>
      <c r="B480" s="1" t="s">
        <v>203</v>
      </c>
      <c r="C480" s="4">
        <v>2</v>
      </c>
      <c r="D480" s="8">
        <v>1.34</v>
      </c>
      <c r="E480" s="4">
        <v>0</v>
      </c>
      <c r="F480" s="8">
        <v>0</v>
      </c>
      <c r="G480" s="4">
        <v>1</v>
      </c>
      <c r="H480" s="8">
        <v>2.56</v>
      </c>
      <c r="I480" s="4">
        <v>0</v>
      </c>
    </row>
    <row r="481" spans="1:9" x14ac:dyDescent="0.2">
      <c r="A481" s="1"/>
      <c r="C481" s="4"/>
      <c r="D481" s="8"/>
      <c r="E481" s="4"/>
      <c r="F481" s="8"/>
      <c r="G481" s="4"/>
      <c r="H481" s="8"/>
      <c r="I481" s="4"/>
    </row>
    <row r="482" spans="1:9" x14ac:dyDescent="0.2">
      <c r="A482" s="1" t="s">
        <v>19</v>
      </c>
      <c r="C482" s="4"/>
      <c r="D482" s="8"/>
      <c r="E482" s="4"/>
      <c r="F482" s="8"/>
      <c r="G482" s="4"/>
      <c r="H482" s="8"/>
      <c r="I482" s="4"/>
    </row>
    <row r="483" spans="1:9" x14ac:dyDescent="0.2">
      <c r="A483" s="2">
        <v>1</v>
      </c>
      <c r="B483" s="1" t="s">
        <v>133</v>
      </c>
      <c r="C483" s="4">
        <v>37</v>
      </c>
      <c r="D483" s="8">
        <v>12.37</v>
      </c>
      <c r="E483" s="4">
        <v>37</v>
      </c>
      <c r="F483" s="8">
        <v>17.37</v>
      </c>
      <c r="G483" s="4">
        <v>0</v>
      </c>
      <c r="H483" s="8">
        <v>0</v>
      </c>
      <c r="I483" s="4">
        <v>0</v>
      </c>
    </row>
    <row r="484" spans="1:9" x14ac:dyDescent="0.2">
      <c r="A484" s="2">
        <v>2</v>
      </c>
      <c r="B484" s="1" t="s">
        <v>128</v>
      </c>
      <c r="C484" s="4">
        <v>31</v>
      </c>
      <c r="D484" s="8">
        <v>10.37</v>
      </c>
      <c r="E484" s="4">
        <v>25</v>
      </c>
      <c r="F484" s="8">
        <v>11.74</v>
      </c>
      <c r="G484" s="4">
        <v>6</v>
      </c>
      <c r="H484" s="8">
        <v>7.79</v>
      </c>
      <c r="I484" s="4">
        <v>0</v>
      </c>
    </row>
    <row r="485" spans="1:9" x14ac:dyDescent="0.2">
      <c r="A485" s="2">
        <v>3</v>
      </c>
      <c r="B485" s="1" t="s">
        <v>149</v>
      </c>
      <c r="C485" s="4">
        <v>10</v>
      </c>
      <c r="D485" s="8">
        <v>3.34</v>
      </c>
      <c r="E485" s="4">
        <v>9</v>
      </c>
      <c r="F485" s="8">
        <v>4.2300000000000004</v>
      </c>
      <c r="G485" s="4">
        <v>1</v>
      </c>
      <c r="H485" s="8">
        <v>1.3</v>
      </c>
      <c r="I485" s="4">
        <v>0</v>
      </c>
    </row>
    <row r="486" spans="1:9" x14ac:dyDescent="0.2">
      <c r="A486" s="2">
        <v>3</v>
      </c>
      <c r="B486" s="1" t="s">
        <v>131</v>
      </c>
      <c r="C486" s="4">
        <v>10</v>
      </c>
      <c r="D486" s="8">
        <v>3.34</v>
      </c>
      <c r="E486" s="4">
        <v>10</v>
      </c>
      <c r="F486" s="8">
        <v>4.6900000000000004</v>
      </c>
      <c r="G486" s="4">
        <v>0</v>
      </c>
      <c r="H486" s="8">
        <v>0</v>
      </c>
      <c r="I486" s="4">
        <v>0</v>
      </c>
    </row>
    <row r="487" spans="1:9" x14ac:dyDescent="0.2">
      <c r="A487" s="2">
        <v>3</v>
      </c>
      <c r="B487" s="1" t="s">
        <v>139</v>
      </c>
      <c r="C487" s="4">
        <v>10</v>
      </c>
      <c r="D487" s="8">
        <v>3.34</v>
      </c>
      <c r="E487" s="4">
        <v>10</v>
      </c>
      <c r="F487" s="8">
        <v>4.6900000000000004</v>
      </c>
      <c r="G487" s="4">
        <v>0</v>
      </c>
      <c r="H487" s="8">
        <v>0</v>
      </c>
      <c r="I487" s="4">
        <v>0</v>
      </c>
    </row>
    <row r="488" spans="1:9" x14ac:dyDescent="0.2">
      <c r="A488" s="2">
        <v>6</v>
      </c>
      <c r="B488" s="1" t="s">
        <v>123</v>
      </c>
      <c r="C488" s="4">
        <v>9</v>
      </c>
      <c r="D488" s="8">
        <v>3.01</v>
      </c>
      <c r="E488" s="4">
        <v>9</v>
      </c>
      <c r="F488" s="8">
        <v>4.2300000000000004</v>
      </c>
      <c r="G488" s="4">
        <v>0</v>
      </c>
      <c r="H488" s="8">
        <v>0</v>
      </c>
      <c r="I488" s="4">
        <v>0</v>
      </c>
    </row>
    <row r="489" spans="1:9" x14ac:dyDescent="0.2">
      <c r="A489" s="2">
        <v>7</v>
      </c>
      <c r="B489" s="1" t="s">
        <v>147</v>
      </c>
      <c r="C489" s="4">
        <v>8</v>
      </c>
      <c r="D489" s="8">
        <v>2.68</v>
      </c>
      <c r="E489" s="4">
        <v>2</v>
      </c>
      <c r="F489" s="8">
        <v>0.94</v>
      </c>
      <c r="G489" s="4">
        <v>6</v>
      </c>
      <c r="H489" s="8">
        <v>7.79</v>
      </c>
      <c r="I489" s="4">
        <v>0</v>
      </c>
    </row>
    <row r="490" spans="1:9" x14ac:dyDescent="0.2">
      <c r="A490" s="2">
        <v>7</v>
      </c>
      <c r="B490" s="1" t="s">
        <v>135</v>
      </c>
      <c r="C490" s="4">
        <v>8</v>
      </c>
      <c r="D490" s="8">
        <v>2.68</v>
      </c>
      <c r="E490" s="4">
        <v>8</v>
      </c>
      <c r="F490" s="8">
        <v>3.76</v>
      </c>
      <c r="G490" s="4">
        <v>0</v>
      </c>
      <c r="H490" s="8">
        <v>0</v>
      </c>
      <c r="I490" s="4">
        <v>0</v>
      </c>
    </row>
    <row r="491" spans="1:9" x14ac:dyDescent="0.2">
      <c r="A491" s="2">
        <v>7</v>
      </c>
      <c r="B491" s="1" t="s">
        <v>136</v>
      </c>
      <c r="C491" s="4">
        <v>8</v>
      </c>
      <c r="D491" s="8">
        <v>2.68</v>
      </c>
      <c r="E491" s="4">
        <v>8</v>
      </c>
      <c r="F491" s="8">
        <v>3.76</v>
      </c>
      <c r="G491" s="4">
        <v>0</v>
      </c>
      <c r="H491" s="8">
        <v>0</v>
      </c>
      <c r="I491" s="4">
        <v>0</v>
      </c>
    </row>
    <row r="492" spans="1:9" x14ac:dyDescent="0.2">
      <c r="A492" s="2">
        <v>10</v>
      </c>
      <c r="B492" s="1" t="s">
        <v>141</v>
      </c>
      <c r="C492" s="4">
        <v>7</v>
      </c>
      <c r="D492" s="8">
        <v>2.34</v>
      </c>
      <c r="E492" s="4">
        <v>7</v>
      </c>
      <c r="F492" s="8">
        <v>3.29</v>
      </c>
      <c r="G492" s="4">
        <v>0</v>
      </c>
      <c r="H492" s="8">
        <v>0</v>
      </c>
      <c r="I492" s="4">
        <v>0</v>
      </c>
    </row>
    <row r="493" spans="1:9" x14ac:dyDescent="0.2">
      <c r="A493" s="2">
        <v>11</v>
      </c>
      <c r="B493" s="1" t="s">
        <v>151</v>
      </c>
      <c r="C493" s="4">
        <v>6</v>
      </c>
      <c r="D493" s="8">
        <v>2.0099999999999998</v>
      </c>
      <c r="E493" s="4">
        <v>2</v>
      </c>
      <c r="F493" s="8">
        <v>0.94</v>
      </c>
      <c r="G493" s="4">
        <v>4</v>
      </c>
      <c r="H493" s="8">
        <v>5.19</v>
      </c>
      <c r="I493" s="4">
        <v>0</v>
      </c>
    </row>
    <row r="494" spans="1:9" x14ac:dyDescent="0.2">
      <c r="A494" s="2">
        <v>11</v>
      </c>
      <c r="B494" s="1" t="s">
        <v>125</v>
      </c>
      <c r="C494" s="4">
        <v>6</v>
      </c>
      <c r="D494" s="8">
        <v>2.0099999999999998</v>
      </c>
      <c r="E494" s="4">
        <v>4</v>
      </c>
      <c r="F494" s="8">
        <v>1.88</v>
      </c>
      <c r="G494" s="4">
        <v>2</v>
      </c>
      <c r="H494" s="8">
        <v>2.6</v>
      </c>
      <c r="I494" s="4">
        <v>0</v>
      </c>
    </row>
    <row r="495" spans="1:9" x14ac:dyDescent="0.2">
      <c r="A495" s="2">
        <v>11</v>
      </c>
      <c r="B495" s="1" t="s">
        <v>132</v>
      </c>
      <c r="C495" s="4">
        <v>6</v>
      </c>
      <c r="D495" s="8">
        <v>2.0099999999999998</v>
      </c>
      <c r="E495" s="4">
        <v>6</v>
      </c>
      <c r="F495" s="8">
        <v>2.82</v>
      </c>
      <c r="G495" s="4">
        <v>0</v>
      </c>
      <c r="H495" s="8">
        <v>0</v>
      </c>
      <c r="I495" s="4">
        <v>0</v>
      </c>
    </row>
    <row r="496" spans="1:9" x14ac:dyDescent="0.2">
      <c r="A496" s="2">
        <v>14</v>
      </c>
      <c r="B496" s="1" t="s">
        <v>122</v>
      </c>
      <c r="C496" s="4">
        <v>5</v>
      </c>
      <c r="D496" s="8">
        <v>1.67</v>
      </c>
      <c r="E496" s="4">
        <v>0</v>
      </c>
      <c r="F496" s="8">
        <v>0</v>
      </c>
      <c r="G496" s="4">
        <v>5</v>
      </c>
      <c r="H496" s="8">
        <v>6.49</v>
      </c>
      <c r="I496" s="4">
        <v>0</v>
      </c>
    </row>
    <row r="497" spans="1:9" x14ac:dyDescent="0.2">
      <c r="A497" s="2">
        <v>14</v>
      </c>
      <c r="B497" s="1" t="s">
        <v>153</v>
      </c>
      <c r="C497" s="4">
        <v>5</v>
      </c>
      <c r="D497" s="8">
        <v>1.67</v>
      </c>
      <c r="E497" s="4">
        <v>5</v>
      </c>
      <c r="F497" s="8">
        <v>2.35</v>
      </c>
      <c r="G497" s="4">
        <v>0</v>
      </c>
      <c r="H497" s="8">
        <v>0</v>
      </c>
      <c r="I497" s="4">
        <v>0</v>
      </c>
    </row>
    <row r="498" spans="1:9" x14ac:dyDescent="0.2">
      <c r="A498" s="2">
        <v>14</v>
      </c>
      <c r="B498" s="1" t="s">
        <v>129</v>
      </c>
      <c r="C498" s="4">
        <v>5</v>
      </c>
      <c r="D498" s="8">
        <v>1.67</v>
      </c>
      <c r="E498" s="4">
        <v>3</v>
      </c>
      <c r="F498" s="8">
        <v>1.41</v>
      </c>
      <c r="G498" s="4">
        <v>2</v>
      </c>
      <c r="H498" s="8">
        <v>2.6</v>
      </c>
      <c r="I498" s="4">
        <v>0</v>
      </c>
    </row>
    <row r="499" spans="1:9" x14ac:dyDescent="0.2">
      <c r="A499" s="2">
        <v>17</v>
      </c>
      <c r="B499" s="1" t="s">
        <v>126</v>
      </c>
      <c r="C499" s="4">
        <v>4</v>
      </c>
      <c r="D499" s="8">
        <v>1.34</v>
      </c>
      <c r="E499" s="4">
        <v>4</v>
      </c>
      <c r="F499" s="8">
        <v>1.88</v>
      </c>
      <c r="G499" s="4">
        <v>0</v>
      </c>
      <c r="H499" s="8">
        <v>0</v>
      </c>
      <c r="I499" s="4">
        <v>0</v>
      </c>
    </row>
    <row r="500" spans="1:9" x14ac:dyDescent="0.2">
      <c r="A500" s="2">
        <v>17</v>
      </c>
      <c r="B500" s="1" t="s">
        <v>192</v>
      </c>
      <c r="C500" s="4">
        <v>4</v>
      </c>
      <c r="D500" s="8">
        <v>1.34</v>
      </c>
      <c r="E500" s="4">
        <v>2</v>
      </c>
      <c r="F500" s="8">
        <v>0.94</v>
      </c>
      <c r="G500" s="4">
        <v>2</v>
      </c>
      <c r="H500" s="8">
        <v>2.6</v>
      </c>
      <c r="I500" s="4">
        <v>0</v>
      </c>
    </row>
    <row r="501" spans="1:9" x14ac:dyDescent="0.2">
      <c r="A501" s="2">
        <v>17</v>
      </c>
      <c r="B501" s="1" t="s">
        <v>161</v>
      </c>
      <c r="C501" s="4">
        <v>4</v>
      </c>
      <c r="D501" s="8">
        <v>1.34</v>
      </c>
      <c r="E501" s="4">
        <v>4</v>
      </c>
      <c r="F501" s="8">
        <v>1.88</v>
      </c>
      <c r="G501" s="4">
        <v>0</v>
      </c>
      <c r="H501" s="8">
        <v>0</v>
      </c>
      <c r="I501" s="4">
        <v>0</v>
      </c>
    </row>
    <row r="502" spans="1:9" x14ac:dyDescent="0.2">
      <c r="A502" s="2">
        <v>17</v>
      </c>
      <c r="B502" s="1" t="s">
        <v>137</v>
      </c>
      <c r="C502" s="4">
        <v>4</v>
      </c>
      <c r="D502" s="8">
        <v>1.34</v>
      </c>
      <c r="E502" s="4">
        <v>4</v>
      </c>
      <c r="F502" s="8">
        <v>1.88</v>
      </c>
      <c r="G502" s="4">
        <v>0</v>
      </c>
      <c r="H502" s="8">
        <v>0</v>
      </c>
      <c r="I502" s="4">
        <v>0</v>
      </c>
    </row>
    <row r="503" spans="1:9" x14ac:dyDescent="0.2">
      <c r="A503" s="2">
        <v>17</v>
      </c>
      <c r="B503" s="1" t="s">
        <v>195</v>
      </c>
      <c r="C503" s="4">
        <v>4</v>
      </c>
      <c r="D503" s="8">
        <v>1.34</v>
      </c>
      <c r="E503" s="4">
        <v>0</v>
      </c>
      <c r="F503" s="8">
        <v>0</v>
      </c>
      <c r="G503" s="4">
        <v>0</v>
      </c>
      <c r="H503" s="8">
        <v>0</v>
      </c>
      <c r="I503" s="4">
        <v>0</v>
      </c>
    </row>
    <row r="504" spans="1:9" x14ac:dyDescent="0.2">
      <c r="A504" s="1"/>
      <c r="C504" s="4"/>
      <c r="D504" s="8"/>
      <c r="E504" s="4"/>
      <c r="F504" s="8"/>
      <c r="G504" s="4"/>
      <c r="H504" s="8"/>
      <c r="I504" s="4"/>
    </row>
    <row r="505" spans="1:9" x14ac:dyDescent="0.2">
      <c r="A505" s="1" t="s">
        <v>20</v>
      </c>
      <c r="C505" s="4"/>
      <c r="D505" s="8"/>
      <c r="E505" s="4"/>
      <c r="F505" s="8"/>
      <c r="G505" s="4"/>
      <c r="H505" s="8"/>
      <c r="I505" s="4"/>
    </row>
    <row r="506" spans="1:9" x14ac:dyDescent="0.2">
      <c r="A506" s="2">
        <v>1</v>
      </c>
      <c r="B506" s="1" t="s">
        <v>133</v>
      </c>
      <c r="C506" s="4">
        <v>21</v>
      </c>
      <c r="D506" s="8">
        <v>10</v>
      </c>
      <c r="E506" s="4">
        <v>21</v>
      </c>
      <c r="F506" s="8">
        <v>12.88</v>
      </c>
      <c r="G506" s="4">
        <v>0</v>
      </c>
      <c r="H506" s="8">
        <v>0</v>
      </c>
      <c r="I506" s="4">
        <v>0</v>
      </c>
    </row>
    <row r="507" spans="1:9" x14ac:dyDescent="0.2">
      <c r="A507" s="2">
        <v>2</v>
      </c>
      <c r="B507" s="1" t="s">
        <v>123</v>
      </c>
      <c r="C507" s="4">
        <v>12</v>
      </c>
      <c r="D507" s="8">
        <v>5.71</v>
      </c>
      <c r="E507" s="4">
        <v>11</v>
      </c>
      <c r="F507" s="8">
        <v>6.75</v>
      </c>
      <c r="G507" s="4">
        <v>1</v>
      </c>
      <c r="H507" s="8">
        <v>2.7</v>
      </c>
      <c r="I507" s="4">
        <v>0</v>
      </c>
    </row>
    <row r="508" spans="1:9" x14ac:dyDescent="0.2">
      <c r="A508" s="2">
        <v>2</v>
      </c>
      <c r="B508" s="1" t="s">
        <v>128</v>
      </c>
      <c r="C508" s="4">
        <v>12</v>
      </c>
      <c r="D508" s="8">
        <v>5.71</v>
      </c>
      <c r="E508" s="4">
        <v>12</v>
      </c>
      <c r="F508" s="8">
        <v>7.36</v>
      </c>
      <c r="G508" s="4">
        <v>0</v>
      </c>
      <c r="H508" s="8">
        <v>0</v>
      </c>
      <c r="I508" s="4">
        <v>0</v>
      </c>
    </row>
    <row r="509" spans="1:9" x14ac:dyDescent="0.2">
      <c r="A509" s="2">
        <v>2</v>
      </c>
      <c r="B509" s="1" t="s">
        <v>132</v>
      </c>
      <c r="C509" s="4">
        <v>12</v>
      </c>
      <c r="D509" s="8">
        <v>5.71</v>
      </c>
      <c r="E509" s="4">
        <v>12</v>
      </c>
      <c r="F509" s="8">
        <v>7.36</v>
      </c>
      <c r="G509" s="4">
        <v>0</v>
      </c>
      <c r="H509" s="8">
        <v>0</v>
      </c>
      <c r="I509" s="4">
        <v>0</v>
      </c>
    </row>
    <row r="510" spans="1:9" x14ac:dyDescent="0.2">
      <c r="A510" s="2">
        <v>5</v>
      </c>
      <c r="B510" s="1" t="s">
        <v>130</v>
      </c>
      <c r="C510" s="4">
        <v>9</v>
      </c>
      <c r="D510" s="8">
        <v>4.29</v>
      </c>
      <c r="E510" s="4">
        <v>9</v>
      </c>
      <c r="F510" s="8">
        <v>5.52</v>
      </c>
      <c r="G510" s="4">
        <v>0</v>
      </c>
      <c r="H510" s="8">
        <v>0</v>
      </c>
      <c r="I510" s="4">
        <v>0</v>
      </c>
    </row>
    <row r="511" spans="1:9" x14ac:dyDescent="0.2">
      <c r="A511" s="2">
        <v>6</v>
      </c>
      <c r="B511" s="1" t="s">
        <v>136</v>
      </c>
      <c r="C511" s="4">
        <v>8</v>
      </c>
      <c r="D511" s="8">
        <v>3.81</v>
      </c>
      <c r="E511" s="4">
        <v>8</v>
      </c>
      <c r="F511" s="8">
        <v>4.91</v>
      </c>
      <c r="G511" s="4">
        <v>0</v>
      </c>
      <c r="H511" s="8">
        <v>0</v>
      </c>
      <c r="I511" s="4">
        <v>0</v>
      </c>
    </row>
    <row r="512" spans="1:9" x14ac:dyDescent="0.2">
      <c r="A512" s="2">
        <v>7</v>
      </c>
      <c r="B512" s="1" t="s">
        <v>156</v>
      </c>
      <c r="C512" s="4">
        <v>6</v>
      </c>
      <c r="D512" s="8">
        <v>2.86</v>
      </c>
      <c r="E512" s="4">
        <v>6</v>
      </c>
      <c r="F512" s="8">
        <v>3.68</v>
      </c>
      <c r="G512" s="4">
        <v>0</v>
      </c>
      <c r="H512" s="8">
        <v>0</v>
      </c>
      <c r="I512" s="4">
        <v>0</v>
      </c>
    </row>
    <row r="513" spans="1:9" x14ac:dyDescent="0.2">
      <c r="A513" s="2">
        <v>8</v>
      </c>
      <c r="B513" s="1" t="s">
        <v>146</v>
      </c>
      <c r="C513" s="4">
        <v>5</v>
      </c>
      <c r="D513" s="8">
        <v>2.38</v>
      </c>
      <c r="E513" s="4">
        <v>4</v>
      </c>
      <c r="F513" s="8">
        <v>2.4500000000000002</v>
      </c>
      <c r="G513" s="4">
        <v>1</v>
      </c>
      <c r="H513" s="8">
        <v>2.7</v>
      </c>
      <c r="I513" s="4">
        <v>0</v>
      </c>
    </row>
    <row r="514" spans="1:9" x14ac:dyDescent="0.2">
      <c r="A514" s="2">
        <v>8</v>
      </c>
      <c r="B514" s="1" t="s">
        <v>148</v>
      </c>
      <c r="C514" s="4">
        <v>5</v>
      </c>
      <c r="D514" s="8">
        <v>2.38</v>
      </c>
      <c r="E514" s="4">
        <v>5</v>
      </c>
      <c r="F514" s="8">
        <v>3.07</v>
      </c>
      <c r="G514" s="4">
        <v>0</v>
      </c>
      <c r="H514" s="8">
        <v>0</v>
      </c>
      <c r="I514" s="4">
        <v>0</v>
      </c>
    </row>
    <row r="515" spans="1:9" x14ac:dyDescent="0.2">
      <c r="A515" s="2">
        <v>8</v>
      </c>
      <c r="B515" s="1" t="s">
        <v>149</v>
      </c>
      <c r="C515" s="4">
        <v>5</v>
      </c>
      <c r="D515" s="8">
        <v>2.38</v>
      </c>
      <c r="E515" s="4">
        <v>4</v>
      </c>
      <c r="F515" s="8">
        <v>2.4500000000000002</v>
      </c>
      <c r="G515" s="4">
        <v>1</v>
      </c>
      <c r="H515" s="8">
        <v>2.7</v>
      </c>
      <c r="I515" s="4">
        <v>0</v>
      </c>
    </row>
    <row r="516" spans="1:9" x14ac:dyDescent="0.2">
      <c r="A516" s="2">
        <v>11</v>
      </c>
      <c r="B516" s="1" t="s">
        <v>122</v>
      </c>
      <c r="C516" s="4">
        <v>4</v>
      </c>
      <c r="D516" s="8">
        <v>1.9</v>
      </c>
      <c r="E516" s="4">
        <v>0</v>
      </c>
      <c r="F516" s="8">
        <v>0</v>
      </c>
      <c r="G516" s="4">
        <v>4</v>
      </c>
      <c r="H516" s="8">
        <v>10.81</v>
      </c>
      <c r="I516" s="4">
        <v>0</v>
      </c>
    </row>
    <row r="517" spans="1:9" x14ac:dyDescent="0.2">
      <c r="A517" s="2">
        <v>11</v>
      </c>
      <c r="B517" s="1" t="s">
        <v>163</v>
      </c>
      <c r="C517" s="4">
        <v>4</v>
      </c>
      <c r="D517" s="8">
        <v>1.9</v>
      </c>
      <c r="E517" s="4">
        <v>1</v>
      </c>
      <c r="F517" s="8">
        <v>0.61</v>
      </c>
      <c r="G517" s="4">
        <v>3</v>
      </c>
      <c r="H517" s="8">
        <v>8.11</v>
      </c>
      <c r="I517" s="4">
        <v>0</v>
      </c>
    </row>
    <row r="518" spans="1:9" x14ac:dyDescent="0.2">
      <c r="A518" s="2">
        <v>11</v>
      </c>
      <c r="B518" s="1" t="s">
        <v>144</v>
      </c>
      <c r="C518" s="4">
        <v>4</v>
      </c>
      <c r="D518" s="8">
        <v>1.9</v>
      </c>
      <c r="E518" s="4">
        <v>3</v>
      </c>
      <c r="F518" s="8">
        <v>1.84</v>
      </c>
      <c r="G518" s="4">
        <v>1</v>
      </c>
      <c r="H518" s="8">
        <v>2.7</v>
      </c>
      <c r="I518" s="4">
        <v>0</v>
      </c>
    </row>
    <row r="519" spans="1:9" x14ac:dyDescent="0.2">
      <c r="A519" s="2">
        <v>11</v>
      </c>
      <c r="B519" s="1" t="s">
        <v>131</v>
      </c>
      <c r="C519" s="4">
        <v>4</v>
      </c>
      <c r="D519" s="8">
        <v>1.9</v>
      </c>
      <c r="E519" s="4">
        <v>4</v>
      </c>
      <c r="F519" s="8">
        <v>2.4500000000000002</v>
      </c>
      <c r="G519" s="4">
        <v>0</v>
      </c>
      <c r="H519" s="8">
        <v>0</v>
      </c>
      <c r="I519" s="4">
        <v>0</v>
      </c>
    </row>
    <row r="520" spans="1:9" x14ac:dyDescent="0.2">
      <c r="A520" s="2">
        <v>11</v>
      </c>
      <c r="B520" s="1" t="s">
        <v>207</v>
      </c>
      <c r="C520" s="4">
        <v>4</v>
      </c>
      <c r="D520" s="8">
        <v>1.9</v>
      </c>
      <c r="E520" s="4">
        <v>4</v>
      </c>
      <c r="F520" s="8">
        <v>2.4500000000000002</v>
      </c>
      <c r="G520" s="4">
        <v>0</v>
      </c>
      <c r="H520" s="8">
        <v>0</v>
      </c>
      <c r="I520" s="4">
        <v>0</v>
      </c>
    </row>
    <row r="521" spans="1:9" x14ac:dyDescent="0.2">
      <c r="A521" s="2">
        <v>11</v>
      </c>
      <c r="B521" s="1" t="s">
        <v>135</v>
      </c>
      <c r="C521" s="4">
        <v>4</v>
      </c>
      <c r="D521" s="8">
        <v>1.9</v>
      </c>
      <c r="E521" s="4">
        <v>4</v>
      </c>
      <c r="F521" s="8">
        <v>2.4500000000000002</v>
      </c>
      <c r="G521" s="4">
        <v>0</v>
      </c>
      <c r="H521" s="8">
        <v>0</v>
      </c>
      <c r="I521" s="4">
        <v>0</v>
      </c>
    </row>
    <row r="522" spans="1:9" x14ac:dyDescent="0.2">
      <c r="A522" s="2">
        <v>17</v>
      </c>
      <c r="B522" s="1" t="s">
        <v>151</v>
      </c>
      <c r="C522" s="4">
        <v>3</v>
      </c>
      <c r="D522" s="8">
        <v>1.43</v>
      </c>
      <c r="E522" s="4">
        <v>1</v>
      </c>
      <c r="F522" s="8">
        <v>0.61</v>
      </c>
      <c r="G522" s="4">
        <v>2</v>
      </c>
      <c r="H522" s="8">
        <v>5.41</v>
      </c>
      <c r="I522" s="4">
        <v>0</v>
      </c>
    </row>
    <row r="523" spans="1:9" x14ac:dyDescent="0.2">
      <c r="A523" s="2">
        <v>17</v>
      </c>
      <c r="B523" s="1" t="s">
        <v>173</v>
      </c>
      <c r="C523" s="4">
        <v>3</v>
      </c>
      <c r="D523" s="8">
        <v>1.43</v>
      </c>
      <c r="E523" s="4">
        <v>3</v>
      </c>
      <c r="F523" s="8">
        <v>1.84</v>
      </c>
      <c r="G523" s="4">
        <v>0</v>
      </c>
      <c r="H523" s="8">
        <v>0</v>
      </c>
      <c r="I523" s="4">
        <v>0</v>
      </c>
    </row>
    <row r="524" spans="1:9" x14ac:dyDescent="0.2">
      <c r="A524" s="2">
        <v>17</v>
      </c>
      <c r="B524" s="1" t="s">
        <v>175</v>
      </c>
      <c r="C524" s="4">
        <v>3</v>
      </c>
      <c r="D524" s="8">
        <v>1.43</v>
      </c>
      <c r="E524" s="4">
        <v>3</v>
      </c>
      <c r="F524" s="8">
        <v>1.84</v>
      </c>
      <c r="G524" s="4">
        <v>0</v>
      </c>
      <c r="H524" s="8">
        <v>0</v>
      </c>
      <c r="I524" s="4">
        <v>0</v>
      </c>
    </row>
    <row r="525" spans="1:9" x14ac:dyDescent="0.2">
      <c r="A525" s="2">
        <v>17</v>
      </c>
      <c r="B525" s="1" t="s">
        <v>161</v>
      </c>
      <c r="C525" s="4">
        <v>3</v>
      </c>
      <c r="D525" s="8">
        <v>1.43</v>
      </c>
      <c r="E525" s="4">
        <v>3</v>
      </c>
      <c r="F525" s="8">
        <v>1.84</v>
      </c>
      <c r="G525" s="4">
        <v>0</v>
      </c>
      <c r="H525" s="8">
        <v>0</v>
      </c>
      <c r="I525" s="4">
        <v>0</v>
      </c>
    </row>
    <row r="526" spans="1:9" x14ac:dyDescent="0.2">
      <c r="A526" s="2">
        <v>17</v>
      </c>
      <c r="B526" s="1" t="s">
        <v>150</v>
      </c>
      <c r="C526" s="4">
        <v>3</v>
      </c>
      <c r="D526" s="8">
        <v>1.43</v>
      </c>
      <c r="E526" s="4">
        <v>3</v>
      </c>
      <c r="F526" s="8">
        <v>1.84</v>
      </c>
      <c r="G526" s="4">
        <v>0</v>
      </c>
      <c r="H526" s="8">
        <v>0</v>
      </c>
      <c r="I526" s="4">
        <v>0</v>
      </c>
    </row>
    <row r="527" spans="1:9" x14ac:dyDescent="0.2">
      <c r="A527" s="2">
        <v>17</v>
      </c>
      <c r="B527" s="1" t="s">
        <v>139</v>
      </c>
      <c r="C527" s="4">
        <v>3</v>
      </c>
      <c r="D527" s="8">
        <v>1.43</v>
      </c>
      <c r="E527" s="4">
        <v>3</v>
      </c>
      <c r="F527" s="8">
        <v>1.84</v>
      </c>
      <c r="G527" s="4">
        <v>0</v>
      </c>
      <c r="H527" s="8">
        <v>0</v>
      </c>
      <c r="I527" s="4">
        <v>0</v>
      </c>
    </row>
    <row r="528" spans="1:9" x14ac:dyDescent="0.2">
      <c r="A528" s="2">
        <v>17</v>
      </c>
      <c r="B528" s="1" t="s">
        <v>203</v>
      </c>
      <c r="C528" s="4">
        <v>3</v>
      </c>
      <c r="D528" s="8">
        <v>1.43</v>
      </c>
      <c r="E528" s="4">
        <v>1</v>
      </c>
      <c r="F528" s="8">
        <v>0.61</v>
      </c>
      <c r="G528" s="4">
        <v>0</v>
      </c>
      <c r="H528" s="8">
        <v>0</v>
      </c>
      <c r="I528" s="4">
        <v>0</v>
      </c>
    </row>
    <row r="529" spans="1:9" x14ac:dyDescent="0.2">
      <c r="A529" s="1"/>
      <c r="C529" s="4"/>
      <c r="D529" s="8"/>
      <c r="E529" s="4"/>
      <c r="F529" s="8"/>
      <c r="G529" s="4"/>
      <c r="H529" s="8"/>
      <c r="I529" s="4"/>
    </row>
    <row r="530" spans="1:9" x14ac:dyDescent="0.2">
      <c r="A530" s="1" t="s">
        <v>21</v>
      </c>
      <c r="C530" s="4"/>
      <c r="D530" s="8"/>
      <c r="E530" s="4"/>
      <c r="F530" s="8"/>
      <c r="G530" s="4"/>
      <c r="H530" s="8"/>
      <c r="I530" s="4"/>
    </row>
    <row r="531" spans="1:9" x14ac:dyDescent="0.2">
      <c r="A531" s="2">
        <v>1</v>
      </c>
      <c r="B531" s="1" t="s">
        <v>167</v>
      </c>
      <c r="C531" s="4">
        <v>62</v>
      </c>
      <c r="D531" s="8">
        <v>8.81</v>
      </c>
      <c r="E531" s="4">
        <v>62</v>
      </c>
      <c r="F531" s="8">
        <v>11.55</v>
      </c>
      <c r="G531" s="4">
        <v>0</v>
      </c>
      <c r="H531" s="8">
        <v>0</v>
      </c>
      <c r="I531" s="4">
        <v>0</v>
      </c>
    </row>
    <row r="532" spans="1:9" x14ac:dyDescent="0.2">
      <c r="A532" s="2">
        <v>2</v>
      </c>
      <c r="B532" s="1" t="s">
        <v>136</v>
      </c>
      <c r="C532" s="4">
        <v>37</v>
      </c>
      <c r="D532" s="8">
        <v>5.26</v>
      </c>
      <c r="E532" s="4">
        <v>35</v>
      </c>
      <c r="F532" s="8">
        <v>6.52</v>
      </c>
      <c r="G532" s="4">
        <v>2</v>
      </c>
      <c r="H532" s="8">
        <v>1.27</v>
      </c>
      <c r="I532" s="4">
        <v>0</v>
      </c>
    </row>
    <row r="533" spans="1:9" x14ac:dyDescent="0.2">
      <c r="A533" s="2">
        <v>3</v>
      </c>
      <c r="B533" s="1" t="s">
        <v>128</v>
      </c>
      <c r="C533" s="4">
        <v>36</v>
      </c>
      <c r="D533" s="8">
        <v>5.1100000000000003</v>
      </c>
      <c r="E533" s="4">
        <v>23</v>
      </c>
      <c r="F533" s="8">
        <v>4.28</v>
      </c>
      <c r="G533" s="4">
        <v>13</v>
      </c>
      <c r="H533" s="8">
        <v>8.2799999999999994</v>
      </c>
      <c r="I533" s="4">
        <v>0</v>
      </c>
    </row>
    <row r="534" spans="1:9" x14ac:dyDescent="0.2">
      <c r="A534" s="2">
        <v>4</v>
      </c>
      <c r="B534" s="1" t="s">
        <v>170</v>
      </c>
      <c r="C534" s="4">
        <v>35</v>
      </c>
      <c r="D534" s="8">
        <v>4.97</v>
      </c>
      <c r="E534" s="4">
        <v>34</v>
      </c>
      <c r="F534" s="8">
        <v>6.33</v>
      </c>
      <c r="G534" s="4">
        <v>1</v>
      </c>
      <c r="H534" s="8">
        <v>0.64</v>
      </c>
      <c r="I534" s="4">
        <v>0</v>
      </c>
    </row>
    <row r="535" spans="1:9" x14ac:dyDescent="0.2">
      <c r="A535" s="2">
        <v>5</v>
      </c>
      <c r="B535" s="1" t="s">
        <v>135</v>
      </c>
      <c r="C535" s="4">
        <v>29</v>
      </c>
      <c r="D535" s="8">
        <v>4.12</v>
      </c>
      <c r="E535" s="4">
        <v>28</v>
      </c>
      <c r="F535" s="8">
        <v>5.21</v>
      </c>
      <c r="G535" s="4">
        <v>1</v>
      </c>
      <c r="H535" s="8">
        <v>0.64</v>
      </c>
      <c r="I535" s="4">
        <v>0</v>
      </c>
    </row>
    <row r="536" spans="1:9" x14ac:dyDescent="0.2">
      <c r="A536" s="2">
        <v>6</v>
      </c>
      <c r="B536" s="1" t="s">
        <v>133</v>
      </c>
      <c r="C536" s="4">
        <v>27</v>
      </c>
      <c r="D536" s="8">
        <v>3.84</v>
      </c>
      <c r="E536" s="4">
        <v>27</v>
      </c>
      <c r="F536" s="8">
        <v>5.03</v>
      </c>
      <c r="G536" s="4">
        <v>0</v>
      </c>
      <c r="H536" s="8">
        <v>0</v>
      </c>
      <c r="I536" s="4">
        <v>0</v>
      </c>
    </row>
    <row r="537" spans="1:9" x14ac:dyDescent="0.2">
      <c r="A537" s="2">
        <v>7</v>
      </c>
      <c r="B537" s="1" t="s">
        <v>139</v>
      </c>
      <c r="C537" s="4">
        <v>26</v>
      </c>
      <c r="D537" s="8">
        <v>3.69</v>
      </c>
      <c r="E537" s="4">
        <v>24</v>
      </c>
      <c r="F537" s="8">
        <v>4.47</v>
      </c>
      <c r="G537" s="4">
        <v>2</v>
      </c>
      <c r="H537" s="8">
        <v>1.27</v>
      </c>
      <c r="I537" s="4">
        <v>0</v>
      </c>
    </row>
    <row r="538" spans="1:9" x14ac:dyDescent="0.2">
      <c r="A538" s="2">
        <v>8</v>
      </c>
      <c r="B538" s="1" t="s">
        <v>132</v>
      </c>
      <c r="C538" s="4">
        <v>22</v>
      </c>
      <c r="D538" s="8">
        <v>3.13</v>
      </c>
      <c r="E538" s="4">
        <v>22</v>
      </c>
      <c r="F538" s="8">
        <v>4.0999999999999996</v>
      </c>
      <c r="G538" s="4">
        <v>0</v>
      </c>
      <c r="H538" s="8">
        <v>0</v>
      </c>
      <c r="I538" s="4">
        <v>0</v>
      </c>
    </row>
    <row r="539" spans="1:9" x14ac:dyDescent="0.2">
      <c r="A539" s="2">
        <v>8</v>
      </c>
      <c r="B539" s="1" t="s">
        <v>141</v>
      </c>
      <c r="C539" s="4">
        <v>22</v>
      </c>
      <c r="D539" s="8">
        <v>3.13</v>
      </c>
      <c r="E539" s="4">
        <v>19</v>
      </c>
      <c r="F539" s="8">
        <v>3.54</v>
      </c>
      <c r="G539" s="4">
        <v>3</v>
      </c>
      <c r="H539" s="8">
        <v>1.91</v>
      </c>
      <c r="I539" s="4">
        <v>0</v>
      </c>
    </row>
    <row r="540" spans="1:9" x14ac:dyDescent="0.2">
      <c r="A540" s="2">
        <v>10</v>
      </c>
      <c r="B540" s="1" t="s">
        <v>131</v>
      </c>
      <c r="C540" s="4">
        <v>21</v>
      </c>
      <c r="D540" s="8">
        <v>2.98</v>
      </c>
      <c r="E540" s="4">
        <v>20</v>
      </c>
      <c r="F540" s="8">
        <v>3.72</v>
      </c>
      <c r="G540" s="4">
        <v>1</v>
      </c>
      <c r="H540" s="8">
        <v>0.64</v>
      </c>
      <c r="I540" s="4">
        <v>0</v>
      </c>
    </row>
    <row r="541" spans="1:9" x14ac:dyDescent="0.2">
      <c r="A541" s="2">
        <v>11</v>
      </c>
      <c r="B541" s="1" t="s">
        <v>146</v>
      </c>
      <c r="C541" s="4">
        <v>15</v>
      </c>
      <c r="D541" s="8">
        <v>2.13</v>
      </c>
      <c r="E541" s="4">
        <v>6</v>
      </c>
      <c r="F541" s="8">
        <v>1.1200000000000001</v>
      </c>
      <c r="G541" s="4">
        <v>9</v>
      </c>
      <c r="H541" s="8">
        <v>5.73</v>
      </c>
      <c r="I541" s="4">
        <v>0</v>
      </c>
    </row>
    <row r="542" spans="1:9" x14ac:dyDescent="0.2">
      <c r="A542" s="2">
        <v>11</v>
      </c>
      <c r="B542" s="1" t="s">
        <v>138</v>
      </c>
      <c r="C542" s="4">
        <v>15</v>
      </c>
      <c r="D542" s="8">
        <v>2.13</v>
      </c>
      <c r="E542" s="4">
        <v>14</v>
      </c>
      <c r="F542" s="8">
        <v>2.61</v>
      </c>
      <c r="G542" s="4">
        <v>1</v>
      </c>
      <c r="H542" s="8">
        <v>0.64</v>
      </c>
      <c r="I542" s="4">
        <v>0</v>
      </c>
    </row>
    <row r="543" spans="1:9" x14ac:dyDescent="0.2">
      <c r="A543" s="2">
        <v>13</v>
      </c>
      <c r="B543" s="1" t="s">
        <v>153</v>
      </c>
      <c r="C543" s="4">
        <v>13</v>
      </c>
      <c r="D543" s="8">
        <v>1.85</v>
      </c>
      <c r="E543" s="4">
        <v>12</v>
      </c>
      <c r="F543" s="8">
        <v>2.23</v>
      </c>
      <c r="G543" s="4">
        <v>1</v>
      </c>
      <c r="H543" s="8">
        <v>0.64</v>
      </c>
      <c r="I543" s="4">
        <v>0</v>
      </c>
    </row>
    <row r="544" spans="1:9" x14ac:dyDescent="0.2">
      <c r="A544" s="2">
        <v>14</v>
      </c>
      <c r="B544" s="1" t="s">
        <v>137</v>
      </c>
      <c r="C544" s="4">
        <v>12</v>
      </c>
      <c r="D544" s="8">
        <v>1.7</v>
      </c>
      <c r="E544" s="4">
        <v>11</v>
      </c>
      <c r="F544" s="8">
        <v>2.0499999999999998</v>
      </c>
      <c r="G544" s="4">
        <v>1</v>
      </c>
      <c r="H544" s="8">
        <v>0.64</v>
      </c>
      <c r="I544" s="4">
        <v>0</v>
      </c>
    </row>
    <row r="545" spans="1:9" x14ac:dyDescent="0.2">
      <c r="A545" s="2">
        <v>14</v>
      </c>
      <c r="B545" s="1" t="s">
        <v>140</v>
      </c>
      <c r="C545" s="4">
        <v>12</v>
      </c>
      <c r="D545" s="8">
        <v>1.7</v>
      </c>
      <c r="E545" s="4">
        <v>10</v>
      </c>
      <c r="F545" s="8">
        <v>1.86</v>
      </c>
      <c r="G545" s="4">
        <v>2</v>
      </c>
      <c r="H545" s="8">
        <v>1.27</v>
      </c>
      <c r="I545" s="4">
        <v>0</v>
      </c>
    </row>
    <row r="546" spans="1:9" x14ac:dyDescent="0.2">
      <c r="A546" s="2">
        <v>16</v>
      </c>
      <c r="B546" s="1" t="s">
        <v>122</v>
      </c>
      <c r="C546" s="4">
        <v>11</v>
      </c>
      <c r="D546" s="8">
        <v>1.56</v>
      </c>
      <c r="E546" s="4">
        <v>3</v>
      </c>
      <c r="F546" s="8">
        <v>0.56000000000000005</v>
      </c>
      <c r="G546" s="4">
        <v>8</v>
      </c>
      <c r="H546" s="8">
        <v>5.0999999999999996</v>
      </c>
      <c r="I546" s="4">
        <v>0</v>
      </c>
    </row>
    <row r="547" spans="1:9" x14ac:dyDescent="0.2">
      <c r="A547" s="2">
        <v>16</v>
      </c>
      <c r="B547" s="1" t="s">
        <v>208</v>
      </c>
      <c r="C547" s="4">
        <v>11</v>
      </c>
      <c r="D547" s="8">
        <v>1.56</v>
      </c>
      <c r="E547" s="4">
        <v>11</v>
      </c>
      <c r="F547" s="8">
        <v>2.0499999999999998</v>
      </c>
      <c r="G547" s="4">
        <v>0</v>
      </c>
      <c r="H547" s="8">
        <v>0</v>
      </c>
      <c r="I547" s="4">
        <v>0</v>
      </c>
    </row>
    <row r="548" spans="1:9" x14ac:dyDescent="0.2">
      <c r="A548" s="2">
        <v>16</v>
      </c>
      <c r="B548" s="1" t="s">
        <v>124</v>
      </c>
      <c r="C548" s="4">
        <v>11</v>
      </c>
      <c r="D548" s="8">
        <v>1.56</v>
      </c>
      <c r="E548" s="4">
        <v>9</v>
      </c>
      <c r="F548" s="8">
        <v>1.68</v>
      </c>
      <c r="G548" s="4">
        <v>2</v>
      </c>
      <c r="H548" s="8">
        <v>1.27</v>
      </c>
      <c r="I548" s="4">
        <v>0</v>
      </c>
    </row>
    <row r="549" spans="1:9" x14ac:dyDescent="0.2">
      <c r="A549" s="2">
        <v>19</v>
      </c>
      <c r="B549" s="1" t="s">
        <v>151</v>
      </c>
      <c r="C549" s="4">
        <v>10</v>
      </c>
      <c r="D549" s="8">
        <v>1.42</v>
      </c>
      <c r="E549" s="4">
        <v>4</v>
      </c>
      <c r="F549" s="8">
        <v>0.74</v>
      </c>
      <c r="G549" s="4">
        <v>6</v>
      </c>
      <c r="H549" s="8">
        <v>3.82</v>
      </c>
      <c r="I549" s="4">
        <v>0</v>
      </c>
    </row>
    <row r="550" spans="1:9" x14ac:dyDescent="0.2">
      <c r="A550" s="2">
        <v>19</v>
      </c>
      <c r="B550" s="1" t="s">
        <v>123</v>
      </c>
      <c r="C550" s="4">
        <v>10</v>
      </c>
      <c r="D550" s="8">
        <v>1.42</v>
      </c>
      <c r="E550" s="4">
        <v>9</v>
      </c>
      <c r="F550" s="8">
        <v>1.68</v>
      </c>
      <c r="G550" s="4">
        <v>1</v>
      </c>
      <c r="H550" s="8">
        <v>0.64</v>
      </c>
      <c r="I550" s="4">
        <v>0</v>
      </c>
    </row>
    <row r="551" spans="1:9" x14ac:dyDescent="0.2">
      <c r="A551" s="2">
        <v>19</v>
      </c>
      <c r="B551" s="1" t="s">
        <v>159</v>
      </c>
      <c r="C551" s="4">
        <v>10</v>
      </c>
      <c r="D551" s="8">
        <v>1.42</v>
      </c>
      <c r="E551" s="4">
        <v>8</v>
      </c>
      <c r="F551" s="8">
        <v>1.49</v>
      </c>
      <c r="G551" s="4">
        <v>2</v>
      </c>
      <c r="H551" s="8">
        <v>1.27</v>
      </c>
      <c r="I551" s="4">
        <v>0</v>
      </c>
    </row>
    <row r="552" spans="1:9" x14ac:dyDescent="0.2">
      <c r="A552" s="1"/>
      <c r="C552" s="4"/>
      <c r="D552" s="8"/>
      <c r="E552" s="4"/>
      <c r="F552" s="8"/>
      <c r="G552" s="4"/>
      <c r="H552" s="8"/>
      <c r="I552" s="4"/>
    </row>
    <row r="553" spans="1:9" x14ac:dyDescent="0.2">
      <c r="A553" s="1" t="s">
        <v>22</v>
      </c>
      <c r="C553" s="4"/>
      <c r="D553" s="8"/>
      <c r="E553" s="4"/>
      <c r="F553" s="8"/>
      <c r="G553" s="4"/>
      <c r="H553" s="8"/>
      <c r="I553" s="4"/>
    </row>
    <row r="554" spans="1:9" x14ac:dyDescent="0.2">
      <c r="A554" s="2">
        <v>1</v>
      </c>
      <c r="B554" s="1" t="s">
        <v>136</v>
      </c>
      <c r="C554" s="4">
        <v>26</v>
      </c>
      <c r="D554" s="8">
        <v>7.39</v>
      </c>
      <c r="E554" s="4">
        <v>26</v>
      </c>
      <c r="F554" s="8">
        <v>10.4</v>
      </c>
      <c r="G554" s="4">
        <v>0</v>
      </c>
      <c r="H554" s="8">
        <v>0</v>
      </c>
      <c r="I554" s="4">
        <v>0</v>
      </c>
    </row>
    <row r="555" spans="1:9" x14ac:dyDescent="0.2">
      <c r="A555" s="2">
        <v>2</v>
      </c>
      <c r="B555" s="1" t="s">
        <v>133</v>
      </c>
      <c r="C555" s="4">
        <v>24</v>
      </c>
      <c r="D555" s="8">
        <v>6.82</v>
      </c>
      <c r="E555" s="4">
        <v>23</v>
      </c>
      <c r="F555" s="8">
        <v>9.1999999999999993</v>
      </c>
      <c r="G555" s="4">
        <v>1</v>
      </c>
      <c r="H555" s="8">
        <v>1.04</v>
      </c>
      <c r="I555" s="4">
        <v>0</v>
      </c>
    </row>
    <row r="556" spans="1:9" x14ac:dyDescent="0.2">
      <c r="A556" s="2">
        <v>3</v>
      </c>
      <c r="B556" s="1" t="s">
        <v>139</v>
      </c>
      <c r="C556" s="4">
        <v>20</v>
      </c>
      <c r="D556" s="8">
        <v>5.68</v>
      </c>
      <c r="E556" s="4">
        <v>18</v>
      </c>
      <c r="F556" s="8">
        <v>7.2</v>
      </c>
      <c r="G556" s="4">
        <v>2</v>
      </c>
      <c r="H556" s="8">
        <v>2.08</v>
      </c>
      <c r="I556" s="4">
        <v>0</v>
      </c>
    </row>
    <row r="557" spans="1:9" x14ac:dyDescent="0.2">
      <c r="A557" s="2">
        <v>4</v>
      </c>
      <c r="B557" s="1" t="s">
        <v>132</v>
      </c>
      <c r="C557" s="4">
        <v>18</v>
      </c>
      <c r="D557" s="8">
        <v>5.1100000000000003</v>
      </c>
      <c r="E557" s="4">
        <v>17</v>
      </c>
      <c r="F557" s="8">
        <v>6.8</v>
      </c>
      <c r="G557" s="4">
        <v>1</v>
      </c>
      <c r="H557" s="8">
        <v>1.04</v>
      </c>
      <c r="I557" s="4">
        <v>0</v>
      </c>
    </row>
    <row r="558" spans="1:9" x14ac:dyDescent="0.2">
      <c r="A558" s="2">
        <v>5</v>
      </c>
      <c r="B558" s="1" t="s">
        <v>123</v>
      </c>
      <c r="C558" s="4">
        <v>14</v>
      </c>
      <c r="D558" s="8">
        <v>3.98</v>
      </c>
      <c r="E558" s="4">
        <v>13</v>
      </c>
      <c r="F558" s="8">
        <v>5.2</v>
      </c>
      <c r="G558" s="4">
        <v>1</v>
      </c>
      <c r="H558" s="8">
        <v>1.04</v>
      </c>
      <c r="I558" s="4">
        <v>0</v>
      </c>
    </row>
    <row r="559" spans="1:9" x14ac:dyDescent="0.2">
      <c r="A559" s="2">
        <v>5</v>
      </c>
      <c r="B559" s="1" t="s">
        <v>128</v>
      </c>
      <c r="C559" s="4">
        <v>14</v>
      </c>
      <c r="D559" s="8">
        <v>3.98</v>
      </c>
      <c r="E559" s="4">
        <v>3</v>
      </c>
      <c r="F559" s="8">
        <v>1.2</v>
      </c>
      <c r="G559" s="4">
        <v>10</v>
      </c>
      <c r="H559" s="8">
        <v>10.42</v>
      </c>
      <c r="I559" s="4">
        <v>0</v>
      </c>
    </row>
    <row r="560" spans="1:9" x14ac:dyDescent="0.2">
      <c r="A560" s="2">
        <v>7</v>
      </c>
      <c r="B560" s="1" t="s">
        <v>141</v>
      </c>
      <c r="C560" s="4">
        <v>12</v>
      </c>
      <c r="D560" s="8">
        <v>3.41</v>
      </c>
      <c r="E560" s="4">
        <v>12</v>
      </c>
      <c r="F560" s="8">
        <v>4.8</v>
      </c>
      <c r="G560" s="4">
        <v>0</v>
      </c>
      <c r="H560" s="8">
        <v>0</v>
      </c>
      <c r="I560" s="4">
        <v>0</v>
      </c>
    </row>
    <row r="561" spans="1:9" x14ac:dyDescent="0.2">
      <c r="A561" s="2">
        <v>8</v>
      </c>
      <c r="B561" s="1" t="s">
        <v>137</v>
      </c>
      <c r="C561" s="4">
        <v>11</v>
      </c>
      <c r="D561" s="8">
        <v>3.13</v>
      </c>
      <c r="E561" s="4">
        <v>11</v>
      </c>
      <c r="F561" s="8">
        <v>4.4000000000000004</v>
      </c>
      <c r="G561" s="4">
        <v>0</v>
      </c>
      <c r="H561" s="8">
        <v>0</v>
      </c>
      <c r="I561" s="4">
        <v>0</v>
      </c>
    </row>
    <row r="562" spans="1:9" x14ac:dyDescent="0.2">
      <c r="A562" s="2">
        <v>9</v>
      </c>
      <c r="B562" s="1" t="s">
        <v>126</v>
      </c>
      <c r="C562" s="4">
        <v>8</v>
      </c>
      <c r="D562" s="8">
        <v>2.27</v>
      </c>
      <c r="E562" s="4">
        <v>7</v>
      </c>
      <c r="F562" s="8">
        <v>2.8</v>
      </c>
      <c r="G562" s="4">
        <v>1</v>
      </c>
      <c r="H562" s="8">
        <v>1.04</v>
      </c>
      <c r="I562" s="4">
        <v>0</v>
      </c>
    </row>
    <row r="563" spans="1:9" x14ac:dyDescent="0.2">
      <c r="A563" s="2">
        <v>10</v>
      </c>
      <c r="B563" s="1" t="s">
        <v>147</v>
      </c>
      <c r="C563" s="4">
        <v>7</v>
      </c>
      <c r="D563" s="8">
        <v>1.99</v>
      </c>
      <c r="E563" s="4">
        <v>0</v>
      </c>
      <c r="F563" s="8">
        <v>0</v>
      </c>
      <c r="G563" s="4">
        <v>7</v>
      </c>
      <c r="H563" s="8">
        <v>7.29</v>
      </c>
      <c r="I563" s="4">
        <v>0</v>
      </c>
    </row>
    <row r="564" spans="1:9" x14ac:dyDescent="0.2">
      <c r="A564" s="2">
        <v>10</v>
      </c>
      <c r="B564" s="1" t="s">
        <v>134</v>
      </c>
      <c r="C564" s="4">
        <v>7</v>
      </c>
      <c r="D564" s="8">
        <v>1.99</v>
      </c>
      <c r="E564" s="4">
        <v>7</v>
      </c>
      <c r="F564" s="8">
        <v>2.8</v>
      </c>
      <c r="G564" s="4">
        <v>0</v>
      </c>
      <c r="H564" s="8">
        <v>0</v>
      </c>
      <c r="I564" s="4">
        <v>0</v>
      </c>
    </row>
    <row r="565" spans="1:9" x14ac:dyDescent="0.2">
      <c r="A565" s="2">
        <v>10</v>
      </c>
      <c r="B565" s="1" t="s">
        <v>135</v>
      </c>
      <c r="C565" s="4">
        <v>7</v>
      </c>
      <c r="D565" s="8">
        <v>1.99</v>
      </c>
      <c r="E565" s="4">
        <v>7</v>
      </c>
      <c r="F565" s="8">
        <v>2.8</v>
      </c>
      <c r="G565" s="4">
        <v>0</v>
      </c>
      <c r="H565" s="8">
        <v>0</v>
      </c>
      <c r="I565" s="4">
        <v>0</v>
      </c>
    </row>
    <row r="566" spans="1:9" x14ac:dyDescent="0.2">
      <c r="A566" s="2">
        <v>13</v>
      </c>
      <c r="B566" s="1" t="s">
        <v>142</v>
      </c>
      <c r="C566" s="4">
        <v>6</v>
      </c>
      <c r="D566" s="8">
        <v>1.7</v>
      </c>
      <c r="E566" s="4">
        <v>4</v>
      </c>
      <c r="F566" s="8">
        <v>1.6</v>
      </c>
      <c r="G566" s="4">
        <v>2</v>
      </c>
      <c r="H566" s="8">
        <v>2.08</v>
      </c>
      <c r="I566" s="4">
        <v>0</v>
      </c>
    </row>
    <row r="567" spans="1:9" x14ac:dyDescent="0.2">
      <c r="A567" s="2">
        <v>13</v>
      </c>
      <c r="B567" s="1" t="s">
        <v>144</v>
      </c>
      <c r="C567" s="4">
        <v>6</v>
      </c>
      <c r="D567" s="8">
        <v>1.7</v>
      </c>
      <c r="E567" s="4">
        <v>5</v>
      </c>
      <c r="F567" s="8">
        <v>2</v>
      </c>
      <c r="G567" s="4">
        <v>1</v>
      </c>
      <c r="H567" s="8">
        <v>1.04</v>
      </c>
      <c r="I567" s="4">
        <v>0</v>
      </c>
    </row>
    <row r="568" spans="1:9" x14ac:dyDescent="0.2">
      <c r="A568" s="2">
        <v>13</v>
      </c>
      <c r="B568" s="1" t="s">
        <v>129</v>
      </c>
      <c r="C568" s="4">
        <v>6</v>
      </c>
      <c r="D568" s="8">
        <v>1.7</v>
      </c>
      <c r="E568" s="4">
        <v>0</v>
      </c>
      <c r="F568" s="8">
        <v>0</v>
      </c>
      <c r="G568" s="4">
        <v>6</v>
      </c>
      <c r="H568" s="8">
        <v>6.25</v>
      </c>
      <c r="I568" s="4">
        <v>0</v>
      </c>
    </row>
    <row r="569" spans="1:9" x14ac:dyDescent="0.2">
      <c r="A569" s="2">
        <v>13</v>
      </c>
      <c r="B569" s="1" t="s">
        <v>138</v>
      </c>
      <c r="C569" s="4">
        <v>6</v>
      </c>
      <c r="D569" s="8">
        <v>1.7</v>
      </c>
      <c r="E569" s="4">
        <v>2</v>
      </c>
      <c r="F569" s="8">
        <v>0.8</v>
      </c>
      <c r="G569" s="4">
        <v>4</v>
      </c>
      <c r="H569" s="8">
        <v>4.17</v>
      </c>
      <c r="I569" s="4">
        <v>0</v>
      </c>
    </row>
    <row r="570" spans="1:9" x14ac:dyDescent="0.2">
      <c r="A570" s="2">
        <v>17</v>
      </c>
      <c r="B570" s="1" t="s">
        <v>146</v>
      </c>
      <c r="C570" s="4">
        <v>5</v>
      </c>
      <c r="D570" s="8">
        <v>1.42</v>
      </c>
      <c r="E570" s="4">
        <v>1</v>
      </c>
      <c r="F570" s="8">
        <v>0.4</v>
      </c>
      <c r="G570" s="4">
        <v>4</v>
      </c>
      <c r="H570" s="8">
        <v>4.17</v>
      </c>
      <c r="I570" s="4">
        <v>0</v>
      </c>
    </row>
    <row r="571" spans="1:9" x14ac:dyDescent="0.2">
      <c r="A571" s="2">
        <v>17</v>
      </c>
      <c r="B571" s="1" t="s">
        <v>209</v>
      </c>
      <c r="C571" s="4">
        <v>5</v>
      </c>
      <c r="D571" s="8">
        <v>1.42</v>
      </c>
      <c r="E571" s="4">
        <v>3</v>
      </c>
      <c r="F571" s="8">
        <v>1.2</v>
      </c>
      <c r="G571" s="4">
        <v>2</v>
      </c>
      <c r="H571" s="8">
        <v>2.08</v>
      </c>
      <c r="I571" s="4">
        <v>0</v>
      </c>
    </row>
    <row r="572" spans="1:9" x14ac:dyDescent="0.2">
      <c r="A572" s="2">
        <v>17</v>
      </c>
      <c r="B572" s="1" t="s">
        <v>124</v>
      </c>
      <c r="C572" s="4">
        <v>5</v>
      </c>
      <c r="D572" s="8">
        <v>1.42</v>
      </c>
      <c r="E572" s="4">
        <v>5</v>
      </c>
      <c r="F572" s="8">
        <v>2</v>
      </c>
      <c r="G572" s="4">
        <v>0</v>
      </c>
      <c r="H572" s="8">
        <v>0</v>
      </c>
      <c r="I572" s="4">
        <v>0</v>
      </c>
    </row>
    <row r="573" spans="1:9" x14ac:dyDescent="0.2">
      <c r="A573" s="2">
        <v>17</v>
      </c>
      <c r="B573" s="1" t="s">
        <v>149</v>
      </c>
      <c r="C573" s="4">
        <v>5</v>
      </c>
      <c r="D573" s="8">
        <v>1.42</v>
      </c>
      <c r="E573" s="4">
        <v>5</v>
      </c>
      <c r="F573" s="8">
        <v>2</v>
      </c>
      <c r="G573" s="4">
        <v>0</v>
      </c>
      <c r="H573" s="8">
        <v>0</v>
      </c>
      <c r="I573" s="4">
        <v>0</v>
      </c>
    </row>
    <row r="574" spans="1:9" x14ac:dyDescent="0.2">
      <c r="A574" s="1"/>
      <c r="C574" s="4"/>
      <c r="D574" s="8"/>
      <c r="E574" s="4"/>
      <c r="F574" s="8"/>
      <c r="G574" s="4"/>
      <c r="H574" s="8"/>
      <c r="I574" s="4"/>
    </row>
    <row r="575" spans="1:9" x14ac:dyDescent="0.2">
      <c r="A575" s="1" t="s">
        <v>23</v>
      </c>
      <c r="C575" s="4"/>
      <c r="D575" s="8"/>
      <c r="E575" s="4"/>
      <c r="F575" s="8"/>
      <c r="G575" s="4"/>
      <c r="H575" s="8"/>
      <c r="I575" s="4"/>
    </row>
    <row r="576" spans="1:9" x14ac:dyDescent="0.2">
      <c r="A576" s="2">
        <v>1</v>
      </c>
      <c r="B576" s="1" t="s">
        <v>128</v>
      </c>
      <c r="C576" s="4">
        <v>73</v>
      </c>
      <c r="D576" s="8">
        <v>10.41</v>
      </c>
      <c r="E576" s="4">
        <v>34</v>
      </c>
      <c r="F576" s="8">
        <v>9.14</v>
      </c>
      <c r="G576" s="4">
        <v>39</v>
      </c>
      <c r="H576" s="8">
        <v>12.7</v>
      </c>
      <c r="I576" s="4">
        <v>0</v>
      </c>
    </row>
    <row r="577" spans="1:9" x14ac:dyDescent="0.2">
      <c r="A577" s="2">
        <v>2</v>
      </c>
      <c r="B577" s="1" t="s">
        <v>136</v>
      </c>
      <c r="C577" s="4">
        <v>45</v>
      </c>
      <c r="D577" s="8">
        <v>6.42</v>
      </c>
      <c r="E577" s="4">
        <v>36</v>
      </c>
      <c r="F577" s="8">
        <v>9.68</v>
      </c>
      <c r="G577" s="4">
        <v>9</v>
      </c>
      <c r="H577" s="8">
        <v>2.93</v>
      </c>
      <c r="I577" s="4">
        <v>0</v>
      </c>
    </row>
    <row r="578" spans="1:9" x14ac:dyDescent="0.2">
      <c r="A578" s="2">
        <v>3</v>
      </c>
      <c r="B578" s="1" t="s">
        <v>139</v>
      </c>
      <c r="C578" s="4">
        <v>27</v>
      </c>
      <c r="D578" s="8">
        <v>3.85</v>
      </c>
      <c r="E578" s="4">
        <v>25</v>
      </c>
      <c r="F578" s="8">
        <v>6.72</v>
      </c>
      <c r="G578" s="4">
        <v>2</v>
      </c>
      <c r="H578" s="8">
        <v>0.65</v>
      </c>
      <c r="I578" s="4">
        <v>0</v>
      </c>
    </row>
    <row r="579" spans="1:9" x14ac:dyDescent="0.2">
      <c r="A579" s="2">
        <v>4</v>
      </c>
      <c r="B579" s="1" t="s">
        <v>132</v>
      </c>
      <c r="C579" s="4">
        <v>24</v>
      </c>
      <c r="D579" s="8">
        <v>3.42</v>
      </c>
      <c r="E579" s="4">
        <v>20</v>
      </c>
      <c r="F579" s="8">
        <v>5.38</v>
      </c>
      <c r="G579" s="4">
        <v>4</v>
      </c>
      <c r="H579" s="8">
        <v>1.3</v>
      </c>
      <c r="I579" s="4">
        <v>0</v>
      </c>
    </row>
    <row r="580" spans="1:9" x14ac:dyDescent="0.2">
      <c r="A580" s="2">
        <v>4</v>
      </c>
      <c r="B580" s="1" t="s">
        <v>137</v>
      </c>
      <c r="C580" s="4">
        <v>24</v>
      </c>
      <c r="D580" s="8">
        <v>3.42</v>
      </c>
      <c r="E580" s="4">
        <v>21</v>
      </c>
      <c r="F580" s="8">
        <v>5.65</v>
      </c>
      <c r="G580" s="4">
        <v>3</v>
      </c>
      <c r="H580" s="8">
        <v>0.98</v>
      </c>
      <c r="I580" s="4">
        <v>0</v>
      </c>
    </row>
    <row r="581" spans="1:9" x14ac:dyDescent="0.2">
      <c r="A581" s="2">
        <v>6</v>
      </c>
      <c r="B581" s="1" t="s">
        <v>131</v>
      </c>
      <c r="C581" s="4">
        <v>22</v>
      </c>
      <c r="D581" s="8">
        <v>3.14</v>
      </c>
      <c r="E581" s="4">
        <v>12</v>
      </c>
      <c r="F581" s="8">
        <v>3.23</v>
      </c>
      <c r="G581" s="4">
        <v>10</v>
      </c>
      <c r="H581" s="8">
        <v>3.26</v>
      </c>
      <c r="I581" s="4">
        <v>0</v>
      </c>
    </row>
    <row r="582" spans="1:9" x14ac:dyDescent="0.2">
      <c r="A582" s="2">
        <v>7</v>
      </c>
      <c r="B582" s="1" t="s">
        <v>126</v>
      </c>
      <c r="C582" s="4">
        <v>21</v>
      </c>
      <c r="D582" s="8">
        <v>3</v>
      </c>
      <c r="E582" s="4">
        <v>13</v>
      </c>
      <c r="F582" s="8">
        <v>3.49</v>
      </c>
      <c r="G582" s="4">
        <v>8</v>
      </c>
      <c r="H582" s="8">
        <v>2.61</v>
      </c>
      <c r="I582" s="4">
        <v>0</v>
      </c>
    </row>
    <row r="583" spans="1:9" x14ac:dyDescent="0.2">
      <c r="A583" s="2">
        <v>8</v>
      </c>
      <c r="B583" s="1" t="s">
        <v>135</v>
      </c>
      <c r="C583" s="4">
        <v>17</v>
      </c>
      <c r="D583" s="8">
        <v>2.4300000000000002</v>
      </c>
      <c r="E583" s="4">
        <v>17</v>
      </c>
      <c r="F583" s="8">
        <v>4.57</v>
      </c>
      <c r="G583" s="4">
        <v>0</v>
      </c>
      <c r="H583" s="8">
        <v>0</v>
      </c>
      <c r="I583" s="4">
        <v>0</v>
      </c>
    </row>
    <row r="584" spans="1:9" x14ac:dyDescent="0.2">
      <c r="A584" s="2">
        <v>9</v>
      </c>
      <c r="B584" s="1" t="s">
        <v>143</v>
      </c>
      <c r="C584" s="4">
        <v>15</v>
      </c>
      <c r="D584" s="8">
        <v>2.14</v>
      </c>
      <c r="E584" s="4">
        <v>6</v>
      </c>
      <c r="F584" s="8">
        <v>1.61</v>
      </c>
      <c r="G584" s="4">
        <v>9</v>
      </c>
      <c r="H584" s="8">
        <v>2.93</v>
      </c>
      <c r="I584" s="4">
        <v>0</v>
      </c>
    </row>
    <row r="585" spans="1:9" x14ac:dyDescent="0.2">
      <c r="A585" s="2">
        <v>9</v>
      </c>
      <c r="B585" s="1" t="s">
        <v>127</v>
      </c>
      <c r="C585" s="4">
        <v>15</v>
      </c>
      <c r="D585" s="8">
        <v>2.14</v>
      </c>
      <c r="E585" s="4">
        <v>1</v>
      </c>
      <c r="F585" s="8">
        <v>0.27</v>
      </c>
      <c r="G585" s="4">
        <v>13</v>
      </c>
      <c r="H585" s="8">
        <v>4.2300000000000004</v>
      </c>
      <c r="I585" s="4">
        <v>0</v>
      </c>
    </row>
    <row r="586" spans="1:9" x14ac:dyDescent="0.2">
      <c r="A586" s="2">
        <v>11</v>
      </c>
      <c r="B586" s="1" t="s">
        <v>123</v>
      </c>
      <c r="C586" s="4">
        <v>14</v>
      </c>
      <c r="D586" s="8">
        <v>2</v>
      </c>
      <c r="E586" s="4">
        <v>9</v>
      </c>
      <c r="F586" s="8">
        <v>2.42</v>
      </c>
      <c r="G586" s="4">
        <v>5</v>
      </c>
      <c r="H586" s="8">
        <v>1.63</v>
      </c>
      <c r="I586" s="4">
        <v>0</v>
      </c>
    </row>
    <row r="587" spans="1:9" x14ac:dyDescent="0.2">
      <c r="A587" s="2">
        <v>11</v>
      </c>
      <c r="B587" s="1" t="s">
        <v>145</v>
      </c>
      <c r="C587" s="4">
        <v>14</v>
      </c>
      <c r="D587" s="8">
        <v>2</v>
      </c>
      <c r="E587" s="4">
        <v>4</v>
      </c>
      <c r="F587" s="8">
        <v>1.08</v>
      </c>
      <c r="G587" s="4">
        <v>10</v>
      </c>
      <c r="H587" s="8">
        <v>3.26</v>
      </c>
      <c r="I587" s="4">
        <v>0</v>
      </c>
    </row>
    <row r="588" spans="1:9" x14ac:dyDescent="0.2">
      <c r="A588" s="2">
        <v>11</v>
      </c>
      <c r="B588" s="1" t="s">
        <v>129</v>
      </c>
      <c r="C588" s="4">
        <v>14</v>
      </c>
      <c r="D588" s="8">
        <v>2</v>
      </c>
      <c r="E588" s="4">
        <v>5</v>
      </c>
      <c r="F588" s="8">
        <v>1.34</v>
      </c>
      <c r="G588" s="4">
        <v>8</v>
      </c>
      <c r="H588" s="8">
        <v>2.61</v>
      </c>
      <c r="I588" s="4">
        <v>0</v>
      </c>
    </row>
    <row r="589" spans="1:9" x14ac:dyDescent="0.2">
      <c r="A589" s="2">
        <v>14</v>
      </c>
      <c r="B589" s="1" t="s">
        <v>144</v>
      </c>
      <c r="C589" s="4">
        <v>13</v>
      </c>
      <c r="D589" s="8">
        <v>1.85</v>
      </c>
      <c r="E589" s="4">
        <v>7</v>
      </c>
      <c r="F589" s="8">
        <v>1.88</v>
      </c>
      <c r="G589" s="4">
        <v>6</v>
      </c>
      <c r="H589" s="8">
        <v>1.95</v>
      </c>
      <c r="I589" s="4">
        <v>0</v>
      </c>
    </row>
    <row r="590" spans="1:9" x14ac:dyDescent="0.2">
      <c r="A590" s="2">
        <v>15</v>
      </c>
      <c r="B590" s="1" t="s">
        <v>146</v>
      </c>
      <c r="C590" s="4">
        <v>11</v>
      </c>
      <c r="D590" s="8">
        <v>1.57</v>
      </c>
      <c r="E590" s="4">
        <v>3</v>
      </c>
      <c r="F590" s="8">
        <v>0.81</v>
      </c>
      <c r="G590" s="4">
        <v>8</v>
      </c>
      <c r="H590" s="8">
        <v>2.61</v>
      </c>
      <c r="I590" s="4">
        <v>0</v>
      </c>
    </row>
    <row r="591" spans="1:9" x14ac:dyDescent="0.2">
      <c r="A591" s="2">
        <v>15</v>
      </c>
      <c r="B591" s="1" t="s">
        <v>142</v>
      </c>
      <c r="C591" s="4">
        <v>11</v>
      </c>
      <c r="D591" s="8">
        <v>1.57</v>
      </c>
      <c r="E591" s="4">
        <v>8</v>
      </c>
      <c r="F591" s="8">
        <v>2.15</v>
      </c>
      <c r="G591" s="4">
        <v>3</v>
      </c>
      <c r="H591" s="8">
        <v>0.98</v>
      </c>
      <c r="I591" s="4">
        <v>0</v>
      </c>
    </row>
    <row r="592" spans="1:9" x14ac:dyDescent="0.2">
      <c r="A592" s="2">
        <v>15</v>
      </c>
      <c r="B592" s="1" t="s">
        <v>124</v>
      </c>
      <c r="C592" s="4">
        <v>11</v>
      </c>
      <c r="D592" s="8">
        <v>1.57</v>
      </c>
      <c r="E592" s="4">
        <v>6</v>
      </c>
      <c r="F592" s="8">
        <v>1.61</v>
      </c>
      <c r="G592" s="4">
        <v>4</v>
      </c>
      <c r="H592" s="8">
        <v>1.3</v>
      </c>
      <c r="I592" s="4">
        <v>1</v>
      </c>
    </row>
    <row r="593" spans="1:9" x14ac:dyDescent="0.2">
      <c r="A593" s="2">
        <v>15</v>
      </c>
      <c r="B593" s="1" t="s">
        <v>161</v>
      </c>
      <c r="C593" s="4">
        <v>11</v>
      </c>
      <c r="D593" s="8">
        <v>1.57</v>
      </c>
      <c r="E593" s="4">
        <v>4</v>
      </c>
      <c r="F593" s="8">
        <v>1.08</v>
      </c>
      <c r="G593" s="4">
        <v>7</v>
      </c>
      <c r="H593" s="8">
        <v>2.2799999999999998</v>
      </c>
      <c r="I593" s="4">
        <v>0</v>
      </c>
    </row>
    <row r="594" spans="1:9" x14ac:dyDescent="0.2">
      <c r="A594" s="2">
        <v>15</v>
      </c>
      <c r="B594" s="1" t="s">
        <v>182</v>
      </c>
      <c r="C594" s="4">
        <v>11</v>
      </c>
      <c r="D594" s="8">
        <v>1.57</v>
      </c>
      <c r="E594" s="4">
        <v>0</v>
      </c>
      <c r="F594" s="8">
        <v>0</v>
      </c>
      <c r="G594" s="4">
        <v>0</v>
      </c>
      <c r="H594" s="8">
        <v>0</v>
      </c>
      <c r="I594" s="4">
        <v>0</v>
      </c>
    </row>
    <row r="595" spans="1:9" x14ac:dyDescent="0.2">
      <c r="A595" s="2">
        <v>20</v>
      </c>
      <c r="B595" s="1" t="s">
        <v>151</v>
      </c>
      <c r="C595" s="4">
        <v>10</v>
      </c>
      <c r="D595" s="8">
        <v>1.43</v>
      </c>
      <c r="E595" s="4">
        <v>1</v>
      </c>
      <c r="F595" s="8">
        <v>0.27</v>
      </c>
      <c r="G595" s="4">
        <v>9</v>
      </c>
      <c r="H595" s="8">
        <v>2.93</v>
      </c>
      <c r="I595" s="4">
        <v>0</v>
      </c>
    </row>
    <row r="596" spans="1:9" x14ac:dyDescent="0.2">
      <c r="A596" s="2">
        <v>20</v>
      </c>
      <c r="B596" s="1" t="s">
        <v>125</v>
      </c>
      <c r="C596" s="4">
        <v>10</v>
      </c>
      <c r="D596" s="8">
        <v>1.43</v>
      </c>
      <c r="E596" s="4">
        <v>6</v>
      </c>
      <c r="F596" s="8">
        <v>1.61</v>
      </c>
      <c r="G596" s="4">
        <v>4</v>
      </c>
      <c r="H596" s="8">
        <v>1.3</v>
      </c>
      <c r="I596" s="4">
        <v>0</v>
      </c>
    </row>
    <row r="597" spans="1:9" x14ac:dyDescent="0.2">
      <c r="A597" s="2">
        <v>20</v>
      </c>
      <c r="B597" s="1" t="s">
        <v>130</v>
      </c>
      <c r="C597" s="4">
        <v>10</v>
      </c>
      <c r="D597" s="8">
        <v>1.43</v>
      </c>
      <c r="E597" s="4">
        <v>5</v>
      </c>
      <c r="F597" s="8">
        <v>1.34</v>
      </c>
      <c r="G597" s="4">
        <v>5</v>
      </c>
      <c r="H597" s="8">
        <v>1.63</v>
      </c>
      <c r="I597" s="4">
        <v>0</v>
      </c>
    </row>
    <row r="598" spans="1:9" x14ac:dyDescent="0.2">
      <c r="A598" s="2">
        <v>20</v>
      </c>
      <c r="B598" s="1" t="s">
        <v>133</v>
      </c>
      <c r="C598" s="4">
        <v>10</v>
      </c>
      <c r="D598" s="8">
        <v>1.43</v>
      </c>
      <c r="E598" s="4">
        <v>7</v>
      </c>
      <c r="F598" s="8">
        <v>1.88</v>
      </c>
      <c r="G598" s="4">
        <v>3</v>
      </c>
      <c r="H598" s="8">
        <v>0.98</v>
      </c>
      <c r="I598" s="4">
        <v>0</v>
      </c>
    </row>
    <row r="599" spans="1:9" x14ac:dyDescent="0.2">
      <c r="A599" s="2">
        <v>20</v>
      </c>
      <c r="B599" s="1" t="s">
        <v>134</v>
      </c>
      <c r="C599" s="4">
        <v>10</v>
      </c>
      <c r="D599" s="8">
        <v>1.43</v>
      </c>
      <c r="E599" s="4">
        <v>4</v>
      </c>
      <c r="F599" s="8">
        <v>1.08</v>
      </c>
      <c r="G599" s="4">
        <v>6</v>
      </c>
      <c r="H599" s="8">
        <v>1.95</v>
      </c>
      <c r="I599" s="4">
        <v>0</v>
      </c>
    </row>
    <row r="600" spans="1:9" x14ac:dyDescent="0.2">
      <c r="A600" s="1"/>
      <c r="C600" s="4"/>
      <c r="D600" s="8"/>
      <c r="E600" s="4"/>
      <c r="F600" s="8"/>
      <c r="G600" s="4"/>
      <c r="H600" s="8"/>
      <c r="I600" s="4"/>
    </row>
    <row r="601" spans="1:9" x14ac:dyDescent="0.2">
      <c r="A601" s="1" t="s">
        <v>24</v>
      </c>
      <c r="C601" s="4"/>
      <c r="D601" s="8"/>
      <c r="E601" s="4"/>
      <c r="F601" s="8"/>
      <c r="G601" s="4"/>
      <c r="H601" s="8"/>
      <c r="I601" s="4"/>
    </row>
    <row r="602" spans="1:9" x14ac:dyDescent="0.2">
      <c r="A602" s="2">
        <v>1</v>
      </c>
      <c r="B602" s="1" t="s">
        <v>128</v>
      </c>
      <c r="C602" s="4">
        <v>25</v>
      </c>
      <c r="D602" s="8">
        <v>6.31</v>
      </c>
      <c r="E602" s="4">
        <v>7</v>
      </c>
      <c r="F602" s="8">
        <v>2.78</v>
      </c>
      <c r="G602" s="4">
        <v>18</v>
      </c>
      <c r="H602" s="8">
        <v>12.95</v>
      </c>
      <c r="I602" s="4">
        <v>0</v>
      </c>
    </row>
    <row r="603" spans="1:9" x14ac:dyDescent="0.2">
      <c r="A603" s="2">
        <v>2</v>
      </c>
      <c r="B603" s="1" t="s">
        <v>136</v>
      </c>
      <c r="C603" s="4">
        <v>21</v>
      </c>
      <c r="D603" s="8">
        <v>5.3</v>
      </c>
      <c r="E603" s="4">
        <v>20</v>
      </c>
      <c r="F603" s="8">
        <v>7.94</v>
      </c>
      <c r="G603" s="4">
        <v>1</v>
      </c>
      <c r="H603" s="8">
        <v>0.72</v>
      </c>
      <c r="I603" s="4">
        <v>0</v>
      </c>
    </row>
    <row r="604" spans="1:9" x14ac:dyDescent="0.2">
      <c r="A604" s="2">
        <v>3</v>
      </c>
      <c r="B604" s="1" t="s">
        <v>124</v>
      </c>
      <c r="C604" s="4">
        <v>17</v>
      </c>
      <c r="D604" s="8">
        <v>4.29</v>
      </c>
      <c r="E604" s="4">
        <v>17</v>
      </c>
      <c r="F604" s="8">
        <v>6.75</v>
      </c>
      <c r="G604" s="4">
        <v>0</v>
      </c>
      <c r="H604" s="8">
        <v>0</v>
      </c>
      <c r="I604" s="4">
        <v>0</v>
      </c>
    </row>
    <row r="605" spans="1:9" x14ac:dyDescent="0.2">
      <c r="A605" s="2">
        <v>4</v>
      </c>
      <c r="B605" s="1" t="s">
        <v>139</v>
      </c>
      <c r="C605" s="4">
        <v>15</v>
      </c>
      <c r="D605" s="8">
        <v>3.79</v>
      </c>
      <c r="E605" s="4">
        <v>14</v>
      </c>
      <c r="F605" s="8">
        <v>5.56</v>
      </c>
      <c r="G605" s="4">
        <v>1</v>
      </c>
      <c r="H605" s="8">
        <v>0.72</v>
      </c>
      <c r="I605" s="4">
        <v>0</v>
      </c>
    </row>
    <row r="606" spans="1:9" x14ac:dyDescent="0.2">
      <c r="A606" s="2">
        <v>5</v>
      </c>
      <c r="B606" s="1" t="s">
        <v>137</v>
      </c>
      <c r="C606" s="4">
        <v>14</v>
      </c>
      <c r="D606" s="8">
        <v>3.54</v>
      </c>
      <c r="E606" s="4">
        <v>12</v>
      </c>
      <c r="F606" s="8">
        <v>4.76</v>
      </c>
      <c r="G606" s="4">
        <v>2</v>
      </c>
      <c r="H606" s="8">
        <v>1.44</v>
      </c>
      <c r="I606" s="4">
        <v>0</v>
      </c>
    </row>
    <row r="607" spans="1:9" x14ac:dyDescent="0.2">
      <c r="A607" s="2">
        <v>5</v>
      </c>
      <c r="B607" s="1" t="s">
        <v>141</v>
      </c>
      <c r="C607" s="4">
        <v>14</v>
      </c>
      <c r="D607" s="8">
        <v>3.54</v>
      </c>
      <c r="E607" s="4">
        <v>12</v>
      </c>
      <c r="F607" s="8">
        <v>4.76</v>
      </c>
      <c r="G607" s="4">
        <v>2</v>
      </c>
      <c r="H607" s="8">
        <v>1.44</v>
      </c>
      <c r="I607" s="4">
        <v>0</v>
      </c>
    </row>
    <row r="608" spans="1:9" x14ac:dyDescent="0.2">
      <c r="A608" s="2">
        <v>7</v>
      </c>
      <c r="B608" s="1" t="s">
        <v>131</v>
      </c>
      <c r="C608" s="4">
        <v>13</v>
      </c>
      <c r="D608" s="8">
        <v>3.28</v>
      </c>
      <c r="E608" s="4">
        <v>9</v>
      </c>
      <c r="F608" s="8">
        <v>3.57</v>
      </c>
      <c r="G608" s="4">
        <v>4</v>
      </c>
      <c r="H608" s="8">
        <v>2.88</v>
      </c>
      <c r="I608" s="4">
        <v>0</v>
      </c>
    </row>
    <row r="609" spans="1:9" x14ac:dyDescent="0.2">
      <c r="A609" s="2">
        <v>8</v>
      </c>
      <c r="B609" s="1" t="s">
        <v>143</v>
      </c>
      <c r="C609" s="4">
        <v>12</v>
      </c>
      <c r="D609" s="8">
        <v>3.03</v>
      </c>
      <c r="E609" s="4">
        <v>1</v>
      </c>
      <c r="F609" s="8">
        <v>0.4</v>
      </c>
      <c r="G609" s="4">
        <v>11</v>
      </c>
      <c r="H609" s="8">
        <v>7.91</v>
      </c>
      <c r="I609" s="4">
        <v>0</v>
      </c>
    </row>
    <row r="610" spans="1:9" x14ac:dyDescent="0.2">
      <c r="A610" s="2">
        <v>8</v>
      </c>
      <c r="B610" s="1" t="s">
        <v>126</v>
      </c>
      <c r="C610" s="4">
        <v>12</v>
      </c>
      <c r="D610" s="8">
        <v>3.03</v>
      </c>
      <c r="E610" s="4">
        <v>11</v>
      </c>
      <c r="F610" s="8">
        <v>4.37</v>
      </c>
      <c r="G610" s="4">
        <v>1</v>
      </c>
      <c r="H610" s="8">
        <v>0.72</v>
      </c>
      <c r="I610" s="4">
        <v>0</v>
      </c>
    </row>
    <row r="611" spans="1:9" x14ac:dyDescent="0.2">
      <c r="A611" s="2">
        <v>8</v>
      </c>
      <c r="B611" s="1" t="s">
        <v>140</v>
      </c>
      <c r="C611" s="4">
        <v>12</v>
      </c>
      <c r="D611" s="8">
        <v>3.03</v>
      </c>
      <c r="E611" s="4">
        <v>10</v>
      </c>
      <c r="F611" s="8">
        <v>3.97</v>
      </c>
      <c r="G611" s="4">
        <v>2</v>
      </c>
      <c r="H611" s="8">
        <v>1.44</v>
      </c>
      <c r="I611" s="4">
        <v>0</v>
      </c>
    </row>
    <row r="612" spans="1:9" x14ac:dyDescent="0.2">
      <c r="A612" s="2">
        <v>11</v>
      </c>
      <c r="B612" s="1" t="s">
        <v>123</v>
      </c>
      <c r="C612" s="4">
        <v>11</v>
      </c>
      <c r="D612" s="8">
        <v>2.78</v>
      </c>
      <c r="E612" s="4">
        <v>11</v>
      </c>
      <c r="F612" s="8">
        <v>4.37</v>
      </c>
      <c r="G612" s="4">
        <v>0</v>
      </c>
      <c r="H612" s="8">
        <v>0</v>
      </c>
      <c r="I612" s="4">
        <v>0</v>
      </c>
    </row>
    <row r="613" spans="1:9" x14ac:dyDescent="0.2">
      <c r="A613" s="2">
        <v>12</v>
      </c>
      <c r="B613" s="1" t="s">
        <v>125</v>
      </c>
      <c r="C613" s="4">
        <v>10</v>
      </c>
      <c r="D613" s="8">
        <v>2.5299999999999998</v>
      </c>
      <c r="E613" s="4">
        <v>2</v>
      </c>
      <c r="F613" s="8">
        <v>0.79</v>
      </c>
      <c r="G613" s="4">
        <v>8</v>
      </c>
      <c r="H613" s="8">
        <v>5.76</v>
      </c>
      <c r="I613" s="4">
        <v>0</v>
      </c>
    </row>
    <row r="614" spans="1:9" x14ac:dyDescent="0.2">
      <c r="A614" s="2">
        <v>12</v>
      </c>
      <c r="B614" s="1" t="s">
        <v>132</v>
      </c>
      <c r="C614" s="4">
        <v>10</v>
      </c>
      <c r="D614" s="8">
        <v>2.5299999999999998</v>
      </c>
      <c r="E614" s="4">
        <v>10</v>
      </c>
      <c r="F614" s="8">
        <v>3.97</v>
      </c>
      <c r="G614" s="4">
        <v>0</v>
      </c>
      <c r="H614" s="8">
        <v>0</v>
      </c>
      <c r="I614" s="4">
        <v>0</v>
      </c>
    </row>
    <row r="615" spans="1:9" x14ac:dyDescent="0.2">
      <c r="A615" s="2">
        <v>12</v>
      </c>
      <c r="B615" s="1" t="s">
        <v>134</v>
      </c>
      <c r="C615" s="4">
        <v>10</v>
      </c>
      <c r="D615" s="8">
        <v>2.5299999999999998</v>
      </c>
      <c r="E615" s="4">
        <v>8</v>
      </c>
      <c r="F615" s="8">
        <v>3.17</v>
      </c>
      <c r="G615" s="4">
        <v>2</v>
      </c>
      <c r="H615" s="8">
        <v>1.44</v>
      </c>
      <c r="I615" s="4">
        <v>0</v>
      </c>
    </row>
    <row r="616" spans="1:9" x14ac:dyDescent="0.2">
      <c r="A616" s="2">
        <v>12</v>
      </c>
      <c r="B616" s="1" t="s">
        <v>135</v>
      </c>
      <c r="C616" s="4">
        <v>10</v>
      </c>
      <c r="D616" s="8">
        <v>2.5299999999999998</v>
      </c>
      <c r="E616" s="4">
        <v>9</v>
      </c>
      <c r="F616" s="8">
        <v>3.57</v>
      </c>
      <c r="G616" s="4">
        <v>1</v>
      </c>
      <c r="H616" s="8">
        <v>0.72</v>
      </c>
      <c r="I616" s="4">
        <v>0</v>
      </c>
    </row>
    <row r="617" spans="1:9" x14ac:dyDescent="0.2">
      <c r="A617" s="2">
        <v>16</v>
      </c>
      <c r="B617" s="1" t="s">
        <v>144</v>
      </c>
      <c r="C617" s="4">
        <v>8</v>
      </c>
      <c r="D617" s="8">
        <v>2.02</v>
      </c>
      <c r="E617" s="4">
        <v>6</v>
      </c>
      <c r="F617" s="8">
        <v>2.38</v>
      </c>
      <c r="G617" s="4">
        <v>2</v>
      </c>
      <c r="H617" s="8">
        <v>1.44</v>
      </c>
      <c r="I617" s="4">
        <v>0</v>
      </c>
    </row>
    <row r="618" spans="1:9" x14ac:dyDescent="0.2">
      <c r="A618" s="2">
        <v>16</v>
      </c>
      <c r="B618" s="1" t="s">
        <v>129</v>
      </c>
      <c r="C618" s="4">
        <v>8</v>
      </c>
      <c r="D618" s="8">
        <v>2.02</v>
      </c>
      <c r="E618" s="4">
        <v>6</v>
      </c>
      <c r="F618" s="8">
        <v>2.38</v>
      </c>
      <c r="G618" s="4">
        <v>2</v>
      </c>
      <c r="H618" s="8">
        <v>1.44</v>
      </c>
      <c r="I618" s="4">
        <v>0</v>
      </c>
    </row>
    <row r="619" spans="1:9" x14ac:dyDescent="0.2">
      <c r="A619" s="2">
        <v>18</v>
      </c>
      <c r="B619" s="1" t="s">
        <v>157</v>
      </c>
      <c r="C619" s="4">
        <v>7</v>
      </c>
      <c r="D619" s="8">
        <v>1.77</v>
      </c>
      <c r="E619" s="4">
        <v>6</v>
      </c>
      <c r="F619" s="8">
        <v>2.38</v>
      </c>
      <c r="G619" s="4">
        <v>1</v>
      </c>
      <c r="H619" s="8">
        <v>0.72</v>
      </c>
      <c r="I619" s="4">
        <v>0</v>
      </c>
    </row>
    <row r="620" spans="1:9" x14ac:dyDescent="0.2">
      <c r="A620" s="2">
        <v>19</v>
      </c>
      <c r="B620" s="1" t="s">
        <v>146</v>
      </c>
      <c r="C620" s="4">
        <v>6</v>
      </c>
      <c r="D620" s="8">
        <v>1.52</v>
      </c>
      <c r="E620" s="4">
        <v>3</v>
      </c>
      <c r="F620" s="8">
        <v>1.19</v>
      </c>
      <c r="G620" s="4">
        <v>3</v>
      </c>
      <c r="H620" s="8">
        <v>2.16</v>
      </c>
      <c r="I620" s="4">
        <v>0</v>
      </c>
    </row>
    <row r="621" spans="1:9" x14ac:dyDescent="0.2">
      <c r="A621" s="2">
        <v>19</v>
      </c>
      <c r="B621" s="1" t="s">
        <v>147</v>
      </c>
      <c r="C621" s="4">
        <v>6</v>
      </c>
      <c r="D621" s="8">
        <v>1.52</v>
      </c>
      <c r="E621" s="4">
        <v>5</v>
      </c>
      <c r="F621" s="8">
        <v>1.98</v>
      </c>
      <c r="G621" s="4">
        <v>1</v>
      </c>
      <c r="H621" s="8">
        <v>0.72</v>
      </c>
      <c r="I621" s="4">
        <v>0</v>
      </c>
    </row>
    <row r="622" spans="1:9" x14ac:dyDescent="0.2">
      <c r="A622" s="2">
        <v>19</v>
      </c>
      <c r="B622" s="1" t="s">
        <v>210</v>
      </c>
      <c r="C622" s="4">
        <v>6</v>
      </c>
      <c r="D622" s="8">
        <v>1.52</v>
      </c>
      <c r="E622" s="4">
        <v>4</v>
      </c>
      <c r="F622" s="8">
        <v>1.59</v>
      </c>
      <c r="G622" s="4">
        <v>2</v>
      </c>
      <c r="H622" s="8">
        <v>1.44</v>
      </c>
      <c r="I622" s="4">
        <v>0</v>
      </c>
    </row>
    <row r="623" spans="1:9" x14ac:dyDescent="0.2">
      <c r="A623" s="2">
        <v>19</v>
      </c>
      <c r="B623" s="1" t="s">
        <v>153</v>
      </c>
      <c r="C623" s="4">
        <v>6</v>
      </c>
      <c r="D623" s="8">
        <v>1.52</v>
      </c>
      <c r="E623" s="4">
        <v>5</v>
      </c>
      <c r="F623" s="8">
        <v>1.98</v>
      </c>
      <c r="G623" s="4">
        <v>1</v>
      </c>
      <c r="H623" s="8">
        <v>0.72</v>
      </c>
      <c r="I623" s="4">
        <v>0</v>
      </c>
    </row>
    <row r="624" spans="1:9" x14ac:dyDescent="0.2">
      <c r="A624" s="2">
        <v>19</v>
      </c>
      <c r="B624" s="1" t="s">
        <v>152</v>
      </c>
      <c r="C624" s="4">
        <v>6</v>
      </c>
      <c r="D624" s="8">
        <v>1.52</v>
      </c>
      <c r="E624" s="4">
        <v>2</v>
      </c>
      <c r="F624" s="8">
        <v>0.79</v>
      </c>
      <c r="G624" s="4">
        <v>1</v>
      </c>
      <c r="H624" s="8">
        <v>0.72</v>
      </c>
      <c r="I624" s="4">
        <v>0</v>
      </c>
    </row>
    <row r="625" spans="1:9" x14ac:dyDescent="0.2">
      <c r="A625" s="1"/>
      <c r="C625" s="4"/>
      <c r="D625" s="8"/>
      <c r="E625" s="4"/>
      <c r="F625" s="8"/>
      <c r="G625" s="4"/>
      <c r="H625" s="8"/>
      <c r="I625" s="4"/>
    </row>
    <row r="626" spans="1:9" x14ac:dyDescent="0.2">
      <c r="A626" s="1" t="s">
        <v>25</v>
      </c>
      <c r="C626" s="4"/>
      <c r="D626" s="8"/>
      <c r="E626" s="4"/>
      <c r="F626" s="8"/>
      <c r="G626" s="4"/>
      <c r="H626" s="8"/>
      <c r="I626" s="4"/>
    </row>
    <row r="627" spans="1:9" x14ac:dyDescent="0.2">
      <c r="A627" s="2">
        <v>1</v>
      </c>
      <c r="B627" s="1" t="s">
        <v>141</v>
      </c>
      <c r="C627" s="4">
        <v>34</v>
      </c>
      <c r="D627" s="8">
        <v>9.6300000000000008</v>
      </c>
      <c r="E627" s="4">
        <v>34</v>
      </c>
      <c r="F627" s="8">
        <v>15.18</v>
      </c>
      <c r="G627" s="4">
        <v>0</v>
      </c>
      <c r="H627" s="8">
        <v>0</v>
      </c>
      <c r="I627" s="4">
        <v>0</v>
      </c>
    </row>
    <row r="628" spans="1:9" x14ac:dyDescent="0.2">
      <c r="A628" s="2">
        <v>2</v>
      </c>
      <c r="B628" s="1" t="s">
        <v>128</v>
      </c>
      <c r="C628" s="4">
        <v>21</v>
      </c>
      <c r="D628" s="8">
        <v>5.95</v>
      </c>
      <c r="E628" s="4">
        <v>16</v>
      </c>
      <c r="F628" s="8">
        <v>7.14</v>
      </c>
      <c r="G628" s="4">
        <v>5</v>
      </c>
      <c r="H628" s="8">
        <v>4.03</v>
      </c>
      <c r="I628" s="4">
        <v>0</v>
      </c>
    </row>
    <row r="629" spans="1:9" x14ac:dyDescent="0.2">
      <c r="A629" s="2">
        <v>3</v>
      </c>
      <c r="B629" s="1" t="s">
        <v>136</v>
      </c>
      <c r="C629" s="4">
        <v>17</v>
      </c>
      <c r="D629" s="8">
        <v>4.82</v>
      </c>
      <c r="E629" s="4">
        <v>16</v>
      </c>
      <c r="F629" s="8">
        <v>7.14</v>
      </c>
      <c r="G629" s="4">
        <v>1</v>
      </c>
      <c r="H629" s="8">
        <v>0.81</v>
      </c>
      <c r="I629" s="4">
        <v>0</v>
      </c>
    </row>
    <row r="630" spans="1:9" x14ac:dyDescent="0.2">
      <c r="A630" s="2">
        <v>4</v>
      </c>
      <c r="B630" s="1" t="s">
        <v>124</v>
      </c>
      <c r="C630" s="4">
        <v>13</v>
      </c>
      <c r="D630" s="8">
        <v>3.68</v>
      </c>
      <c r="E630" s="4">
        <v>11</v>
      </c>
      <c r="F630" s="8">
        <v>4.91</v>
      </c>
      <c r="G630" s="4">
        <v>2</v>
      </c>
      <c r="H630" s="8">
        <v>1.61</v>
      </c>
      <c r="I630" s="4">
        <v>0</v>
      </c>
    </row>
    <row r="631" spans="1:9" x14ac:dyDescent="0.2">
      <c r="A631" s="2">
        <v>5</v>
      </c>
      <c r="B631" s="1" t="s">
        <v>139</v>
      </c>
      <c r="C631" s="4">
        <v>12</v>
      </c>
      <c r="D631" s="8">
        <v>3.4</v>
      </c>
      <c r="E631" s="4">
        <v>12</v>
      </c>
      <c r="F631" s="8">
        <v>5.36</v>
      </c>
      <c r="G631" s="4">
        <v>0</v>
      </c>
      <c r="H631" s="8">
        <v>0</v>
      </c>
      <c r="I631" s="4">
        <v>0</v>
      </c>
    </row>
    <row r="632" spans="1:9" x14ac:dyDescent="0.2">
      <c r="A632" s="2">
        <v>6</v>
      </c>
      <c r="B632" s="1" t="s">
        <v>147</v>
      </c>
      <c r="C632" s="4">
        <v>10</v>
      </c>
      <c r="D632" s="8">
        <v>2.83</v>
      </c>
      <c r="E632" s="4">
        <v>2</v>
      </c>
      <c r="F632" s="8">
        <v>0.89</v>
      </c>
      <c r="G632" s="4">
        <v>8</v>
      </c>
      <c r="H632" s="8">
        <v>6.45</v>
      </c>
      <c r="I632" s="4">
        <v>0</v>
      </c>
    </row>
    <row r="633" spans="1:9" x14ac:dyDescent="0.2">
      <c r="A633" s="2">
        <v>6</v>
      </c>
      <c r="B633" s="1" t="s">
        <v>153</v>
      </c>
      <c r="C633" s="4">
        <v>10</v>
      </c>
      <c r="D633" s="8">
        <v>2.83</v>
      </c>
      <c r="E633" s="4">
        <v>10</v>
      </c>
      <c r="F633" s="8">
        <v>4.46</v>
      </c>
      <c r="G633" s="4">
        <v>0</v>
      </c>
      <c r="H633" s="8">
        <v>0</v>
      </c>
      <c r="I633" s="4">
        <v>0</v>
      </c>
    </row>
    <row r="634" spans="1:9" x14ac:dyDescent="0.2">
      <c r="A634" s="2">
        <v>8</v>
      </c>
      <c r="B634" s="1" t="s">
        <v>122</v>
      </c>
      <c r="C634" s="4">
        <v>8</v>
      </c>
      <c r="D634" s="8">
        <v>2.27</v>
      </c>
      <c r="E634" s="4">
        <v>1</v>
      </c>
      <c r="F634" s="8">
        <v>0.45</v>
      </c>
      <c r="G634" s="4">
        <v>7</v>
      </c>
      <c r="H634" s="8">
        <v>5.65</v>
      </c>
      <c r="I634" s="4">
        <v>0</v>
      </c>
    </row>
    <row r="635" spans="1:9" x14ac:dyDescent="0.2">
      <c r="A635" s="2">
        <v>8</v>
      </c>
      <c r="B635" s="1" t="s">
        <v>151</v>
      </c>
      <c r="C635" s="4">
        <v>8</v>
      </c>
      <c r="D635" s="8">
        <v>2.27</v>
      </c>
      <c r="E635" s="4">
        <v>3</v>
      </c>
      <c r="F635" s="8">
        <v>1.34</v>
      </c>
      <c r="G635" s="4">
        <v>5</v>
      </c>
      <c r="H635" s="8">
        <v>4.03</v>
      </c>
      <c r="I635" s="4">
        <v>0</v>
      </c>
    </row>
    <row r="636" spans="1:9" x14ac:dyDescent="0.2">
      <c r="A636" s="2">
        <v>8</v>
      </c>
      <c r="B636" s="1" t="s">
        <v>187</v>
      </c>
      <c r="C636" s="4">
        <v>8</v>
      </c>
      <c r="D636" s="8">
        <v>2.27</v>
      </c>
      <c r="E636" s="4">
        <v>1</v>
      </c>
      <c r="F636" s="8">
        <v>0.45</v>
      </c>
      <c r="G636" s="4">
        <v>7</v>
      </c>
      <c r="H636" s="8">
        <v>5.65</v>
      </c>
      <c r="I636" s="4">
        <v>0</v>
      </c>
    </row>
    <row r="637" spans="1:9" x14ac:dyDescent="0.2">
      <c r="A637" s="2">
        <v>8</v>
      </c>
      <c r="B637" s="1" t="s">
        <v>211</v>
      </c>
      <c r="C637" s="4">
        <v>8</v>
      </c>
      <c r="D637" s="8">
        <v>2.27</v>
      </c>
      <c r="E637" s="4">
        <v>3</v>
      </c>
      <c r="F637" s="8">
        <v>1.34</v>
      </c>
      <c r="G637" s="4">
        <v>5</v>
      </c>
      <c r="H637" s="8">
        <v>4.03</v>
      </c>
      <c r="I637" s="4">
        <v>0</v>
      </c>
    </row>
    <row r="638" spans="1:9" x14ac:dyDescent="0.2">
      <c r="A638" s="2">
        <v>8</v>
      </c>
      <c r="B638" s="1" t="s">
        <v>146</v>
      </c>
      <c r="C638" s="4">
        <v>8</v>
      </c>
      <c r="D638" s="8">
        <v>2.27</v>
      </c>
      <c r="E638" s="4">
        <v>4</v>
      </c>
      <c r="F638" s="8">
        <v>1.79</v>
      </c>
      <c r="G638" s="4">
        <v>4</v>
      </c>
      <c r="H638" s="8">
        <v>3.23</v>
      </c>
      <c r="I638" s="4">
        <v>0</v>
      </c>
    </row>
    <row r="639" spans="1:9" x14ac:dyDescent="0.2">
      <c r="A639" s="2">
        <v>8</v>
      </c>
      <c r="B639" s="1" t="s">
        <v>123</v>
      </c>
      <c r="C639" s="4">
        <v>8</v>
      </c>
      <c r="D639" s="8">
        <v>2.27</v>
      </c>
      <c r="E639" s="4">
        <v>6</v>
      </c>
      <c r="F639" s="8">
        <v>2.68</v>
      </c>
      <c r="G639" s="4">
        <v>2</v>
      </c>
      <c r="H639" s="8">
        <v>1.61</v>
      </c>
      <c r="I639" s="4">
        <v>0</v>
      </c>
    </row>
    <row r="640" spans="1:9" x14ac:dyDescent="0.2">
      <c r="A640" s="2">
        <v>14</v>
      </c>
      <c r="B640" s="1" t="s">
        <v>212</v>
      </c>
      <c r="C640" s="4">
        <v>7</v>
      </c>
      <c r="D640" s="8">
        <v>1.98</v>
      </c>
      <c r="E640" s="4">
        <v>3</v>
      </c>
      <c r="F640" s="8">
        <v>1.34</v>
      </c>
      <c r="G640" s="4">
        <v>4</v>
      </c>
      <c r="H640" s="8">
        <v>3.23</v>
      </c>
      <c r="I640" s="4">
        <v>0</v>
      </c>
    </row>
    <row r="641" spans="1:9" x14ac:dyDescent="0.2">
      <c r="A641" s="2">
        <v>15</v>
      </c>
      <c r="B641" s="1" t="s">
        <v>152</v>
      </c>
      <c r="C641" s="4">
        <v>6</v>
      </c>
      <c r="D641" s="8">
        <v>1.7</v>
      </c>
      <c r="E641" s="4">
        <v>3</v>
      </c>
      <c r="F641" s="8">
        <v>1.34</v>
      </c>
      <c r="G641" s="4">
        <v>1</v>
      </c>
      <c r="H641" s="8">
        <v>0.81</v>
      </c>
      <c r="I641" s="4">
        <v>0</v>
      </c>
    </row>
    <row r="642" spans="1:9" x14ac:dyDescent="0.2">
      <c r="A642" s="2">
        <v>16</v>
      </c>
      <c r="B642" s="1" t="s">
        <v>201</v>
      </c>
      <c r="C642" s="4">
        <v>5</v>
      </c>
      <c r="D642" s="8">
        <v>1.42</v>
      </c>
      <c r="E642" s="4">
        <v>2</v>
      </c>
      <c r="F642" s="8">
        <v>0.89</v>
      </c>
      <c r="G642" s="4">
        <v>3</v>
      </c>
      <c r="H642" s="8">
        <v>2.42</v>
      </c>
      <c r="I642" s="4">
        <v>0</v>
      </c>
    </row>
    <row r="643" spans="1:9" x14ac:dyDescent="0.2">
      <c r="A643" s="2">
        <v>16</v>
      </c>
      <c r="B643" s="1" t="s">
        <v>157</v>
      </c>
      <c r="C643" s="4">
        <v>5</v>
      </c>
      <c r="D643" s="8">
        <v>1.42</v>
      </c>
      <c r="E643" s="4">
        <v>5</v>
      </c>
      <c r="F643" s="8">
        <v>2.23</v>
      </c>
      <c r="G643" s="4">
        <v>0</v>
      </c>
      <c r="H643" s="8">
        <v>0</v>
      </c>
      <c r="I643" s="4">
        <v>0</v>
      </c>
    </row>
    <row r="644" spans="1:9" x14ac:dyDescent="0.2">
      <c r="A644" s="2">
        <v>16</v>
      </c>
      <c r="B644" s="1" t="s">
        <v>202</v>
      </c>
      <c r="C644" s="4">
        <v>5</v>
      </c>
      <c r="D644" s="8">
        <v>1.42</v>
      </c>
      <c r="E644" s="4">
        <v>1</v>
      </c>
      <c r="F644" s="8">
        <v>0.45</v>
      </c>
      <c r="G644" s="4">
        <v>4</v>
      </c>
      <c r="H644" s="8">
        <v>3.23</v>
      </c>
      <c r="I644" s="4">
        <v>0</v>
      </c>
    </row>
    <row r="645" spans="1:9" x14ac:dyDescent="0.2">
      <c r="A645" s="2">
        <v>16</v>
      </c>
      <c r="B645" s="1" t="s">
        <v>126</v>
      </c>
      <c r="C645" s="4">
        <v>5</v>
      </c>
      <c r="D645" s="8">
        <v>1.42</v>
      </c>
      <c r="E645" s="4">
        <v>5</v>
      </c>
      <c r="F645" s="8">
        <v>2.23</v>
      </c>
      <c r="G645" s="4">
        <v>0</v>
      </c>
      <c r="H645" s="8">
        <v>0</v>
      </c>
      <c r="I645" s="4">
        <v>0</v>
      </c>
    </row>
    <row r="646" spans="1:9" x14ac:dyDescent="0.2">
      <c r="A646" s="2">
        <v>16</v>
      </c>
      <c r="B646" s="1" t="s">
        <v>135</v>
      </c>
      <c r="C646" s="4">
        <v>5</v>
      </c>
      <c r="D646" s="8">
        <v>1.42</v>
      </c>
      <c r="E646" s="4">
        <v>5</v>
      </c>
      <c r="F646" s="8">
        <v>2.23</v>
      </c>
      <c r="G646" s="4">
        <v>0</v>
      </c>
      <c r="H646" s="8">
        <v>0</v>
      </c>
      <c r="I646" s="4">
        <v>0</v>
      </c>
    </row>
    <row r="647" spans="1:9" x14ac:dyDescent="0.2">
      <c r="A647" s="1"/>
      <c r="C647" s="4"/>
      <c r="D647" s="8"/>
      <c r="E647" s="4"/>
      <c r="F647" s="8"/>
      <c r="G647" s="4"/>
      <c r="H647" s="8"/>
      <c r="I647" s="4"/>
    </row>
    <row r="648" spans="1:9" x14ac:dyDescent="0.2">
      <c r="A648" s="1" t="s">
        <v>26</v>
      </c>
      <c r="C648" s="4"/>
      <c r="D648" s="8"/>
      <c r="E648" s="4"/>
      <c r="F648" s="8"/>
      <c r="G648" s="4"/>
      <c r="H648" s="8"/>
      <c r="I648" s="4"/>
    </row>
    <row r="649" spans="1:9" x14ac:dyDescent="0.2">
      <c r="A649" s="2">
        <v>1</v>
      </c>
      <c r="B649" s="1" t="s">
        <v>139</v>
      </c>
      <c r="C649" s="4">
        <v>43</v>
      </c>
      <c r="D649" s="8">
        <v>5.7</v>
      </c>
      <c r="E649" s="4">
        <v>43</v>
      </c>
      <c r="F649" s="8">
        <v>9.41</v>
      </c>
      <c r="G649" s="4">
        <v>0</v>
      </c>
      <c r="H649" s="8">
        <v>0</v>
      </c>
      <c r="I649" s="4">
        <v>0</v>
      </c>
    </row>
    <row r="650" spans="1:9" x14ac:dyDescent="0.2">
      <c r="A650" s="2">
        <v>2</v>
      </c>
      <c r="B650" s="1" t="s">
        <v>124</v>
      </c>
      <c r="C650" s="4">
        <v>37</v>
      </c>
      <c r="D650" s="8">
        <v>4.9000000000000004</v>
      </c>
      <c r="E650" s="4">
        <v>29</v>
      </c>
      <c r="F650" s="8">
        <v>6.35</v>
      </c>
      <c r="G650" s="4">
        <v>8</v>
      </c>
      <c r="H650" s="8">
        <v>2.8</v>
      </c>
      <c r="I650" s="4">
        <v>0</v>
      </c>
    </row>
    <row r="651" spans="1:9" x14ac:dyDescent="0.2">
      <c r="A651" s="2">
        <v>3</v>
      </c>
      <c r="B651" s="1" t="s">
        <v>136</v>
      </c>
      <c r="C651" s="4">
        <v>35</v>
      </c>
      <c r="D651" s="8">
        <v>4.6399999999999997</v>
      </c>
      <c r="E651" s="4">
        <v>33</v>
      </c>
      <c r="F651" s="8">
        <v>7.22</v>
      </c>
      <c r="G651" s="4">
        <v>2</v>
      </c>
      <c r="H651" s="8">
        <v>0.7</v>
      </c>
      <c r="I651" s="4">
        <v>0</v>
      </c>
    </row>
    <row r="652" spans="1:9" x14ac:dyDescent="0.2">
      <c r="A652" s="2">
        <v>4</v>
      </c>
      <c r="B652" s="1" t="s">
        <v>128</v>
      </c>
      <c r="C652" s="4">
        <v>29</v>
      </c>
      <c r="D652" s="8">
        <v>3.84</v>
      </c>
      <c r="E652" s="4">
        <v>7</v>
      </c>
      <c r="F652" s="8">
        <v>1.53</v>
      </c>
      <c r="G652" s="4">
        <v>22</v>
      </c>
      <c r="H652" s="8">
        <v>7.69</v>
      </c>
      <c r="I652" s="4">
        <v>0</v>
      </c>
    </row>
    <row r="653" spans="1:9" x14ac:dyDescent="0.2">
      <c r="A653" s="2">
        <v>5</v>
      </c>
      <c r="B653" s="1" t="s">
        <v>132</v>
      </c>
      <c r="C653" s="4">
        <v>28</v>
      </c>
      <c r="D653" s="8">
        <v>3.71</v>
      </c>
      <c r="E653" s="4">
        <v>24</v>
      </c>
      <c r="F653" s="8">
        <v>5.25</v>
      </c>
      <c r="G653" s="4">
        <v>4</v>
      </c>
      <c r="H653" s="8">
        <v>1.4</v>
      </c>
      <c r="I653" s="4">
        <v>0</v>
      </c>
    </row>
    <row r="654" spans="1:9" x14ac:dyDescent="0.2">
      <c r="A654" s="2">
        <v>6</v>
      </c>
      <c r="B654" s="1" t="s">
        <v>141</v>
      </c>
      <c r="C654" s="4">
        <v>27</v>
      </c>
      <c r="D654" s="8">
        <v>3.58</v>
      </c>
      <c r="E654" s="4">
        <v>26</v>
      </c>
      <c r="F654" s="8">
        <v>5.69</v>
      </c>
      <c r="G654" s="4">
        <v>1</v>
      </c>
      <c r="H654" s="8">
        <v>0.35</v>
      </c>
      <c r="I654" s="4">
        <v>0</v>
      </c>
    </row>
    <row r="655" spans="1:9" x14ac:dyDescent="0.2">
      <c r="A655" s="2">
        <v>7</v>
      </c>
      <c r="B655" s="1" t="s">
        <v>135</v>
      </c>
      <c r="C655" s="4">
        <v>22</v>
      </c>
      <c r="D655" s="8">
        <v>2.91</v>
      </c>
      <c r="E655" s="4">
        <v>22</v>
      </c>
      <c r="F655" s="8">
        <v>4.8099999999999996</v>
      </c>
      <c r="G655" s="4">
        <v>0</v>
      </c>
      <c r="H655" s="8">
        <v>0</v>
      </c>
      <c r="I655" s="4">
        <v>0</v>
      </c>
    </row>
    <row r="656" spans="1:9" x14ac:dyDescent="0.2">
      <c r="A656" s="2">
        <v>8</v>
      </c>
      <c r="B656" s="1" t="s">
        <v>146</v>
      </c>
      <c r="C656" s="4">
        <v>20</v>
      </c>
      <c r="D656" s="8">
        <v>2.65</v>
      </c>
      <c r="E656" s="4">
        <v>12</v>
      </c>
      <c r="F656" s="8">
        <v>2.63</v>
      </c>
      <c r="G656" s="4">
        <v>8</v>
      </c>
      <c r="H656" s="8">
        <v>2.8</v>
      </c>
      <c r="I656" s="4">
        <v>0</v>
      </c>
    </row>
    <row r="657" spans="1:9" x14ac:dyDescent="0.2">
      <c r="A657" s="2">
        <v>8</v>
      </c>
      <c r="B657" s="1" t="s">
        <v>201</v>
      </c>
      <c r="C657" s="4">
        <v>20</v>
      </c>
      <c r="D657" s="8">
        <v>2.65</v>
      </c>
      <c r="E657" s="4">
        <v>12</v>
      </c>
      <c r="F657" s="8">
        <v>2.63</v>
      </c>
      <c r="G657" s="4">
        <v>8</v>
      </c>
      <c r="H657" s="8">
        <v>2.8</v>
      </c>
      <c r="I657" s="4">
        <v>0</v>
      </c>
    </row>
    <row r="658" spans="1:9" x14ac:dyDescent="0.2">
      <c r="A658" s="2">
        <v>10</v>
      </c>
      <c r="B658" s="1" t="s">
        <v>151</v>
      </c>
      <c r="C658" s="4">
        <v>19</v>
      </c>
      <c r="D658" s="8">
        <v>2.52</v>
      </c>
      <c r="E658" s="4">
        <v>6</v>
      </c>
      <c r="F658" s="8">
        <v>1.31</v>
      </c>
      <c r="G658" s="4">
        <v>13</v>
      </c>
      <c r="H658" s="8">
        <v>4.55</v>
      </c>
      <c r="I658" s="4">
        <v>0</v>
      </c>
    </row>
    <row r="659" spans="1:9" x14ac:dyDescent="0.2">
      <c r="A659" s="2">
        <v>11</v>
      </c>
      <c r="B659" s="1" t="s">
        <v>133</v>
      </c>
      <c r="C659" s="4">
        <v>16</v>
      </c>
      <c r="D659" s="8">
        <v>2.12</v>
      </c>
      <c r="E659" s="4">
        <v>16</v>
      </c>
      <c r="F659" s="8">
        <v>3.5</v>
      </c>
      <c r="G659" s="4">
        <v>0</v>
      </c>
      <c r="H659" s="8">
        <v>0</v>
      </c>
      <c r="I659" s="4">
        <v>0</v>
      </c>
    </row>
    <row r="660" spans="1:9" x14ac:dyDescent="0.2">
      <c r="A660" s="2">
        <v>12</v>
      </c>
      <c r="B660" s="1" t="s">
        <v>187</v>
      </c>
      <c r="C660" s="4">
        <v>14</v>
      </c>
      <c r="D660" s="8">
        <v>1.85</v>
      </c>
      <c r="E660" s="4">
        <v>5</v>
      </c>
      <c r="F660" s="8">
        <v>1.0900000000000001</v>
      </c>
      <c r="G660" s="4">
        <v>9</v>
      </c>
      <c r="H660" s="8">
        <v>3.15</v>
      </c>
      <c r="I660" s="4">
        <v>0</v>
      </c>
    </row>
    <row r="661" spans="1:9" x14ac:dyDescent="0.2">
      <c r="A661" s="2">
        <v>13</v>
      </c>
      <c r="B661" s="1" t="s">
        <v>123</v>
      </c>
      <c r="C661" s="4">
        <v>12</v>
      </c>
      <c r="D661" s="8">
        <v>1.59</v>
      </c>
      <c r="E661" s="4">
        <v>9</v>
      </c>
      <c r="F661" s="8">
        <v>1.97</v>
      </c>
      <c r="G661" s="4">
        <v>3</v>
      </c>
      <c r="H661" s="8">
        <v>1.05</v>
      </c>
      <c r="I661" s="4">
        <v>0</v>
      </c>
    </row>
    <row r="662" spans="1:9" x14ac:dyDescent="0.2">
      <c r="A662" s="2">
        <v>13</v>
      </c>
      <c r="B662" s="1" t="s">
        <v>126</v>
      </c>
      <c r="C662" s="4">
        <v>12</v>
      </c>
      <c r="D662" s="8">
        <v>1.59</v>
      </c>
      <c r="E662" s="4">
        <v>9</v>
      </c>
      <c r="F662" s="8">
        <v>1.97</v>
      </c>
      <c r="G662" s="4">
        <v>3</v>
      </c>
      <c r="H662" s="8">
        <v>1.05</v>
      </c>
      <c r="I662" s="4">
        <v>0</v>
      </c>
    </row>
    <row r="663" spans="1:9" x14ac:dyDescent="0.2">
      <c r="A663" s="2">
        <v>15</v>
      </c>
      <c r="B663" s="1" t="s">
        <v>122</v>
      </c>
      <c r="C663" s="4">
        <v>11</v>
      </c>
      <c r="D663" s="8">
        <v>1.46</v>
      </c>
      <c r="E663" s="4">
        <v>3</v>
      </c>
      <c r="F663" s="8">
        <v>0.66</v>
      </c>
      <c r="G663" s="4">
        <v>8</v>
      </c>
      <c r="H663" s="8">
        <v>2.8</v>
      </c>
      <c r="I663" s="4">
        <v>0</v>
      </c>
    </row>
    <row r="664" spans="1:9" x14ac:dyDescent="0.2">
      <c r="A664" s="2">
        <v>15</v>
      </c>
      <c r="B664" s="1" t="s">
        <v>125</v>
      </c>
      <c r="C664" s="4">
        <v>11</v>
      </c>
      <c r="D664" s="8">
        <v>1.46</v>
      </c>
      <c r="E664" s="4">
        <v>6</v>
      </c>
      <c r="F664" s="8">
        <v>1.31</v>
      </c>
      <c r="G664" s="4">
        <v>5</v>
      </c>
      <c r="H664" s="8">
        <v>1.75</v>
      </c>
      <c r="I664" s="4">
        <v>0</v>
      </c>
    </row>
    <row r="665" spans="1:9" x14ac:dyDescent="0.2">
      <c r="A665" s="2">
        <v>15</v>
      </c>
      <c r="B665" s="1" t="s">
        <v>131</v>
      </c>
      <c r="C665" s="4">
        <v>11</v>
      </c>
      <c r="D665" s="8">
        <v>1.46</v>
      </c>
      <c r="E665" s="4">
        <v>11</v>
      </c>
      <c r="F665" s="8">
        <v>2.41</v>
      </c>
      <c r="G665" s="4">
        <v>0</v>
      </c>
      <c r="H665" s="8">
        <v>0</v>
      </c>
      <c r="I665" s="4">
        <v>0</v>
      </c>
    </row>
    <row r="666" spans="1:9" x14ac:dyDescent="0.2">
      <c r="A666" s="2">
        <v>15</v>
      </c>
      <c r="B666" s="1" t="s">
        <v>152</v>
      </c>
      <c r="C666" s="4">
        <v>11</v>
      </c>
      <c r="D666" s="8">
        <v>1.46</v>
      </c>
      <c r="E666" s="4">
        <v>3</v>
      </c>
      <c r="F666" s="8">
        <v>0.66</v>
      </c>
      <c r="G666" s="4">
        <v>4</v>
      </c>
      <c r="H666" s="8">
        <v>1.4</v>
      </c>
      <c r="I666" s="4">
        <v>0</v>
      </c>
    </row>
    <row r="667" spans="1:9" x14ac:dyDescent="0.2">
      <c r="A667" s="2">
        <v>19</v>
      </c>
      <c r="B667" s="1" t="s">
        <v>175</v>
      </c>
      <c r="C667" s="4">
        <v>10</v>
      </c>
      <c r="D667" s="8">
        <v>1.32</v>
      </c>
      <c r="E667" s="4">
        <v>7</v>
      </c>
      <c r="F667" s="8">
        <v>1.53</v>
      </c>
      <c r="G667" s="4">
        <v>3</v>
      </c>
      <c r="H667" s="8">
        <v>1.05</v>
      </c>
      <c r="I667" s="4">
        <v>0</v>
      </c>
    </row>
    <row r="668" spans="1:9" x14ac:dyDescent="0.2">
      <c r="A668" s="2">
        <v>19</v>
      </c>
      <c r="B668" s="1" t="s">
        <v>145</v>
      </c>
      <c r="C668" s="4">
        <v>10</v>
      </c>
      <c r="D668" s="8">
        <v>1.32</v>
      </c>
      <c r="E668" s="4">
        <v>1</v>
      </c>
      <c r="F668" s="8">
        <v>0.22</v>
      </c>
      <c r="G668" s="4">
        <v>9</v>
      </c>
      <c r="H668" s="8">
        <v>3.15</v>
      </c>
      <c r="I668" s="4">
        <v>0</v>
      </c>
    </row>
    <row r="669" spans="1:9" x14ac:dyDescent="0.2">
      <c r="A669" s="2">
        <v>19</v>
      </c>
      <c r="B669" s="1" t="s">
        <v>138</v>
      </c>
      <c r="C669" s="4">
        <v>10</v>
      </c>
      <c r="D669" s="8">
        <v>1.32</v>
      </c>
      <c r="E669" s="4">
        <v>10</v>
      </c>
      <c r="F669" s="8">
        <v>2.19</v>
      </c>
      <c r="G669" s="4">
        <v>0</v>
      </c>
      <c r="H669" s="8">
        <v>0</v>
      </c>
      <c r="I669" s="4">
        <v>0</v>
      </c>
    </row>
    <row r="670" spans="1:9" x14ac:dyDescent="0.2">
      <c r="A670" s="1"/>
      <c r="C670" s="4"/>
      <c r="D670" s="8"/>
      <c r="E670" s="4"/>
      <c r="F670" s="8"/>
      <c r="G670" s="4"/>
      <c r="H670" s="8"/>
      <c r="I670" s="4"/>
    </row>
    <row r="671" spans="1:9" x14ac:dyDescent="0.2">
      <c r="A671" s="1" t="s">
        <v>27</v>
      </c>
      <c r="C671" s="4"/>
      <c r="D671" s="8"/>
      <c r="E671" s="4"/>
      <c r="F671" s="8"/>
      <c r="G671" s="4"/>
      <c r="H671" s="8"/>
      <c r="I671" s="4"/>
    </row>
    <row r="672" spans="1:9" x14ac:dyDescent="0.2">
      <c r="A672" s="2">
        <v>1</v>
      </c>
      <c r="B672" s="1" t="s">
        <v>133</v>
      </c>
      <c r="C672" s="4">
        <v>35</v>
      </c>
      <c r="D672" s="8">
        <v>8.33</v>
      </c>
      <c r="E672" s="4">
        <v>35</v>
      </c>
      <c r="F672" s="8">
        <v>12.73</v>
      </c>
      <c r="G672" s="4">
        <v>0</v>
      </c>
      <c r="H672" s="8">
        <v>0</v>
      </c>
      <c r="I672" s="4">
        <v>0</v>
      </c>
    </row>
    <row r="673" spans="1:9" x14ac:dyDescent="0.2">
      <c r="A673" s="2">
        <v>2</v>
      </c>
      <c r="B673" s="1" t="s">
        <v>128</v>
      </c>
      <c r="C673" s="4">
        <v>31</v>
      </c>
      <c r="D673" s="8">
        <v>7.38</v>
      </c>
      <c r="E673" s="4">
        <v>22</v>
      </c>
      <c r="F673" s="8">
        <v>8</v>
      </c>
      <c r="G673" s="4">
        <v>9</v>
      </c>
      <c r="H673" s="8">
        <v>6.47</v>
      </c>
      <c r="I673" s="4">
        <v>0</v>
      </c>
    </row>
    <row r="674" spans="1:9" x14ac:dyDescent="0.2">
      <c r="A674" s="2">
        <v>3</v>
      </c>
      <c r="B674" s="1" t="s">
        <v>136</v>
      </c>
      <c r="C674" s="4">
        <v>23</v>
      </c>
      <c r="D674" s="8">
        <v>5.48</v>
      </c>
      <c r="E674" s="4">
        <v>23</v>
      </c>
      <c r="F674" s="8">
        <v>8.36</v>
      </c>
      <c r="G674" s="4">
        <v>0</v>
      </c>
      <c r="H674" s="8">
        <v>0</v>
      </c>
      <c r="I674" s="4">
        <v>0</v>
      </c>
    </row>
    <row r="675" spans="1:9" x14ac:dyDescent="0.2">
      <c r="A675" s="2">
        <v>4</v>
      </c>
      <c r="B675" s="1" t="s">
        <v>139</v>
      </c>
      <c r="C675" s="4">
        <v>22</v>
      </c>
      <c r="D675" s="8">
        <v>5.24</v>
      </c>
      <c r="E675" s="4">
        <v>21</v>
      </c>
      <c r="F675" s="8">
        <v>7.64</v>
      </c>
      <c r="G675" s="4">
        <v>1</v>
      </c>
      <c r="H675" s="8">
        <v>0.72</v>
      </c>
      <c r="I675" s="4">
        <v>0</v>
      </c>
    </row>
    <row r="676" spans="1:9" x14ac:dyDescent="0.2">
      <c r="A676" s="2">
        <v>5</v>
      </c>
      <c r="B676" s="1" t="s">
        <v>132</v>
      </c>
      <c r="C676" s="4">
        <v>16</v>
      </c>
      <c r="D676" s="8">
        <v>3.81</v>
      </c>
      <c r="E676" s="4">
        <v>16</v>
      </c>
      <c r="F676" s="8">
        <v>5.82</v>
      </c>
      <c r="G676" s="4">
        <v>0</v>
      </c>
      <c r="H676" s="8">
        <v>0</v>
      </c>
      <c r="I676" s="4">
        <v>0</v>
      </c>
    </row>
    <row r="677" spans="1:9" x14ac:dyDescent="0.2">
      <c r="A677" s="2">
        <v>6</v>
      </c>
      <c r="B677" s="1" t="s">
        <v>141</v>
      </c>
      <c r="C677" s="4">
        <v>14</v>
      </c>
      <c r="D677" s="8">
        <v>3.33</v>
      </c>
      <c r="E677" s="4">
        <v>14</v>
      </c>
      <c r="F677" s="8">
        <v>5.09</v>
      </c>
      <c r="G677" s="4">
        <v>0</v>
      </c>
      <c r="H677" s="8">
        <v>0</v>
      </c>
      <c r="I677" s="4">
        <v>0</v>
      </c>
    </row>
    <row r="678" spans="1:9" x14ac:dyDescent="0.2">
      <c r="A678" s="2">
        <v>7</v>
      </c>
      <c r="B678" s="1" t="s">
        <v>126</v>
      </c>
      <c r="C678" s="4">
        <v>10</v>
      </c>
      <c r="D678" s="8">
        <v>2.38</v>
      </c>
      <c r="E678" s="4">
        <v>4</v>
      </c>
      <c r="F678" s="8">
        <v>1.45</v>
      </c>
      <c r="G678" s="4">
        <v>6</v>
      </c>
      <c r="H678" s="8">
        <v>4.32</v>
      </c>
      <c r="I678" s="4">
        <v>0</v>
      </c>
    </row>
    <row r="679" spans="1:9" x14ac:dyDescent="0.2">
      <c r="A679" s="2">
        <v>7</v>
      </c>
      <c r="B679" s="1" t="s">
        <v>140</v>
      </c>
      <c r="C679" s="4">
        <v>10</v>
      </c>
      <c r="D679" s="8">
        <v>2.38</v>
      </c>
      <c r="E679" s="4">
        <v>9</v>
      </c>
      <c r="F679" s="8">
        <v>3.27</v>
      </c>
      <c r="G679" s="4">
        <v>1</v>
      </c>
      <c r="H679" s="8">
        <v>0.72</v>
      </c>
      <c r="I679" s="4">
        <v>0</v>
      </c>
    </row>
    <row r="680" spans="1:9" x14ac:dyDescent="0.2">
      <c r="A680" s="2">
        <v>9</v>
      </c>
      <c r="B680" s="1" t="s">
        <v>122</v>
      </c>
      <c r="C680" s="4">
        <v>8</v>
      </c>
      <c r="D680" s="8">
        <v>1.9</v>
      </c>
      <c r="E680" s="4">
        <v>1</v>
      </c>
      <c r="F680" s="8">
        <v>0.36</v>
      </c>
      <c r="G680" s="4">
        <v>7</v>
      </c>
      <c r="H680" s="8">
        <v>5.04</v>
      </c>
      <c r="I680" s="4">
        <v>0</v>
      </c>
    </row>
    <row r="681" spans="1:9" x14ac:dyDescent="0.2">
      <c r="A681" s="2">
        <v>9</v>
      </c>
      <c r="B681" s="1" t="s">
        <v>124</v>
      </c>
      <c r="C681" s="4">
        <v>8</v>
      </c>
      <c r="D681" s="8">
        <v>1.9</v>
      </c>
      <c r="E681" s="4">
        <v>7</v>
      </c>
      <c r="F681" s="8">
        <v>2.5499999999999998</v>
      </c>
      <c r="G681" s="4">
        <v>1</v>
      </c>
      <c r="H681" s="8">
        <v>0.72</v>
      </c>
      <c r="I681" s="4">
        <v>0</v>
      </c>
    </row>
    <row r="682" spans="1:9" x14ac:dyDescent="0.2">
      <c r="A682" s="2">
        <v>9</v>
      </c>
      <c r="B682" s="1" t="s">
        <v>135</v>
      </c>
      <c r="C682" s="4">
        <v>8</v>
      </c>
      <c r="D682" s="8">
        <v>1.9</v>
      </c>
      <c r="E682" s="4">
        <v>8</v>
      </c>
      <c r="F682" s="8">
        <v>2.91</v>
      </c>
      <c r="G682" s="4">
        <v>0</v>
      </c>
      <c r="H682" s="8">
        <v>0</v>
      </c>
      <c r="I682" s="4">
        <v>0</v>
      </c>
    </row>
    <row r="683" spans="1:9" x14ac:dyDescent="0.2">
      <c r="A683" s="2">
        <v>12</v>
      </c>
      <c r="B683" s="1" t="s">
        <v>125</v>
      </c>
      <c r="C683" s="4">
        <v>7</v>
      </c>
      <c r="D683" s="8">
        <v>1.67</v>
      </c>
      <c r="E683" s="4">
        <v>5</v>
      </c>
      <c r="F683" s="8">
        <v>1.82</v>
      </c>
      <c r="G683" s="4">
        <v>2</v>
      </c>
      <c r="H683" s="8">
        <v>1.44</v>
      </c>
      <c r="I683" s="4">
        <v>0</v>
      </c>
    </row>
    <row r="684" spans="1:9" x14ac:dyDescent="0.2">
      <c r="A684" s="2">
        <v>12</v>
      </c>
      <c r="B684" s="1" t="s">
        <v>137</v>
      </c>
      <c r="C684" s="4">
        <v>7</v>
      </c>
      <c r="D684" s="8">
        <v>1.67</v>
      </c>
      <c r="E684" s="4">
        <v>5</v>
      </c>
      <c r="F684" s="8">
        <v>1.82</v>
      </c>
      <c r="G684" s="4">
        <v>2</v>
      </c>
      <c r="H684" s="8">
        <v>1.44</v>
      </c>
      <c r="I684" s="4">
        <v>0</v>
      </c>
    </row>
    <row r="685" spans="1:9" x14ac:dyDescent="0.2">
      <c r="A685" s="2">
        <v>14</v>
      </c>
      <c r="B685" s="1" t="s">
        <v>151</v>
      </c>
      <c r="C685" s="4">
        <v>6</v>
      </c>
      <c r="D685" s="8">
        <v>1.43</v>
      </c>
      <c r="E685" s="4">
        <v>1</v>
      </c>
      <c r="F685" s="8">
        <v>0.36</v>
      </c>
      <c r="G685" s="4">
        <v>5</v>
      </c>
      <c r="H685" s="8">
        <v>3.6</v>
      </c>
      <c r="I685" s="4">
        <v>0</v>
      </c>
    </row>
    <row r="686" spans="1:9" x14ac:dyDescent="0.2">
      <c r="A686" s="2">
        <v>14</v>
      </c>
      <c r="B686" s="1" t="s">
        <v>175</v>
      </c>
      <c r="C686" s="4">
        <v>6</v>
      </c>
      <c r="D686" s="8">
        <v>1.43</v>
      </c>
      <c r="E686" s="4">
        <v>2</v>
      </c>
      <c r="F686" s="8">
        <v>0.73</v>
      </c>
      <c r="G686" s="4">
        <v>4</v>
      </c>
      <c r="H686" s="8">
        <v>2.88</v>
      </c>
      <c r="I686" s="4">
        <v>0</v>
      </c>
    </row>
    <row r="687" spans="1:9" x14ac:dyDescent="0.2">
      <c r="A687" s="2">
        <v>14</v>
      </c>
      <c r="B687" s="1" t="s">
        <v>127</v>
      </c>
      <c r="C687" s="4">
        <v>6</v>
      </c>
      <c r="D687" s="8">
        <v>1.43</v>
      </c>
      <c r="E687" s="4">
        <v>0</v>
      </c>
      <c r="F687" s="8">
        <v>0</v>
      </c>
      <c r="G687" s="4">
        <v>6</v>
      </c>
      <c r="H687" s="8">
        <v>4.32</v>
      </c>
      <c r="I687" s="4">
        <v>0</v>
      </c>
    </row>
    <row r="688" spans="1:9" x14ac:dyDescent="0.2">
      <c r="A688" s="2">
        <v>14</v>
      </c>
      <c r="B688" s="1" t="s">
        <v>152</v>
      </c>
      <c r="C688" s="4">
        <v>6</v>
      </c>
      <c r="D688" s="8">
        <v>1.43</v>
      </c>
      <c r="E688" s="4">
        <v>1</v>
      </c>
      <c r="F688" s="8">
        <v>0.36</v>
      </c>
      <c r="G688" s="4">
        <v>3</v>
      </c>
      <c r="H688" s="8">
        <v>2.16</v>
      </c>
      <c r="I688" s="4">
        <v>0</v>
      </c>
    </row>
    <row r="689" spans="1:9" x14ac:dyDescent="0.2">
      <c r="A689" s="2">
        <v>18</v>
      </c>
      <c r="B689" s="1" t="s">
        <v>123</v>
      </c>
      <c r="C689" s="4">
        <v>5</v>
      </c>
      <c r="D689" s="8">
        <v>1.19</v>
      </c>
      <c r="E689" s="4">
        <v>4</v>
      </c>
      <c r="F689" s="8">
        <v>1.45</v>
      </c>
      <c r="G689" s="4">
        <v>1</v>
      </c>
      <c r="H689" s="8">
        <v>0.72</v>
      </c>
      <c r="I689" s="4">
        <v>0</v>
      </c>
    </row>
    <row r="690" spans="1:9" x14ac:dyDescent="0.2">
      <c r="A690" s="2">
        <v>18</v>
      </c>
      <c r="B690" s="1" t="s">
        <v>176</v>
      </c>
      <c r="C690" s="4">
        <v>5</v>
      </c>
      <c r="D690" s="8">
        <v>1.19</v>
      </c>
      <c r="E690" s="4">
        <v>4</v>
      </c>
      <c r="F690" s="8">
        <v>1.45</v>
      </c>
      <c r="G690" s="4">
        <v>1</v>
      </c>
      <c r="H690" s="8">
        <v>0.72</v>
      </c>
      <c r="I690" s="4">
        <v>0</v>
      </c>
    </row>
    <row r="691" spans="1:9" x14ac:dyDescent="0.2">
      <c r="A691" s="2">
        <v>18</v>
      </c>
      <c r="B691" s="1" t="s">
        <v>205</v>
      </c>
      <c r="C691" s="4">
        <v>5</v>
      </c>
      <c r="D691" s="8">
        <v>1.19</v>
      </c>
      <c r="E691" s="4">
        <v>0</v>
      </c>
      <c r="F691" s="8">
        <v>0</v>
      </c>
      <c r="G691" s="4">
        <v>5</v>
      </c>
      <c r="H691" s="8">
        <v>3.6</v>
      </c>
      <c r="I691" s="4">
        <v>0</v>
      </c>
    </row>
    <row r="692" spans="1:9" x14ac:dyDescent="0.2">
      <c r="A692" s="2">
        <v>18</v>
      </c>
      <c r="B692" s="1" t="s">
        <v>177</v>
      </c>
      <c r="C692" s="4">
        <v>5</v>
      </c>
      <c r="D692" s="8">
        <v>1.19</v>
      </c>
      <c r="E692" s="4">
        <v>5</v>
      </c>
      <c r="F692" s="8">
        <v>1.82</v>
      </c>
      <c r="G692" s="4">
        <v>0</v>
      </c>
      <c r="H692" s="8">
        <v>0</v>
      </c>
      <c r="I692" s="4">
        <v>0</v>
      </c>
    </row>
    <row r="693" spans="1:9" x14ac:dyDescent="0.2">
      <c r="A693" s="2">
        <v>18</v>
      </c>
      <c r="B693" s="1" t="s">
        <v>138</v>
      </c>
      <c r="C693" s="4">
        <v>5</v>
      </c>
      <c r="D693" s="8">
        <v>1.19</v>
      </c>
      <c r="E693" s="4">
        <v>5</v>
      </c>
      <c r="F693" s="8">
        <v>1.82</v>
      </c>
      <c r="G693" s="4">
        <v>0</v>
      </c>
      <c r="H693" s="8">
        <v>0</v>
      </c>
      <c r="I693" s="4">
        <v>0</v>
      </c>
    </row>
    <row r="694" spans="1:9" x14ac:dyDescent="0.2">
      <c r="A694" s="1"/>
      <c r="C694" s="4"/>
      <c r="D694" s="8"/>
      <c r="E694" s="4"/>
      <c r="F694" s="8"/>
      <c r="G694" s="4"/>
      <c r="H694" s="8"/>
      <c r="I694" s="4"/>
    </row>
    <row r="695" spans="1:9" x14ac:dyDescent="0.2">
      <c r="A695" s="1" t="s">
        <v>28</v>
      </c>
      <c r="C695" s="4"/>
      <c r="D695" s="8"/>
      <c r="E695" s="4"/>
      <c r="F695" s="8"/>
      <c r="G695" s="4"/>
      <c r="H695" s="8"/>
      <c r="I695" s="4"/>
    </row>
    <row r="696" spans="1:9" x14ac:dyDescent="0.2">
      <c r="A696" s="2">
        <v>1</v>
      </c>
      <c r="B696" s="1" t="s">
        <v>128</v>
      </c>
      <c r="C696" s="4">
        <v>157</v>
      </c>
      <c r="D696" s="8">
        <v>17.48</v>
      </c>
      <c r="E696" s="4">
        <v>123</v>
      </c>
      <c r="F696" s="8">
        <v>21.03</v>
      </c>
      <c r="G696" s="4">
        <v>34</v>
      </c>
      <c r="H696" s="8">
        <v>11.22</v>
      </c>
      <c r="I696" s="4">
        <v>0</v>
      </c>
    </row>
    <row r="697" spans="1:9" x14ac:dyDescent="0.2">
      <c r="A697" s="2">
        <v>2</v>
      </c>
      <c r="B697" s="1" t="s">
        <v>136</v>
      </c>
      <c r="C697" s="4">
        <v>44</v>
      </c>
      <c r="D697" s="8">
        <v>4.9000000000000004</v>
      </c>
      <c r="E697" s="4">
        <v>38</v>
      </c>
      <c r="F697" s="8">
        <v>6.5</v>
      </c>
      <c r="G697" s="4">
        <v>6</v>
      </c>
      <c r="H697" s="8">
        <v>1.98</v>
      </c>
      <c r="I697" s="4">
        <v>0</v>
      </c>
    </row>
    <row r="698" spans="1:9" x14ac:dyDescent="0.2">
      <c r="A698" s="2">
        <v>3</v>
      </c>
      <c r="B698" s="1" t="s">
        <v>139</v>
      </c>
      <c r="C698" s="4">
        <v>39</v>
      </c>
      <c r="D698" s="8">
        <v>4.34</v>
      </c>
      <c r="E698" s="4">
        <v>39</v>
      </c>
      <c r="F698" s="8">
        <v>6.67</v>
      </c>
      <c r="G698" s="4">
        <v>0</v>
      </c>
      <c r="H698" s="8">
        <v>0</v>
      </c>
      <c r="I698" s="4">
        <v>0</v>
      </c>
    </row>
    <row r="699" spans="1:9" x14ac:dyDescent="0.2">
      <c r="A699" s="2">
        <v>4</v>
      </c>
      <c r="B699" s="1" t="s">
        <v>132</v>
      </c>
      <c r="C699" s="4">
        <v>34</v>
      </c>
      <c r="D699" s="8">
        <v>3.79</v>
      </c>
      <c r="E699" s="4">
        <v>31</v>
      </c>
      <c r="F699" s="8">
        <v>5.3</v>
      </c>
      <c r="G699" s="4">
        <v>3</v>
      </c>
      <c r="H699" s="8">
        <v>0.99</v>
      </c>
      <c r="I699" s="4">
        <v>0</v>
      </c>
    </row>
    <row r="700" spans="1:9" x14ac:dyDescent="0.2">
      <c r="A700" s="2">
        <v>5</v>
      </c>
      <c r="B700" s="1" t="s">
        <v>135</v>
      </c>
      <c r="C700" s="4">
        <v>26</v>
      </c>
      <c r="D700" s="8">
        <v>2.9</v>
      </c>
      <c r="E700" s="4">
        <v>26</v>
      </c>
      <c r="F700" s="8">
        <v>4.4400000000000004</v>
      </c>
      <c r="G700" s="4">
        <v>0</v>
      </c>
      <c r="H700" s="8">
        <v>0</v>
      </c>
      <c r="I700" s="4">
        <v>0</v>
      </c>
    </row>
    <row r="701" spans="1:9" x14ac:dyDescent="0.2">
      <c r="A701" s="2">
        <v>6</v>
      </c>
      <c r="B701" s="1" t="s">
        <v>127</v>
      </c>
      <c r="C701" s="4">
        <v>23</v>
      </c>
      <c r="D701" s="8">
        <v>2.56</v>
      </c>
      <c r="E701" s="4">
        <v>14</v>
      </c>
      <c r="F701" s="8">
        <v>2.39</v>
      </c>
      <c r="G701" s="4">
        <v>9</v>
      </c>
      <c r="H701" s="8">
        <v>2.97</v>
      </c>
      <c r="I701" s="4">
        <v>0</v>
      </c>
    </row>
    <row r="702" spans="1:9" x14ac:dyDescent="0.2">
      <c r="A702" s="2">
        <v>7</v>
      </c>
      <c r="B702" s="1" t="s">
        <v>124</v>
      </c>
      <c r="C702" s="4">
        <v>22</v>
      </c>
      <c r="D702" s="8">
        <v>2.4500000000000002</v>
      </c>
      <c r="E702" s="4">
        <v>18</v>
      </c>
      <c r="F702" s="8">
        <v>3.08</v>
      </c>
      <c r="G702" s="4">
        <v>4</v>
      </c>
      <c r="H702" s="8">
        <v>1.32</v>
      </c>
      <c r="I702" s="4">
        <v>0</v>
      </c>
    </row>
    <row r="703" spans="1:9" x14ac:dyDescent="0.2">
      <c r="A703" s="2">
        <v>8</v>
      </c>
      <c r="B703" s="1" t="s">
        <v>122</v>
      </c>
      <c r="C703" s="4">
        <v>20</v>
      </c>
      <c r="D703" s="8">
        <v>2.23</v>
      </c>
      <c r="E703" s="4">
        <v>3</v>
      </c>
      <c r="F703" s="8">
        <v>0.51</v>
      </c>
      <c r="G703" s="4">
        <v>17</v>
      </c>
      <c r="H703" s="8">
        <v>5.61</v>
      </c>
      <c r="I703" s="4">
        <v>0</v>
      </c>
    </row>
    <row r="704" spans="1:9" x14ac:dyDescent="0.2">
      <c r="A704" s="2">
        <v>9</v>
      </c>
      <c r="B704" s="1" t="s">
        <v>138</v>
      </c>
      <c r="C704" s="4">
        <v>18</v>
      </c>
      <c r="D704" s="8">
        <v>2</v>
      </c>
      <c r="E704" s="4">
        <v>14</v>
      </c>
      <c r="F704" s="8">
        <v>2.39</v>
      </c>
      <c r="G704" s="4">
        <v>4</v>
      </c>
      <c r="H704" s="8">
        <v>1.32</v>
      </c>
      <c r="I704" s="4">
        <v>0</v>
      </c>
    </row>
    <row r="705" spans="1:9" x14ac:dyDescent="0.2">
      <c r="A705" s="2">
        <v>10</v>
      </c>
      <c r="B705" s="1" t="s">
        <v>147</v>
      </c>
      <c r="C705" s="4">
        <v>17</v>
      </c>
      <c r="D705" s="8">
        <v>1.89</v>
      </c>
      <c r="E705" s="4">
        <v>8</v>
      </c>
      <c r="F705" s="8">
        <v>1.37</v>
      </c>
      <c r="G705" s="4">
        <v>9</v>
      </c>
      <c r="H705" s="8">
        <v>2.97</v>
      </c>
      <c r="I705" s="4">
        <v>0</v>
      </c>
    </row>
    <row r="706" spans="1:9" x14ac:dyDescent="0.2">
      <c r="A706" s="2">
        <v>11</v>
      </c>
      <c r="B706" s="1" t="s">
        <v>151</v>
      </c>
      <c r="C706" s="4">
        <v>16</v>
      </c>
      <c r="D706" s="8">
        <v>1.78</v>
      </c>
      <c r="E706" s="4">
        <v>4</v>
      </c>
      <c r="F706" s="8">
        <v>0.68</v>
      </c>
      <c r="G706" s="4">
        <v>12</v>
      </c>
      <c r="H706" s="8">
        <v>3.96</v>
      </c>
      <c r="I706" s="4">
        <v>0</v>
      </c>
    </row>
    <row r="707" spans="1:9" x14ac:dyDescent="0.2">
      <c r="A707" s="2">
        <v>11</v>
      </c>
      <c r="B707" s="1" t="s">
        <v>167</v>
      </c>
      <c r="C707" s="4">
        <v>16</v>
      </c>
      <c r="D707" s="8">
        <v>1.78</v>
      </c>
      <c r="E707" s="4">
        <v>15</v>
      </c>
      <c r="F707" s="8">
        <v>2.56</v>
      </c>
      <c r="G707" s="4">
        <v>1</v>
      </c>
      <c r="H707" s="8">
        <v>0.33</v>
      </c>
      <c r="I707" s="4">
        <v>0</v>
      </c>
    </row>
    <row r="708" spans="1:9" x14ac:dyDescent="0.2">
      <c r="A708" s="2">
        <v>11</v>
      </c>
      <c r="B708" s="1" t="s">
        <v>140</v>
      </c>
      <c r="C708" s="4">
        <v>16</v>
      </c>
      <c r="D708" s="8">
        <v>1.78</v>
      </c>
      <c r="E708" s="4">
        <v>15</v>
      </c>
      <c r="F708" s="8">
        <v>2.56</v>
      </c>
      <c r="G708" s="4">
        <v>1</v>
      </c>
      <c r="H708" s="8">
        <v>0.33</v>
      </c>
      <c r="I708" s="4">
        <v>0</v>
      </c>
    </row>
    <row r="709" spans="1:9" x14ac:dyDescent="0.2">
      <c r="A709" s="2">
        <v>14</v>
      </c>
      <c r="B709" s="1" t="s">
        <v>129</v>
      </c>
      <c r="C709" s="4">
        <v>15</v>
      </c>
      <c r="D709" s="8">
        <v>1.67</v>
      </c>
      <c r="E709" s="4">
        <v>6</v>
      </c>
      <c r="F709" s="8">
        <v>1.03</v>
      </c>
      <c r="G709" s="4">
        <v>9</v>
      </c>
      <c r="H709" s="8">
        <v>2.97</v>
      </c>
      <c r="I709" s="4">
        <v>0</v>
      </c>
    </row>
    <row r="710" spans="1:9" x14ac:dyDescent="0.2">
      <c r="A710" s="2">
        <v>15</v>
      </c>
      <c r="B710" s="1" t="s">
        <v>146</v>
      </c>
      <c r="C710" s="4">
        <v>14</v>
      </c>
      <c r="D710" s="8">
        <v>1.56</v>
      </c>
      <c r="E710" s="4">
        <v>3</v>
      </c>
      <c r="F710" s="8">
        <v>0.51</v>
      </c>
      <c r="G710" s="4">
        <v>11</v>
      </c>
      <c r="H710" s="8">
        <v>3.63</v>
      </c>
      <c r="I710" s="4">
        <v>0</v>
      </c>
    </row>
    <row r="711" spans="1:9" x14ac:dyDescent="0.2">
      <c r="A711" s="2">
        <v>15</v>
      </c>
      <c r="B711" s="1" t="s">
        <v>209</v>
      </c>
      <c r="C711" s="4">
        <v>14</v>
      </c>
      <c r="D711" s="8">
        <v>1.56</v>
      </c>
      <c r="E711" s="4">
        <v>6</v>
      </c>
      <c r="F711" s="8">
        <v>1.03</v>
      </c>
      <c r="G711" s="4">
        <v>8</v>
      </c>
      <c r="H711" s="8">
        <v>2.64</v>
      </c>
      <c r="I711" s="4">
        <v>0</v>
      </c>
    </row>
    <row r="712" spans="1:9" x14ac:dyDescent="0.2">
      <c r="A712" s="2">
        <v>15</v>
      </c>
      <c r="B712" s="1" t="s">
        <v>201</v>
      </c>
      <c r="C712" s="4">
        <v>14</v>
      </c>
      <c r="D712" s="8">
        <v>1.56</v>
      </c>
      <c r="E712" s="4">
        <v>11</v>
      </c>
      <c r="F712" s="8">
        <v>1.88</v>
      </c>
      <c r="G712" s="4">
        <v>3</v>
      </c>
      <c r="H712" s="8">
        <v>0.99</v>
      </c>
      <c r="I712" s="4">
        <v>0</v>
      </c>
    </row>
    <row r="713" spans="1:9" x14ac:dyDescent="0.2">
      <c r="A713" s="2">
        <v>15</v>
      </c>
      <c r="B713" s="1" t="s">
        <v>123</v>
      </c>
      <c r="C713" s="4">
        <v>14</v>
      </c>
      <c r="D713" s="8">
        <v>1.56</v>
      </c>
      <c r="E713" s="4">
        <v>10</v>
      </c>
      <c r="F713" s="8">
        <v>1.71</v>
      </c>
      <c r="G713" s="4">
        <v>4</v>
      </c>
      <c r="H713" s="8">
        <v>1.32</v>
      </c>
      <c r="I713" s="4">
        <v>0</v>
      </c>
    </row>
    <row r="714" spans="1:9" x14ac:dyDescent="0.2">
      <c r="A714" s="2">
        <v>19</v>
      </c>
      <c r="B714" s="1" t="s">
        <v>213</v>
      </c>
      <c r="C714" s="4">
        <v>13</v>
      </c>
      <c r="D714" s="8">
        <v>1.45</v>
      </c>
      <c r="E714" s="4">
        <v>5</v>
      </c>
      <c r="F714" s="8">
        <v>0.85</v>
      </c>
      <c r="G714" s="4">
        <v>8</v>
      </c>
      <c r="H714" s="8">
        <v>2.64</v>
      </c>
      <c r="I714" s="4">
        <v>0</v>
      </c>
    </row>
    <row r="715" spans="1:9" x14ac:dyDescent="0.2">
      <c r="A715" s="2">
        <v>19</v>
      </c>
      <c r="B715" s="1" t="s">
        <v>133</v>
      </c>
      <c r="C715" s="4">
        <v>13</v>
      </c>
      <c r="D715" s="8">
        <v>1.45</v>
      </c>
      <c r="E715" s="4">
        <v>13</v>
      </c>
      <c r="F715" s="8">
        <v>2.2200000000000002</v>
      </c>
      <c r="G715" s="4">
        <v>0</v>
      </c>
      <c r="H715" s="8">
        <v>0</v>
      </c>
      <c r="I715" s="4">
        <v>0</v>
      </c>
    </row>
    <row r="716" spans="1:9" x14ac:dyDescent="0.2">
      <c r="A716" s="2">
        <v>19</v>
      </c>
      <c r="B716" s="1" t="s">
        <v>141</v>
      </c>
      <c r="C716" s="4">
        <v>13</v>
      </c>
      <c r="D716" s="8">
        <v>1.45</v>
      </c>
      <c r="E716" s="4">
        <v>12</v>
      </c>
      <c r="F716" s="8">
        <v>2.0499999999999998</v>
      </c>
      <c r="G716" s="4">
        <v>1</v>
      </c>
      <c r="H716" s="8">
        <v>0.33</v>
      </c>
      <c r="I716" s="4">
        <v>0</v>
      </c>
    </row>
    <row r="717" spans="1:9" x14ac:dyDescent="0.2">
      <c r="A717" s="1"/>
      <c r="C717" s="4"/>
      <c r="D717" s="8"/>
      <c r="E717" s="4"/>
      <c r="F717" s="8"/>
      <c r="G717" s="4"/>
      <c r="H717" s="8"/>
      <c r="I717" s="4"/>
    </row>
    <row r="718" spans="1:9" x14ac:dyDescent="0.2">
      <c r="A718" s="1" t="s">
        <v>29</v>
      </c>
      <c r="C718" s="4"/>
      <c r="D718" s="8"/>
      <c r="E718" s="4"/>
      <c r="F718" s="8"/>
      <c r="G718" s="4"/>
      <c r="H718" s="8"/>
      <c r="I718" s="4"/>
    </row>
    <row r="719" spans="1:9" x14ac:dyDescent="0.2">
      <c r="A719" s="2">
        <v>1</v>
      </c>
      <c r="B719" s="1" t="s">
        <v>150</v>
      </c>
      <c r="C719" s="4">
        <v>15</v>
      </c>
      <c r="D719" s="8">
        <v>21.13</v>
      </c>
      <c r="E719" s="4">
        <v>13</v>
      </c>
      <c r="F719" s="8">
        <v>24.53</v>
      </c>
      <c r="G719" s="4">
        <v>2</v>
      </c>
      <c r="H719" s="8">
        <v>16.670000000000002</v>
      </c>
      <c r="I719" s="4">
        <v>0</v>
      </c>
    </row>
    <row r="720" spans="1:9" x14ac:dyDescent="0.2">
      <c r="A720" s="2">
        <v>2</v>
      </c>
      <c r="B720" s="1" t="s">
        <v>130</v>
      </c>
      <c r="C720" s="4">
        <v>12</v>
      </c>
      <c r="D720" s="8">
        <v>16.899999999999999</v>
      </c>
      <c r="E720" s="4">
        <v>11</v>
      </c>
      <c r="F720" s="8">
        <v>20.75</v>
      </c>
      <c r="G720" s="4">
        <v>1</v>
      </c>
      <c r="H720" s="8">
        <v>8.33</v>
      </c>
      <c r="I720" s="4">
        <v>0</v>
      </c>
    </row>
    <row r="721" spans="1:9" x14ac:dyDescent="0.2">
      <c r="A721" s="2">
        <v>3</v>
      </c>
      <c r="B721" s="1" t="s">
        <v>132</v>
      </c>
      <c r="C721" s="4">
        <v>4</v>
      </c>
      <c r="D721" s="8">
        <v>5.63</v>
      </c>
      <c r="E721" s="4">
        <v>4</v>
      </c>
      <c r="F721" s="8">
        <v>7.55</v>
      </c>
      <c r="G721" s="4">
        <v>0</v>
      </c>
      <c r="H721" s="8">
        <v>0</v>
      </c>
      <c r="I721" s="4">
        <v>0</v>
      </c>
    </row>
    <row r="722" spans="1:9" x14ac:dyDescent="0.2">
      <c r="A722" s="2">
        <v>4</v>
      </c>
      <c r="B722" s="1" t="s">
        <v>122</v>
      </c>
      <c r="C722" s="4">
        <v>3</v>
      </c>
      <c r="D722" s="8">
        <v>4.2300000000000004</v>
      </c>
      <c r="E722" s="4">
        <v>2</v>
      </c>
      <c r="F722" s="8">
        <v>3.77</v>
      </c>
      <c r="G722" s="4">
        <v>1</v>
      </c>
      <c r="H722" s="8">
        <v>8.33</v>
      </c>
      <c r="I722" s="4">
        <v>0</v>
      </c>
    </row>
    <row r="723" spans="1:9" x14ac:dyDescent="0.2">
      <c r="A723" s="2">
        <v>5</v>
      </c>
      <c r="B723" s="1" t="s">
        <v>156</v>
      </c>
      <c r="C723" s="4">
        <v>2</v>
      </c>
      <c r="D723" s="8">
        <v>2.82</v>
      </c>
      <c r="E723" s="4">
        <v>1</v>
      </c>
      <c r="F723" s="8">
        <v>1.89</v>
      </c>
      <c r="G723" s="4">
        <v>1</v>
      </c>
      <c r="H723" s="8">
        <v>8.33</v>
      </c>
      <c r="I723" s="4">
        <v>0</v>
      </c>
    </row>
    <row r="724" spans="1:9" x14ac:dyDescent="0.2">
      <c r="A724" s="2">
        <v>5</v>
      </c>
      <c r="B724" s="1" t="s">
        <v>123</v>
      </c>
      <c r="C724" s="4">
        <v>2</v>
      </c>
      <c r="D724" s="8">
        <v>2.82</v>
      </c>
      <c r="E724" s="4">
        <v>2</v>
      </c>
      <c r="F724" s="8">
        <v>3.77</v>
      </c>
      <c r="G724" s="4">
        <v>0</v>
      </c>
      <c r="H724" s="8">
        <v>0</v>
      </c>
      <c r="I724" s="4">
        <v>0</v>
      </c>
    </row>
    <row r="725" spans="1:9" x14ac:dyDescent="0.2">
      <c r="A725" s="2">
        <v>5</v>
      </c>
      <c r="B725" s="1" t="s">
        <v>217</v>
      </c>
      <c r="C725" s="4">
        <v>2</v>
      </c>
      <c r="D725" s="8">
        <v>2.82</v>
      </c>
      <c r="E725" s="4">
        <v>2</v>
      </c>
      <c r="F725" s="8">
        <v>3.77</v>
      </c>
      <c r="G725" s="4">
        <v>0</v>
      </c>
      <c r="H725" s="8">
        <v>0</v>
      </c>
      <c r="I725" s="4">
        <v>0</v>
      </c>
    </row>
    <row r="726" spans="1:9" x14ac:dyDescent="0.2">
      <c r="A726" s="2">
        <v>5</v>
      </c>
      <c r="B726" s="1" t="s">
        <v>149</v>
      </c>
      <c r="C726" s="4">
        <v>2</v>
      </c>
      <c r="D726" s="8">
        <v>2.82</v>
      </c>
      <c r="E726" s="4">
        <v>2</v>
      </c>
      <c r="F726" s="8">
        <v>3.77</v>
      </c>
      <c r="G726" s="4">
        <v>0</v>
      </c>
      <c r="H726" s="8">
        <v>0</v>
      </c>
      <c r="I726" s="4">
        <v>0</v>
      </c>
    </row>
    <row r="727" spans="1:9" x14ac:dyDescent="0.2">
      <c r="A727" s="2">
        <v>5</v>
      </c>
      <c r="B727" s="1" t="s">
        <v>133</v>
      </c>
      <c r="C727" s="4">
        <v>2</v>
      </c>
      <c r="D727" s="8">
        <v>2.82</v>
      </c>
      <c r="E727" s="4">
        <v>1</v>
      </c>
      <c r="F727" s="8">
        <v>1.89</v>
      </c>
      <c r="G727" s="4">
        <v>1</v>
      </c>
      <c r="H727" s="8">
        <v>8.33</v>
      </c>
      <c r="I727" s="4">
        <v>0</v>
      </c>
    </row>
    <row r="728" spans="1:9" x14ac:dyDescent="0.2">
      <c r="A728" s="2">
        <v>5</v>
      </c>
      <c r="B728" s="1" t="s">
        <v>206</v>
      </c>
      <c r="C728" s="4">
        <v>2</v>
      </c>
      <c r="D728" s="8">
        <v>2.82</v>
      </c>
      <c r="E728" s="4">
        <v>2</v>
      </c>
      <c r="F728" s="8">
        <v>3.77</v>
      </c>
      <c r="G728" s="4">
        <v>0</v>
      </c>
      <c r="H728" s="8">
        <v>0</v>
      </c>
      <c r="I728" s="4">
        <v>0</v>
      </c>
    </row>
    <row r="729" spans="1:9" x14ac:dyDescent="0.2">
      <c r="A729" s="2">
        <v>5</v>
      </c>
      <c r="B729" s="1" t="s">
        <v>194</v>
      </c>
      <c r="C729" s="4">
        <v>2</v>
      </c>
      <c r="D729" s="8">
        <v>2.82</v>
      </c>
      <c r="E729" s="4">
        <v>2</v>
      </c>
      <c r="F729" s="8">
        <v>3.77</v>
      </c>
      <c r="G729" s="4">
        <v>0</v>
      </c>
      <c r="H729" s="8">
        <v>0</v>
      </c>
      <c r="I729" s="4">
        <v>0</v>
      </c>
    </row>
    <row r="730" spans="1:9" x14ac:dyDescent="0.2">
      <c r="A730" s="2">
        <v>5</v>
      </c>
      <c r="B730" s="1" t="s">
        <v>183</v>
      </c>
      <c r="C730" s="4">
        <v>2</v>
      </c>
      <c r="D730" s="8">
        <v>2.82</v>
      </c>
      <c r="E730" s="4">
        <v>0</v>
      </c>
      <c r="F730" s="8">
        <v>0</v>
      </c>
      <c r="G730" s="4">
        <v>0</v>
      </c>
      <c r="H730" s="8">
        <v>0</v>
      </c>
      <c r="I730" s="4">
        <v>0</v>
      </c>
    </row>
    <row r="731" spans="1:9" x14ac:dyDescent="0.2">
      <c r="A731" s="2">
        <v>5</v>
      </c>
      <c r="B731" s="1" t="s">
        <v>204</v>
      </c>
      <c r="C731" s="4">
        <v>2</v>
      </c>
      <c r="D731" s="8">
        <v>2.82</v>
      </c>
      <c r="E731" s="4">
        <v>1</v>
      </c>
      <c r="F731" s="8">
        <v>1.89</v>
      </c>
      <c r="G731" s="4">
        <v>1</v>
      </c>
      <c r="H731" s="8">
        <v>8.33</v>
      </c>
      <c r="I731" s="4">
        <v>0</v>
      </c>
    </row>
    <row r="732" spans="1:9" x14ac:dyDescent="0.2">
      <c r="A732" s="2">
        <v>14</v>
      </c>
      <c r="B732" s="1" t="s">
        <v>146</v>
      </c>
      <c r="C732" s="4">
        <v>1</v>
      </c>
      <c r="D732" s="8">
        <v>1.41</v>
      </c>
      <c r="E732" s="4">
        <v>1</v>
      </c>
      <c r="F732" s="8">
        <v>1.89</v>
      </c>
      <c r="G732" s="4">
        <v>0</v>
      </c>
      <c r="H732" s="8">
        <v>0</v>
      </c>
      <c r="I732" s="4">
        <v>0</v>
      </c>
    </row>
    <row r="733" spans="1:9" x14ac:dyDescent="0.2">
      <c r="A733" s="2">
        <v>14</v>
      </c>
      <c r="B733" s="1" t="s">
        <v>214</v>
      </c>
      <c r="C733" s="4">
        <v>1</v>
      </c>
      <c r="D733" s="8">
        <v>1.41</v>
      </c>
      <c r="E733" s="4">
        <v>1</v>
      </c>
      <c r="F733" s="8">
        <v>1.89</v>
      </c>
      <c r="G733" s="4">
        <v>0</v>
      </c>
      <c r="H733" s="8">
        <v>0</v>
      </c>
      <c r="I733" s="4">
        <v>0</v>
      </c>
    </row>
    <row r="734" spans="1:9" x14ac:dyDescent="0.2">
      <c r="A734" s="2">
        <v>14</v>
      </c>
      <c r="B734" s="1" t="s">
        <v>171</v>
      </c>
      <c r="C734" s="4">
        <v>1</v>
      </c>
      <c r="D734" s="8">
        <v>1.41</v>
      </c>
      <c r="E734" s="4">
        <v>0</v>
      </c>
      <c r="F734" s="8">
        <v>0</v>
      </c>
      <c r="G734" s="4">
        <v>0</v>
      </c>
      <c r="H734" s="8">
        <v>0</v>
      </c>
      <c r="I734" s="4">
        <v>0</v>
      </c>
    </row>
    <row r="735" spans="1:9" x14ac:dyDescent="0.2">
      <c r="A735" s="2">
        <v>14</v>
      </c>
      <c r="B735" s="1" t="s">
        <v>215</v>
      </c>
      <c r="C735" s="4">
        <v>1</v>
      </c>
      <c r="D735" s="8">
        <v>1.41</v>
      </c>
      <c r="E735" s="4">
        <v>1</v>
      </c>
      <c r="F735" s="8">
        <v>1.89</v>
      </c>
      <c r="G735" s="4">
        <v>0</v>
      </c>
      <c r="H735" s="8">
        <v>0</v>
      </c>
      <c r="I735" s="4">
        <v>0</v>
      </c>
    </row>
    <row r="736" spans="1:9" x14ac:dyDescent="0.2">
      <c r="A736" s="2">
        <v>14</v>
      </c>
      <c r="B736" s="1" t="s">
        <v>157</v>
      </c>
      <c r="C736" s="4">
        <v>1</v>
      </c>
      <c r="D736" s="8">
        <v>1.41</v>
      </c>
      <c r="E736" s="4">
        <v>1</v>
      </c>
      <c r="F736" s="8">
        <v>1.89</v>
      </c>
      <c r="G736" s="4">
        <v>0</v>
      </c>
      <c r="H736" s="8">
        <v>0</v>
      </c>
      <c r="I736" s="4">
        <v>0</v>
      </c>
    </row>
    <row r="737" spans="1:9" x14ac:dyDescent="0.2">
      <c r="A737" s="2">
        <v>14</v>
      </c>
      <c r="B737" s="1" t="s">
        <v>155</v>
      </c>
      <c r="C737" s="4">
        <v>1</v>
      </c>
      <c r="D737" s="8">
        <v>1.41</v>
      </c>
      <c r="E737" s="4">
        <v>1</v>
      </c>
      <c r="F737" s="8">
        <v>1.89</v>
      </c>
      <c r="G737" s="4">
        <v>0</v>
      </c>
      <c r="H737" s="8">
        <v>0</v>
      </c>
      <c r="I737" s="4">
        <v>0</v>
      </c>
    </row>
    <row r="738" spans="1:9" x14ac:dyDescent="0.2">
      <c r="A738" s="2">
        <v>14</v>
      </c>
      <c r="B738" s="1" t="s">
        <v>216</v>
      </c>
      <c r="C738" s="4">
        <v>1</v>
      </c>
      <c r="D738" s="8">
        <v>1.41</v>
      </c>
      <c r="E738" s="4">
        <v>0</v>
      </c>
      <c r="F738" s="8">
        <v>0</v>
      </c>
      <c r="G738" s="4">
        <v>1</v>
      </c>
      <c r="H738" s="8">
        <v>8.33</v>
      </c>
      <c r="I738" s="4">
        <v>0</v>
      </c>
    </row>
    <row r="739" spans="1:9" x14ac:dyDescent="0.2">
      <c r="A739" s="2">
        <v>14</v>
      </c>
      <c r="B739" s="1" t="s">
        <v>128</v>
      </c>
      <c r="C739" s="4">
        <v>1</v>
      </c>
      <c r="D739" s="8">
        <v>1.41</v>
      </c>
      <c r="E739" s="4">
        <v>0</v>
      </c>
      <c r="F739" s="8">
        <v>0</v>
      </c>
      <c r="G739" s="4">
        <v>1</v>
      </c>
      <c r="H739" s="8">
        <v>8.33</v>
      </c>
      <c r="I739" s="4">
        <v>0</v>
      </c>
    </row>
    <row r="740" spans="1:9" x14ac:dyDescent="0.2">
      <c r="A740" s="2">
        <v>14</v>
      </c>
      <c r="B740" s="1" t="s">
        <v>213</v>
      </c>
      <c r="C740" s="4">
        <v>1</v>
      </c>
      <c r="D740" s="8">
        <v>1.41</v>
      </c>
      <c r="E740" s="4">
        <v>0</v>
      </c>
      <c r="F740" s="8">
        <v>0</v>
      </c>
      <c r="G740" s="4">
        <v>1</v>
      </c>
      <c r="H740" s="8">
        <v>8.33</v>
      </c>
      <c r="I740" s="4">
        <v>0</v>
      </c>
    </row>
    <row r="741" spans="1:9" x14ac:dyDescent="0.2">
      <c r="A741" s="2">
        <v>14</v>
      </c>
      <c r="B741" s="1" t="s">
        <v>218</v>
      </c>
      <c r="C741" s="4">
        <v>1</v>
      </c>
      <c r="D741" s="8">
        <v>1.41</v>
      </c>
      <c r="E741" s="4">
        <v>1</v>
      </c>
      <c r="F741" s="8">
        <v>1.89</v>
      </c>
      <c r="G741" s="4">
        <v>0</v>
      </c>
      <c r="H741" s="8">
        <v>0</v>
      </c>
      <c r="I741" s="4">
        <v>0</v>
      </c>
    </row>
    <row r="742" spans="1:9" x14ac:dyDescent="0.2">
      <c r="A742" s="2">
        <v>14</v>
      </c>
      <c r="B742" s="1" t="s">
        <v>219</v>
      </c>
      <c r="C742" s="4">
        <v>1</v>
      </c>
      <c r="D742" s="8">
        <v>1.41</v>
      </c>
      <c r="E742" s="4">
        <v>1</v>
      </c>
      <c r="F742" s="8">
        <v>1.89</v>
      </c>
      <c r="G742" s="4">
        <v>0</v>
      </c>
      <c r="H742" s="8">
        <v>0</v>
      </c>
      <c r="I742" s="4">
        <v>0</v>
      </c>
    </row>
    <row r="743" spans="1:9" x14ac:dyDescent="0.2">
      <c r="A743" s="2">
        <v>14</v>
      </c>
      <c r="B743" s="1" t="s">
        <v>131</v>
      </c>
      <c r="C743" s="4">
        <v>1</v>
      </c>
      <c r="D743" s="8">
        <v>1.41</v>
      </c>
      <c r="E743" s="4">
        <v>0</v>
      </c>
      <c r="F743" s="8">
        <v>0</v>
      </c>
      <c r="G743" s="4">
        <v>1</v>
      </c>
      <c r="H743" s="8">
        <v>8.33</v>
      </c>
      <c r="I743" s="4">
        <v>0</v>
      </c>
    </row>
    <row r="744" spans="1:9" x14ac:dyDescent="0.2">
      <c r="A744" s="2">
        <v>14</v>
      </c>
      <c r="B744" s="1" t="s">
        <v>180</v>
      </c>
      <c r="C744" s="4">
        <v>1</v>
      </c>
      <c r="D744" s="8">
        <v>1.41</v>
      </c>
      <c r="E744" s="4">
        <v>0</v>
      </c>
      <c r="F744" s="8">
        <v>0</v>
      </c>
      <c r="G744" s="4">
        <v>0</v>
      </c>
      <c r="H744" s="8">
        <v>0</v>
      </c>
      <c r="I744" s="4">
        <v>0</v>
      </c>
    </row>
    <row r="745" spans="1:9" x14ac:dyDescent="0.2">
      <c r="A745" s="2">
        <v>14</v>
      </c>
      <c r="B745" s="1" t="s">
        <v>135</v>
      </c>
      <c r="C745" s="4">
        <v>1</v>
      </c>
      <c r="D745" s="8">
        <v>1.41</v>
      </c>
      <c r="E745" s="4">
        <v>1</v>
      </c>
      <c r="F745" s="8">
        <v>1.89</v>
      </c>
      <c r="G745" s="4">
        <v>0</v>
      </c>
      <c r="H745" s="8">
        <v>0</v>
      </c>
      <c r="I745" s="4">
        <v>0</v>
      </c>
    </row>
    <row r="746" spans="1:9" x14ac:dyDescent="0.2">
      <c r="A746" s="2">
        <v>14</v>
      </c>
      <c r="B746" s="1" t="s">
        <v>137</v>
      </c>
      <c r="C746" s="4">
        <v>1</v>
      </c>
      <c r="D746" s="8">
        <v>1.41</v>
      </c>
      <c r="E746" s="4">
        <v>1</v>
      </c>
      <c r="F746" s="8">
        <v>1.89</v>
      </c>
      <c r="G746" s="4">
        <v>0</v>
      </c>
      <c r="H746" s="8">
        <v>0</v>
      </c>
      <c r="I746" s="4">
        <v>0</v>
      </c>
    </row>
    <row r="747" spans="1:9" x14ac:dyDescent="0.2">
      <c r="A747" s="2">
        <v>14</v>
      </c>
      <c r="B747" s="1" t="s">
        <v>220</v>
      </c>
      <c r="C747" s="4">
        <v>1</v>
      </c>
      <c r="D747" s="8">
        <v>1.41</v>
      </c>
      <c r="E747" s="4">
        <v>0</v>
      </c>
      <c r="F747" s="8">
        <v>0</v>
      </c>
      <c r="G747" s="4">
        <v>0</v>
      </c>
      <c r="H747" s="8">
        <v>0</v>
      </c>
      <c r="I747" s="4">
        <v>0</v>
      </c>
    </row>
    <row r="748" spans="1:9" x14ac:dyDescent="0.2">
      <c r="A748" s="2">
        <v>14</v>
      </c>
      <c r="B748" s="1" t="s">
        <v>196</v>
      </c>
      <c r="C748" s="4">
        <v>1</v>
      </c>
      <c r="D748" s="8">
        <v>1.41</v>
      </c>
      <c r="E748" s="4">
        <v>1</v>
      </c>
      <c r="F748" s="8">
        <v>1.89</v>
      </c>
      <c r="G748" s="4">
        <v>0</v>
      </c>
      <c r="H748" s="8">
        <v>0</v>
      </c>
      <c r="I748" s="4">
        <v>0</v>
      </c>
    </row>
    <row r="749" spans="1:9" x14ac:dyDescent="0.2">
      <c r="A749" s="2">
        <v>14</v>
      </c>
      <c r="B749" s="1" t="s">
        <v>203</v>
      </c>
      <c r="C749" s="4">
        <v>1</v>
      </c>
      <c r="D749" s="8">
        <v>1.41</v>
      </c>
      <c r="E749" s="4">
        <v>0</v>
      </c>
      <c r="F749" s="8">
        <v>0</v>
      </c>
      <c r="G749" s="4">
        <v>0</v>
      </c>
      <c r="H749" s="8">
        <v>0</v>
      </c>
      <c r="I749" s="4">
        <v>0</v>
      </c>
    </row>
    <row r="750" spans="1:9" x14ac:dyDescent="0.2">
      <c r="A750" s="2">
        <v>14</v>
      </c>
      <c r="B750" s="1" t="s">
        <v>221</v>
      </c>
      <c r="C750" s="4">
        <v>1</v>
      </c>
      <c r="D750" s="8">
        <v>1.41</v>
      </c>
      <c r="E750" s="4">
        <v>0</v>
      </c>
      <c r="F750" s="8">
        <v>0</v>
      </c>
      <c r="G750" s="4">
        <v>1</v>
      </c>
      <c r="H750" s="8">
        <v>8.33</v>
      </c>
      <c r="I750" s="4">
        <v>0</v>
      </c>
    </row>
    <row r="751" spans="1:9" x14ac:dyDescent="0.2">
      <c r="A751" s="1"/>
      <c r="C751" s="4"/>
      <c r="D751" s="8"/>
      <c r="E751" s="4"/>
      <c r="F751" s="8"/>
      <c r="G751" s="4"/>
      <c r="H751" s="8"/>
      <c r="I751" s="4"/>
    </row>
    <row r="752" spans="1:9" x14ac:dyDescent="0.2">
      <c r="A752" s="1" t="s">
        <v>30</v>
      </c>
      <c r="C752" s="4"/>
      <c r="D752" s="8"/>
      <c r="E752" s="4"/>
      <c r="F752" s="8"/>
      <c r="G752" s="4"/>
      <c r="H752" s="8"/>
      <c r="I752" s="4"/>
    </row>
    <row r="753" spans="1:9" x14ac:dyDescent="0.2">
      <c r="A753" s="2">
        <v>1</v>
      </c>
      <c r="B753" s="1" t="s">
        <v>130</v>
      </c>
      <c r="C753" s="4">
        <v>39</v>
      </c>
      <c r="D753" s="8">
        <v>26</v>
      </c>
      <c r="E753" s="4">
        <v>32</v>
      </c>
      <c r="F753" s="8">
        <v>25.4</v>
      </c>
      <c r="G753" s="4">
        <v>7</v>
      </c>
      <c r="H753" s="8">
        <v>36.840000000000003</v>
      </c>
      <c r="I753" s="4">
        <v>0</v>
      </c>
    </row>
    <row r="754" spans="1:9" x14ac:dyDescent="0.2">
      <c r="A754" s="2">
        <v>2</v>
      </c>
      <c r="B754" s="1" t="s">
        <v>150</v>
      </c>
      <c r="C754" s="4">
        <v>35</v>
      </c>
      <c r="D754" s="8">
        <v>23.33</v>
      </c>
      <c r="E754" s="4">
        <v>31</v>
      </c>
      <c r="F754" s="8">
        <v>24.6</v>
      </c>
      <c r="G754" s="4">
        <v>4</v>
      </c>
      <c r="H754" s="8">
        <v>21.05</v>
      </c>
      <c r="I754" s="4">
        <v>0</v>
      </c>
    </row>
    <row r="755" spans="1:9" x14ac:dyDescent="0.2">
      <c r="A755" s="2">
        <v>3</v>
      </c>
      <c r="B755" s="1" t="s">
        <v>148</v>
      </c>
      <c r="C755" s="4">
        <v>11</v>
      </c>
      <c r="D755" s="8">
        <v>7.33</v>
      </c>
      <c r="E755" s="4">
        <v>11</v>
      </c>
      <c r="F755" s="8">
        <v>8.73</v>
      </c>
      <c r="G755" s="4">
        <v>0</v>
      </c>
      <c r="H755" s="8">
        <v>0</v>
      </c>
      <c r="I755" s="4">
        <v>0</v>
      </c>
    </row>
    <row r="756" spans="1:9" x14ac:dyDescent="0.2">
      <c r="A756" s="2">
        <v>4</v>
      </c>
      <c r="B756" s="1" t="s">
        <v>131</v>
      </c>
      <c r="C756" s="4">
        <v>6</v>
      </c>
      <c r="D756" s="8">
        <v>4</v>
      </c>
      <c r="E756" s="4">
        <v>6</v>
      </c>
      <c r="F756" s="8">
        <v>4.76</v>
      </c>
      <c r="G756" s="4">
        <v>0</v>
      </c>
      <c r="H756" s="8">
        <v>0</v>
      </c>
      <c r="I756" s="4">
        <v>0</v>
      </c>
    </row>
    <row r="757" spans="1:9" x14ac:dyDescent="0.2">
      <c r="A757" s="2">
        <v>4</v>
      </c>
      <c r="B757" s="1" t="s">
        <v>132</v>
      </c>
      <c r="C757" s="4">
        <v>6</v>
      </c>
      <c r="D757" s="8">
        <v>4</v>
      </c>
      <c r="E757" s="4">
        <v>5</v>
      </c>
      <c r="F757" s="8">
        <v>3.97</v>
      </c>
      <c r="G757" s="4">
        <v>1</v>
      </c>
      <c r="H757" s="8">
        <v>5.26</v>
      </c>
      <c r="I757" s="4">
        <v>0</v>
      </c>
    </row>
    <row r="758" spans="1:9" x14ac:dyDescent="0.2">
      <c r="A758" s="2">
        <v>6</v>
      </c>
      <c r="B758" s="1" t="s">
        <v>123</v>
      </c>
      <c r="C758" s="4">
        <v>4</v>
      </c>
      <c r="D758" s="8">
        <v>2.67</v>
      </c>
      <c r="E758" s="4">
        <v>3</v>
      </c>
      <c r="F758" s="8">
        <v>2.38</v>
      </c>
      <c r="G758" s="4">
        <v>1</v>
      </c>
      <c r="H758" s="8">
        <v>5.26</v>
      </c>
      <c r="I758" s="4">
        <v>0</v>
      </c>
    </row>
    <row r="759" spans="1:9" x14ac:dyDescent="0.2">
      <c r="A759" s="2">
        <v>6</v>
      </c>
      <c r="B759" s="1" t="s">
        <v>217</v>
      </c>
      <c r="C759" s="4">
        <v>4</v>
      </c>
      <c r="D759" s="8">
        <v>2.67</v>
      </c>
      <c r="E759" s="4">
        <v>4</v>
      </c>
      <c r="F759" s="8">
        <v>3.17</v>
      </c>
      <c r="G759" s="4">
        <v>0</v>
      </c>
      <c r="H759" s="8">
        <v>0</v>
      </c>
      <c r="I759" s="4">
        <v>0</v>
      </c>
    </row>
    <row r="760" spans="1:9" x14ac:dyDescent="0.2">
      <c r="A760" s="2">
        <v>6</v>
      </c>
      <c r="B760" s="1" t="s">
        <v>227</v>
      </c>
      <c r="C760" s="4">
        <v>4</v>
      </c>
      <c r="D760" s="8">
        <v>2.67</v>
      </c>
      <c r="E760" s="4">
        <v>4</v>
      </c>
      <c r="F760" s="8">
        <v>3.17</v>
      </c>
      <c r="G760" s="4">
        <v>0</v>
      </c>
      <c r="H760" s="8">
        <v>0</v>
      </c>
      <c r="I760" s="4">
        <v>0</v>
      </c>
    </row>
    <row r="761" spans="1:9" x14ac:dyDescent="0.2">
      <c r="A761" s="2">
        <v>9</v>
      </c>
      <c r="B761" s="1" t="s">
        <v>149</v>
      </c>
      <c r="C761" s="4">
        <v>3</v>
      </c>
      <c r="D761" s="8">
        <v>2</v>
      </c>
      <c r="E761" s="4">
        <v>3</v>
      </c>
      <c r="F761" s="8">
        <v>2.38</v>
      </c>
      <c r="G761" s="4">
        <v>0</v>
      </c>
      <c r="H761" s="8">
        <v>0</v>
      </c>
      <c r="I761" s="4">
        <v>0</v>
      </c>
    </row>
    <row r="762" spans="1:9" x14ac:dyDescent="0.2">
      <c r="A762" s="2">
        <v>9</v>
      </c>
      <c r="B762" s="1" t="s">
        <v>133</v>
      </c>
      <c r="C762" s="4">
        <v>3</v>
      </c>
      <c r="D762" s="8">
        <v>2</v>
      </c>
      <c r="E762" s="4">
        <v>3</v>
      </c>
      <c r="F762" s="8">
        <v>2.38</v>
      </c>
      <c r="G762" s="4">
        <v>0</v>
      </c>
      <c r="H762" s="8">
        <v>0</v>
      </c>
      <c r="I762" s="4">
        <v>0</v>
      </c>
    </row>
    <row r="763" spans="1:9" x14ac:dyDescent="0.2">
      <c r="A763" s="2">
        <v>9</v>
      </c>
      <c r="B763" s="1" t="s">
        <v>139</v>
      </c>
      <c r="C763" s="4">
        <v>3</v>
      </c>
      <c r="D763" s="8">
        <v>2</v>
      </c>
      <c r="E763" s="4">
        <v>3</v>
      </c>
      <c r="F763" s="8">
        <v>2.38</v>
      </c>
      <c r="G763" s="4">
        <v>0</v>
      </c>
      <c r="H763" s="8">
        <v>0</v>
      </c>
      <c r="I763" s="4">
        <v>0</v>
      </c>
    </row>
    <row r="764" spans="1:9" x14ac:dyDescent="0.2">
      <c r="A764" s="2">
        <v>12</v>
      </c>
      <c r="B764" s="1" t="s">
        <v>214</v>
      </c>
      <c r="C764" s="4">
        <v>2</v>
      </c>
      <c r="D764" s="8">
        <v>1.33</v>
      </c>
      <c r="E764" s="4">
        <v>1</v>
      </c>
      <c r="F764" s="8">
        <v>0.79</v>
      </c>
      <c r="G764" s="4">
        <v>1</v>
      </c>
      <c r="H764" s="8">
        <v>5.26</v>
      </c>
      <c r="I764" s="4">
        <v>0</v>
      </c>
    </row>
    <row r="765" spans="1:9" x14ac:dyDescent="0.2">
      <c r="A765" s="2">
        <v>12</v>
      </c>
      <c r="B765" s="1" t="s">
        <v>224</v>
      </c>
      <c r="C765" s="4">
        <v>2</v>
      </c>
      <c r="D765" s="8">
        <v>1.33</v>
      </c>
      <c r="E765" s="4">
        <v>2</v>
      </c>
      <c r="F765" s="8">
        <v>1.59</v>
      </c>
      <c r="G765" s="4">
        <v>0</v>
      </c>
      <c r="H765" s="8">
        <v>0</v>
      </c>
      <c r="I765" s="4">
        <v>0</v>
      </c>
    </row>
    <row r="766" spans="1:9" x14ac:dyDescent="0.2">
      <c r="A766" s="2">
        <v>12</v>
      </c>
      <c r="B766" s="1" t="s">
        <v>143</v>
      </c>
      <c r="C766" s="4">
        <v>2</v>
      </c>
      <c r="D766" s="8">
        <v>1.33</v>
      </c>
      <c r="E766" s="4">
        <v>2</v>
      </c>
      <c r="F766" s="8">
        <v>1.59</v>
      </c>
      <c r="G766" s="4">
        <v>0</v>
      </c>
      <c r="H766" s="8">
        <v>0</v>
      </c>
      <c r="I766" s="4">
        <v>0</v>
      </c>
    </row>
    <row r="767" spans="1:9" x14ac:dyDescent="0.2">
      <c r="A767" s="2">
        <v>12</v>
      </c>
      <c r="B767" s="1" t="s">
        <v>144</v>
      </c>
      <c r="C767" s="4">
        <v>2</v>
      </c>
      <c r="D767" s="8">
        <v>1.33</v>
      </c>
      <c r="E767" s="4">
        <v>2</v>
      </c>
      <c r="F767" s="8">
        <v>1.59</v>
      </c>
      <c r="G767" s="4">
        <v>0</v>
      </c>
      <c r="H767" s="8">
        <v>0</v>
      </c>
      <c r="I767" s="4">
        <v>0</v>
      </c>
    </row>
    <row r="768" spans="1:9" x14ac:dyDescent="0.2">
      <c r="A768" s="2">
        <v>12</v>
      </c>
      <c r="B768" s="1" t="s">
        <v>153</v>
      </c>
      <c r="C768" s="4">
        <v>2</v>
      </c>
      <c r="D768" s="8">
        <v>1.33</v>
      </c>
      <c r="E768" s="4">
        <v>2</v>
      </c>
      <c r="F768" s="8">
        <v>1.59</v>
      </c>
      <c r="G768" s="4">
        <v>0</v>
      </c>
      <c r="H768" s="8">
        <v>0</v>
      </c>
      <c r="I768" s="4">
        <v>0</v>
      </c>
    </row>
    <row r="769" spans="1:9" x14ac:dyDescent="0.2">
      <c r="A769" s="2">
        <v>12</v>
      </c>
      <c r="B769" s="1" t="s">
        <v>134</v>
      </c>
      <c r="C769" s="4">
        <v>2</v>
      </c>
      <c r="D769" s="8">
        <v>1.33</v>
      </c>
      <c r="E769" s="4">
        <v>2</v>
      </c>
      <c r="F769" s="8">
        <v>1.59</v>
      </c>
      <c r="G769" s="4">
        <v>0</v>
      </c>
      <c r="H769" s="8">
        <v>0</v>
      </c>
      <c r="I769" s="4">
        <v>0</v>
      </c>
    </row>
    <row r="770" spans="1:9" x14ac:dyDescent="0.2">
      <c r="A770" s="2">
        <v>12</v>
      </c>
      <c r="B770" s="1" t="s">
        <v>161</v>
      </c>
      <c r="C770" s="4">
        <v>2</v>
      </c>
      <c r="D770" s="8">
        <v>1.33</v>
      </c>
      <c r="E770" s="4">
        <v>2</v>
      </c>
      <c r="F770" s="8">
        <v>1.59</v>
      </c>
      <c r="G770" s="4">
        <v>0</v>
      </c>
      <c r="H770" s="8">
        <v>0</v>
      </c>
      <c r="I770" s="4">
        <v>0</v>
      </c>
    </row>
    <row r="771" spans="1:9" x14ac:dyDescent="0.2">
      <c r="A771" s="2">
        <v>19</v>
      </c>
      <c r="B771" s="1" t="s">
        <v>122</v>
      </c>
      <c r="C771" s="4">
        <v>1</v>
      </c>
      <c r="D771" s="8">
        <v>0.67</v>
      </c>
      <c r="E771" s="4">
        <v>0</v>
      </c>
      <c r="F771" s="8">
        <v>0</v>
      </c>
      <c r="G771" s="4">
        <v>1</v>
      </c>
      <c r="H771" s="8">
        <v>5.26</v>
      </c>
      <c r="I771" s="4">
        <v>0</v>
      </c>
    </row>
    <row r="772" spans="1:9" x14ac:dyDescent="0.2">
      <c r="A772" s="2">
        <v>19</v>
      </c>
      <c r="B772" s="1" t="s">
        <v>222</v>
      </c>
      <c r="C772" s="4">
        <v>1</v>
      </c>
      <c r="D772" s="8">
        <v>0.67</v>
      </c>
      <c r="E772" s="4">
        <v>1</v>
      </c>
      <c r="F772" s="8">
        <v>0.79</v>
      </c>
      <c r="G772" s="4">
        <v>0</v>
      </c>
      <c r="H772" s="8">
        <v>0</v>
      </c>
      <c r="I772" s="4">
        <v>0</v>
      </c>
    </row>
    <row r="773" spans="1:9" x14ac:dyDescent="0.2">
      <c r="A773" s="2">
        <v>19</v>
      </c>
      <c r="B773" s="1" t="s">
        <v>223</v>
      </c>
      <c r="C773" s="4">
        <v>1</v>
      </c>
      <c r="D773" s="8">
        <v>0.67</v>
      </c>
      <c r="E773" s="4">
        <v>1</v>
      </c>
      <c r="F773" s="8">
        <v>0.79</v>
      </c>
      <c r="G773" s="4">
        <v>0</v>
      </c>
      <c r="H773" s="8">
        <v>0</v>
      </c>
      <c r="I773" s="4">
        <v>0</v>
      </c>
    </row>
    <row r="774" spans="1:9" x14ac:dyDescent="0.2">
      <c r="A774" s="2">
        <v>19</v>
      </c>
      <c r="B774" s="1" t="s">
        <v>146</v>
      </c>
      <c r="C774" s="4">
        <v>1</v>
      </c>
      <c r="D774" s="8">
        <v>0.67</v>
      </c>
      <c r="E774" s="4">
        <v>1</v>
      </c>
      <c r="F774" s="8">
        <v>0.79</v>
      </c>
      <c r="G774" s="4">
        <v>0</v>
      </c>
      <c r="H774" s="8">
        <v>0</v>
      </c>
      <c r="I774" s="4">
        <v>0</v>
      </c>
    </row>
    <row r="775" spans="1:9" x14ac:dyDescent="0.2">
      <c r="A775" s="2">
        <v>19</v>
      </c>
      <c r="B775" s="1" t="s">
        <v>172</v>
      </c>
      <c r="C775" s="4">
        <v>1</v>
      </c>
      <c r="D775" s="8">
        <v>0.67</v>
      </c>
      <c r="E775" s="4">
        <v>0</v>
      </c>
      <c r="F775" s="8">
        <v>0</v>
      </c>
      <c r="G775" s="4">
        <v>0</v>
      </c>
      <c r="H775" s="8">
        <v>0</v>
      </c>
      <c r="I775" s="4">
        <v>0</v>
      </c>
    </row>
    <row r="776" spans="1:9" x14ac:dyDescent="0.2">
      <c r="A776" s="2">
        <v>19</v>
      </c>
      <c r="B776" s="1" t="s">
        <v>225</v>
      </c>
      <c r="C776" s="4">
        <v>1</v>
      </c>
      <c r="D776" s="8">
        <v>0.67</v>
      </c>
      <c r="E776" s="4">
        <v>0</v>
      </c>
      <c r="F776" s="8">
        <v>0</v>
      </c>
      <c r="G776" s="4">
        <v>0</v>
      </c>
      <c r="H776" s="8">
        <v>0</v>
      </c>
      <c r="I776" s="4">
        <v>0</v>
      </c>
    </row>
    <row r="777" spans="1:9" x14ac:dyDescent="0.2">
      <c r="A777" s="2">
        <v>19</v>
      </c>
      <c r="B777" s="1" t="s">
        <v>226</v>
      </c>
      <c r="C777" s="4">
        <v>1</v>
      </c>
      <c r="D777" s="8">
        <v>0.67</v>
      </c>
      <c r="E777" s="4">
        <v>1</v>
      </c>
      <c r="F777" s="8">
        <v>0.79</v>
      </c>
      <c r="G777" s="4">
        <v>0</v>
      </c>
      <c r="H777" s="8">
        <v>0</v>
      </c>
      <c r="I777" s="4">
        <v>0</v>
      </c>
    </row>
    <row r="778" spans="1:9" x14ac:dyDescent="0.2">
      <c r="A778" s="2">
        <v>19</v>
      </c>
      <c r="B778" s="1" t="s">
        <v>156</v>
      </c>
      <c r="C778" s="4">
        <v>1</v>
      </c>
      <c r="D778" s="8">
        <v>0.67</v>
      </c>
      <c r="E778" s="4">
        <v>1</v>
      </c>
      <c r="F778" s="8">
        <v>0.79</v>
      </c>
      <c r="G778" s="4">
        <v>0</v>
      </c>
      <c r="H778" s="8">
        <v>0</v>
      </c>
      <c r="I778" s="4">
        <v>0</v>
      </c>
    </row>
    <row r="779" spans="1:9" x14ac:dyDescent="0.2">
      <c r="A779" s="2">
        <v>19</v>
      </c>
      <c r="B779" s="1" t="s">
        <v>199</v>
      </c>
      <c r="C779" s="4">
        <v>1</v>
      </c>
      <c r="D779" s="8">
        <v>0.67</v>
      </c>
      <c r="E779" s="4">
        <v>1</v>
      </c>
      <c r="F779" s="8">
        <v>0.79</v>
      </c>
      <c r="G779" s="4">
        <v>0</v>
      </c>
      <c r="H779" s="8">
        <v>0</v>
      </c>
      <c r="I779" s="4">
        <v>0</v>
      </c>
    </row>
    <row r="780" spans="1:9" x14ac:dyDescent="0.2">
      <c r="A780" s="2">
        <v>19</v>
      </c>
      <c r="B780" s="1" t="s">
        <v>160</v>
      </c>
      <c r="C780" s="4">
        <v>1</v>
      </c>
      <c r="D780" s="8">
        <v>0.67</v>
      </c>
      <c r="E780" s="4">
        <v>0</v>
      </c>
      <c r="F780" s="8">
        <v>0</v>
      </c>
      <c r="G780" s="4">
        <v>1</v>
      </c>
      <c r="H780" s="8">
        <v>5.26</v>
      </c>
      <c r="I780" s="4">
        <v>0</v>
      </c>
    </row>
    <row r="781" spans="1:9" x14ac:dyDescent="0.2">
      <c r="A781" s="2">
        <v>19</v>
      </c>
      <c r="B781" s="1" t="s">
        <v>126</v>
      </c>
      <c r="C781" s="4">
        <v>1</v>
      </c>
      <c r="D781" s="8">
        <v>0.67</v>
      </c>
      <c r="E781" s="4">
        <v>0</v>
      </c>
      <c r="F781" s="8">
        <v>0</v>
      </c>
      <c r="G781" s="4">
        <v>1</v>
      </c>
      <c r="H781" s="8">
        <v>5.26</v>
      </c>
      <c r="I781" s="4">
        <v>0</v>
      </c>
    </row>
    <row r="782" spans="1:9" x14ac:dyDescent="0.2">
      <c r="A782" s="2">
        <v>19</v>
      </c>
      <c r="B782" s="1" t="s">
        <v>213</v>
      </c>
      <c r="C782" s="4">
        <v>1</v>
      </c>
      <c r="D782" s="8">
        <v>0.67</v>
      </c>
      <c r="E782" s="4">
        <v>0</v>
      </c>
      <c r="F782" s="8">
        <v>0</v>
      </c>
      <c r="G782" s="4">
        <v>1</v>
      </c>
      <c r="H782" s="8">
        <v>5.26</v>
      </c>
      <c r="I782" s="4">
        <v>0</v>
      </c>
    </row>
    <row r="783" spans="1:9" x14ac:dyDescent="0.2">
      <c r="A783" s="2">
        <v>19</v>
      </c>
      <c r="B783" s="1" t="s">
        <v>228</v>
      </c>
      <c r="C783" s="4">
        <v>1</v>
      </c>
      <c r="D783" s="8">
        <v>0.67</v>
      </c>
      <c r="E783" s="4">
        <v>1</v>
      </c>
      <c r="F783" s="8">
        <v>0.79</v>
      </c>
      <c r="G783" s="4">
        <v>0</v>
      </c>
      <c r="H783" s="8">
        <v>0</v>
      </c>
      <c r="I783" s="4">
        <v>0</v>
      </c>
    </row>
    <row r="784" spans="1:9" x14ac:dyDescent="0.2">
      <c r="A784" s="2">
        <v>19</v>
      </c>
      <c r="B784" s="1" t="s">
        <v>206</v>
      </c>
      <c r="C784" s="4">
        <v>1</v>
      </c>
      <c r="D784" s="8">
        <v>0.67</v>
      </c>
      <c r="E784" s="4">
        <v>1</v>
      </c>
      <c r="F784" s="8">
        <v>0.79</v>
      </c>
      <c r="G784" s="4">
        <v>0</v>
      </c>
      <c r="H784" s="8">
        <v>0</v>
      </c>
      <c r="I784" s="4">
        <v>0</v>
      </c>
    </row>
    <row r="785" spans="1:9" x14ac:dyDescent="0.2">
      <c r="A785" s="2">
        <v>19</v>
      </c>
      <c r="B785" s="1" t="s">
        <v>180</v>
      </c>
      <c r="C785" s="4">
        <v>1</v>
      </c>
      <c r="D785" s="8">
        <v>0.67</v>
      </c>
      <c r="E785" s="4">
        <v>0</v>
      </c>
      <c r="F785" s="8">
        <v>0</v>
      </c>
      <c r="G785" s="4">
        <v>0</v>
      </c>
      <c r="H785" s="8">
        <v>0</v>
      </c>
      <c r="I785" s="4">
        <v>0</v>
      </c>
    </row>
    <row r="786" spans="1:9" x14ac:dyDescent="0.2">
      <c r="A786" s="2">
        <v>19</v>
      </c>
      <c r="B786" s="1" t="s">
        <v>220</v>
      </c>
      <c r="C786" s="4">
        <v>1</v>
      </c>
      <c r="D786" s="8">
        <v>0.67</v>
      </c>
      <c r="E786" s="4">
        <v>0</v>
      </c>
      <c r="F786" s="8">
        <v>0</v>
      </c>
      <c r="G786" s="4">
        <v>0</v>
      </c>
      <c r="H786" s="8">
        <v>0</v>
      </c>
      <c r="I786" s="4">
        <v>0</v>
      </c>
    </row>
    <row r="787" spans="1:9" x14ac:dyDescent="0.2">
      <c r="A787" s="2">
        <v>19</v>
      </c>
      <c r="B787" s="1" t="s">
        <v>183</v>
      </c>
      <c r="C787" s="4">
        <v>1</v>
      </c>
      <c r="D787" s="8">
        <v>0.67</v>
      </c>
      <c r="E787" s="4">
        <v>0</v>
      </c>
      <c r="F787" s="8">
        <v>0</v>
      </c>
      <c r="G787" s="4">
        <v>0</v>
      </c>
      <c r="H787" s="8">
        <v>0</v>
      </c>
      <c r="I787" s="4">
        <v>0</v>
      </c>
    </row>
    <row r="788" spans="1:9" x14ac:dyDescent="0.2">
      <c r="A788" s="2">
        <v>19</v>
      </c>
      <c r="B788" s="1" t="s">
        <v>229</v>
      </c>
      <c r="C788" s="4">
        <v>1</v>
      </c>
      <c r="D788" s="8">
        <v>0.67</v>
      </c>
      <c r="E788" s="4">
        <v>0</v>
      </c>
      <c r="F788" s="8">
        <v>0</v>
      </c>
      <c r="G788" s="4">
        <v>1</v>
      </c>
      <c r="H788" s="8">
        <v>5.26</v>
      </c>
      <c r="I788" s="4">
        <v>0</v>
      </c>
    </row>
    <row r="789" spans="1:9" x14ac:dyDescent="0.2">
      <c r="A789" s="1"/>
      <c r="C789" s="4"/>
      <c r="D789" s="8"/>
      <c r="E789" s="4"/>
      <c r="F789" s="8"/>
      <c r="G789" s="4"/>
      <c r="H789" s="8"/>
      <c r="I789" s="4"/>
    </row>
    <row r="790" spans="1:9" x14ac:dyDescent="0.2">
      <c r="A790" s="1" t="s">
        <v>31</v>
      </c>
      <c r="C790" s="4"/>
      <c r="D790" s="8"/>
      <c r="E790" s="4"/>
      <c r="F790" s="8"/>
      <c r="G790" s="4"/>
      <c r="H790" s="8"/>
      <c r="I790" s="4"/>
    </row>
    <row r="791" spans="1:9" x14ac:dyDescent="0.2">
      <c r="A791" s="2">
        <v>1</v>
      </c>
      <c r="B791" s="1" t="s">
        <v>130</v>
      </c>
      <c r="C791" s="4">
        <v>9</v>
      </c>
      <c r="D791" s="8">
        <v>23.68</v>
      </c>
      <c r="E791" s="4">
        <v>9</v>
      </c>
      <c r="F791" s="8">
        <v>30</v>
      </c>
      <c r="G791" s="4">
        <v>0</v>
      </c>
      <c r="H791" s="8">
        <v>0</v>
      </c>
      <c r="I791" s="4">
        <v>0</v>
      </c>
    </row>
    <row r="792" spans="1:9" x14ac:dyDescent="0.2">
      <c r="A792" s="2">
        <v>2</v>
      </c>
      <c r="B792" s="1" t="s">
        <v>123</v>
      </c>
      <c r="C792" s="4">
        <v>3</v>
      </c>
      <c r="D792" s="8">
        <v>7.89</v>
      </c>
      <c r="E792" s="4">
        <v>2</v>
      </c>
      <c r="F792" s="8">
        <v>6.67</v>
      </c>
      <c r="G792" s="4">
        <v>0</v>
      </c>
      <c r="H792" s="8">
        <v>0</v>
      </c>
      <c r="I792" s="4">
        <v>1</v>
      </c>
    </row>
    <row r="793" spans="1:9" x14ac:dyDescent="0.2">
      <c r="A793" s="2">
        <v>3</v>
      </c>
      <c r="B793" s="1" t="s">
        <v>163</v>
      </c>
      <c r="C793" s="4">
        <v>2</v>
      </c>
      <c r="D793" s="8">
        <v>5.26</v>
      </c>
      <c r="E793" s="4">
        <v>1</v>
      </c>
      <c r="F793" s="8">
        <v>3.33</v>
      </c>
      <c r="G793" s="4">
        <v>1</v>
      </c>
      <c r="H793" s="8">
        <v>25</v>
      </c>
      <c r="I793" s="4">
        <v>0</v>
      </c>
    </row>
    <row r="794" spans="1:9" x14ac:dyDescent="0.2">
      <c r="A794" s="2">
        <v>3</v>
      </c>
      <c r="B794" s="1" t="s">
        <v>144</v>
      </c>
      <c r="C794" s="4">
        <v>2</v>
      </c>
      <c r="D794" s="8">
        <v>5.26</v>
      </c>
      <c r="E794" s="4">
        <v>2</v>
      </c>
      <c r="F794" s="8">
        <v>6.67</v>
      </c>
      <c r="G794" s="4">
        <v>0</v>
      </c>
      <c r="H794" s="8">
        <v>0</v>
      </c>
      <c r="I794" s="4">
        <v>0</v>
      </c>
    </row>
    <row r="795" spans="1:9" x14ac:dyDescent="0.2">
      <c r="A795" s="2">
        <v>3</v>
      </c>
      <c r="B795" s="1" t="s">
        <v>160</v>
      </c>
      <c r="C795" s="4">
        <v>2</v>
      </c>
      <c r="D795" s="8">
        <v>5.26</v>
      </c>
      <c r="E795" s="4">
        <v>2</v>
      </c>
      <c r="F795" s="8">
        <v>6.67</v>
      </c>
      <c r="G795" s="4">
        <v>0</v>
      </c>
      <c r="H795" s="8">
        <v>0</v>
      </c>
      <c r="I795" s="4">
        <v>0</v>
      </c>
    </row>
    <row r="796" spans="1:9" x14ac:dyDescent="0.2">
      <c r="A796" s="2">
        <v>3</v>
      </c>
      <c r="B796" s="1" t="s">
        <v>150</v>
      </c>
      <c r="C796" s="4">
        <v>2</v>
      </c>
      <c r="D796" s="8">
        <v>5.26</v>
      </c>
      <c r="E796" s="4">
        <v>2</v>
      </c>
      <c r="F796" s="8">
        <v>6.67</v>
      </c>
      <c r="G796" s="4">
        <v>0</v>
      </c>
      <c r="H796" s="8">
        <v>0</v>
      </c>
      <c r="I796" s="4">
        <v>0</v>
      </c>
    </row>
    <row r="797" spans="1:9" x14ac:dyDescent="0.2">
      <c r="A797" s="2">
        <v>7</v>
      </c>
      <c r="B797" s="1" t="s">
        <v>151</v>
      </c>
      <c r="C797" s="4">
        <v>1</v>
      </c>
      <c r="D797" s="8">
        <v>2.63</v>
      </c>
      <c r="E797" s="4">
        <v>1</v>
      </c>
      <c r="F797" s="8">
        <v>3.33</v>
      </c>
      <c r="G797" s="4">
        <v>0</v>
      </c>
      <c r="H797" s="8">
        <v>0</v>
      </c>
      <c r="I797" s="4">
        <v>0</v>
      </c>
    </row>
    <row r="798" spans="1:9" x14ac:dyDescent="0.2">
      <c r="A798" s="2">
        <v>7</v>
      </c>
      <c r="B798" s="1" t="s">
        <v>230</v>
      </c>
      <c r="C798" s="4">
        <v>1</v>
      </c>
      <c r="D798" s="8">
        <v>2.63</v>
      </c>
      <c r="E798" s="4">
        <v>0</v>
      </c>
      <c r="F798" s="8">
        <v>0</v>
      </c>
      <c r="G798" s="4">
        <v>1</v>
      </c>
      <c r="H798" s="8">
        <v>25</v>
      </c>
      <c r="I798" s="4">
        <v>0</v>
      </c>
    </row>
    <row r="799" spans="1:9" x14ac:dyDescent="0.2">
      <c r="A799" s="2">
        <v>7</v>
      </c>
      <c r="B799" s="1" t="s">
        <v>214</v>
      </c>
      <c r="C799" s="4">
        <v>1</v>
      </c>
      <c r="D799" s="8">
        <v>2.63</v>
      </c>
      <c r="E799" s="4">
        <v>1</v>
      </c>
      <c r="F799" s="8">
        <v>3.33</v>
      </c>
      <c r="G799" s="4">
        <v>0</v>
      </c>
      <c r="H799" s="8">
        <v>0</v>
      </c>
      <c r="I799" s="4">
        <v>0</v>
      </c>
    </row>
    <row r="800" spans="1:9" x14ac:dyDescent="0.2">
      <c r="A800" s="2">
        <v>7</v>
      </c>
      <c r="B800" s="1" t="s">
        <v>231</v>
      </c>
      <c r="C800" s="4">
        <v>1</v>
      </c>
      <c r="D800" s="8">
        <v>2.63</v>
      </c>
      <c r="E800" s="4">
        <v>0</v>
      </c>
      <c r="F800" s="8">
        <v>0</v>
      </c>
      <c r="G800" s="4">
        <v>1</v>
      </c>
      <c r="H800" s="8">
        <v>25</v>
      </c>
      <c r="I800" s="4">
        <v>0</v>
      </c>
    </row>
    <row r="801" spans="1:9" x14ac:dyDescent="0.2">
      <c r="A801" s="2">
        <v>7</v>
      </c>
      <c r="B801" s="1" t="s">
        <v>171</v>
      </c>
      <c r="C801" s="4">
        <v>1</v>
      </c>
      <c r="D801" s="8">
        <v>2.63</v>
      </c>
      <c r="E801" s="4">
        <v>0</v>
      </c>
      <c r="F801" s="8">
        <v>0</v>
      </c>
      <c r="G801" s="4">
        <v>0</v>
      </c>
      <c r="H801" s="8">
        <v>0</v>
      </c>
      <c r="I801" s="4">
        <v>0</v>
      </c>
    </row>
    <row r="802" spans="1:9" x14ac:dyDescent="0.2">
      <c r="A802" s="2">
        <v>7</v>
      </c>
      <c r="B802" s="1" t="s">
        <v>155</v>
      </c>
      <c r="C802" s="4">
        <v>1</v>
      </c>
      <c r="D802" s="8">
        <v>2.63</v>
      </c>
      <c r="E802" s="4">
        <v>1</v>
      </c>
      <c r="F802" s="8">
        <v>3.33</v>
      </c>
      <c r="G802" s="4">
        <v>0</v>
      </c>
      <c r="H802" s="8">
        <v>0</v>
      </c>
      <c r="I802" s="4">
        <v>0</v>
      </c>
    </row>
    <row r="803" spans="1:9" x14ac:dyDescent="0.2">
      <c r="A803" s="2">
        <v>7</v>
      </c>
      <c r="B803" s="1" t="s">
        <v>224</v>
      </c>
      <c r="C803" s="4">
        <v>1</v>
      </c>
      <c r="D803" s="8">
        <v>2.63</v>
      </c>
      <c r="E803" s="4">
        <v>1</v>
      </c>
      <c r="F803" s="8">
        <v>3.33</v>
      </c>
      <c r="G803" s="4">
        <v>0</v>
      </c>
      <c r="H803" s="8">
        <v>0</v>
      </c>
      <c r="I803" s="4">
        <v>0</v>
      </c>
    </row>
    <row r="804" spans="1:9" x14ac:dyDescent="0.2">
      <c r="A804" s="2">
        <v>7</v>
      </c>
      <c r="B804" s="1" t="s">
        <v>225</v>
      </c>
      <c r="C804" s="4">
        <v>1</v>
      </c>
      <c r="D804" s="8">
        <v>2.63</v>
      </c>
      <c r="E804" s="4">
        <v>0</v>
      </c>
      <c r="F804" s="8">
        <v>0</v>
      </c>
      <c r="G804" s="4">
        <v>0</v>
      </c>
      <c r="H804" s="8">
        <v>0</v>
      </c>
      <c r="I804" s="4">
        <v>0</v>
      </c>
    </row>
    <row r="805" spans="1:9" x14ac:dyDescent="0.2">
      <c r="A805" s="2">
        <v>7</v>
      </c>
      <c r="B805" s="1" t="s">
        <v>232</v>
      </c>
      <c r="C805" s="4">
        <v>1</v>
      </c>
      <c r="D805" s="8">
        <v>2.63</v>
      </c>
      <c r="E805" s="4">
        <v>1</v>
      </c>
      <c r="F805" s="8">
        <v>3.33</v>
      </c>
      <c r="G805" s="4">
        <v>0</v>
      </c>
      <c r="H805" s="8">
        <v>0</v>
      </c>
      <c r="I805" s="4">
        <v>0</v>
      </c>
    </row>
    <row r="806" spans="1:9" x14ac:dyDescent="0.2">
      <c r="A806" s="2">
        <v>7</v>
      </c>
      <c r="B806" s="1" t="s">
        <v>156</v>
      </c>
      <c r="C806" s="4">
        <v>1</v>
      </c>
      <c r="D806" s="8">
        <v>2.63</v>
      </c>
      <c r="E806" s="4">
        <v>1</v>
      </c>
      <c r="F806" s="8">
        <v>3.33</v>
      </c>
      <c r="G806" s="4">
        <v>0</v>
      </c>
      <c r="H806" s="8">
        <v>0</v>
      </c>
      <c r="I806" s="4">
        <v>0</v>
      </c>
    </row>
    <row r="807" spans="1:9" x14ac:dyDescent="0.2">
      <c r="A807" s="2">
        <v>7</v>
      </c>
      <c r="B807" s="1" t="s">
        <v>153</v>
      </c>
      <c r="C807" s="4">
        <v>1</v>
      </c>
      <c r="D807" s="8">
        <v>2.63</v>
      </c>
      <c r="E807" s="4">
        <v>1</v>
      </c>
      <c r="F807" s="8">
        <v>3.33</v>
      </c>
      <c r="G807" s="4">
        <v>0</v>
      </c>
      <c r="H807" s="8">
        <v>0</v>
      </c>
      <c r="I807" s="4">
        <v>0</v>
      </c>
    </row>
    <row r="808" spans="1:9" x14ac:dyDescent="0.2">
      <c r="A808" s="2">
        <v>7</v>
      </c>
      <c r="B808" s="1" t="s">
        <v>126</v>
      </c>
      <c r="C808" s="4">
        <v>1</v>
      </c>
      <c r="D808" s="8">
        <v>2.63</v>
      </c>
      <c r="E808" s="4">
        <v>1</v>
      </c>
      <c r="F808" s="8">
        <v>3.33</v>
      </c>
      <c r="G808" s="4">
        <v>0</v>
      </c>
      <c r="H808" s="8">
        <v>0</v>
      </c>
      <c r="I808" s="4">
        <v>0</v>
      </c>
    </row>
    <row r="809" spans="1:9" x14ac:dyDescent="0.2">
      <c r="A809" s="2">
        <v>7</v>
      </c>
      <c r="B809" s="1" t="s">
        <v>149</v>
      </c>
      <c r="C809" s="4">
        <v>1</v>
      </c>
      <c r="D809" s="8">
        <v>2.63</v>
      </c>
      <c r="E809" s="4">
        <v>1</v>
      </c>
      <c r="F809" s="8">
        <v>3.33</v>
      </c>
      <c r="G809" s="4">
        <v>0</v>
      </c>
      <c r="H809" s="8">
        <v>0</v>
      </c>
      <c r="I809" s="4">
        <v>0</v>
      </c>
    </row>
    <row r="810" spans="1:9" x14ac:dyDescent="0.2">
      <c r="A810" s="2">
        <v>7</v>
      </c>
      <c r="B810" s="1" t="s">
        <v>131</v>
      </c>
      <c r="C810" s="4">
        <v>1</v>
      </c>
      <c r="D810" s="8">
        <v>2.63</v>
      </c>
      <c r="E810" s="4">
        <v>1</v>
      </c>
      <c r="F810" s="8">
        <v>3.33</v>
      </c>
      <c r="G810" s="4">
        <v>0</v>
      </c>
      <c r="H810" s="8">
        <v>0</v>
      </c>
      <c r="I810" s="4">
        <v>0</v>
      </c>
    </row>
    <row r="811" spans="1:9" x14ac:dyDescent="0.2">
      <c r="A811" s="2">
        <v>7</v>
      </c>
      <c r="B811" s="1" t="s">
        <v>132</v>
      </c>
      <c r="C811" s="4">
        <v>1</v>
      </c>
      <c r="D811" s="8">
        <v>2.63</v>
      </c>
      <c r="E811" s="4">
        <v>1</v>
      </c>
      <c r="F811" s="8">
        <v>3.33</v>
      </c>
      <c r="G811" s="4">
        <v>0</v>
      </c>
      <c r="H811" s="8">
        <v>0</v>
      </c>
      <c r="I811" s="4">
        <v>0</v>
      </c>
    </row>
    <row r="812" spans="1:9" x14ac:dyDescent="0.2">
      <c r="A812" s="2">
        <v>7</v>
      </c>
      <c r="B812" s="1" t="s">
        <v>194</v>
      </c>
      <c r="C812" s="4">
        <v>1</v>
      </c>
      <c r="D812" s="8">
        <v>2.63</v>
      </c>
      <c r="E812" s="4">
        <v>1</v>
      </c>
      <c r="F812" s="8">
        <v>3.33</v>
      </c>
      <c r="G812" s="4">
        <v>0</v>
      </c>
      <c r="H812" s="8">
        <v>0</v>
      </c>
      <c r="I812" s="4">
        <v>0</v>
      </c>
    </row>
    <row r="813" spans="1:9" x14ac:dyDescent="0.2">
      <c r="A813" s="2">
        <v>7</v>
      </c>
      <c r="B813" s="1" t="s">
        <v>152</v>
      </c>
      <c r="C813" s="4">
        <v>1</v>
      </c>
      <c r="D813" s="8">
        <v>2.63</v>
      </c>
      <c r="E813" s="4">
        <v>0</v>
      </c>
      <c r="F813" s="8">
        <v>0</v>
      </c>
      <c r="G813" s="4">
        <v>0</v>
      </c>
      <c r="H813" s="8">
        <v>0</v>
      </c>
      <c r="I813" s="4">
        <v>0</v>
      </c>
    </row>
    <row r="814" spans="1:9" x14ac:dyDescent="0.2">
      <c r="A814" s="2">
        <v>7</v>
      </c>
      <c r="B814" s="1" t="s">
        <v>229</v>
      </c>
      <c r="C814" s="4">
        <v>1</v>
      </c>
      <c r="D814" s="8">
        <v>2.63</v>
      </c>
      <c r="E814" s="4">
        <v>0</v>
      </c>
      <c r="F814" s="8">
        <v>0</v>
      </c>
      <c r="G814" s="4">
        <v>1</v>
      </c>
      <c r="H814" s="8">
        <v>25</v>
      </c>
      <c r="I814" s="4">
        <v>0</v>
      </c>
    </row>
    <row r="815" spans="1:9" x14ac:dyDescent="0.2">
      <c r="A815" s="1"/>
      <c r="C815" s="4"/>
      <c r="D815" s="8"/>
      <c r="E815" s="4"/>
      <c r="F815" s="8"/>
      <c r="G815" s="4"/>
      <c r="H815" s="8"/>
      <c r="I815" s="4"/>
    </row>
    <row r="816" spans="1:9" x14ac:dyDescent="0.2">
      <c r="A816" s="1" t="s">
        <v>32</v>
      </c>
      <c r="C816" s="4"/>
      <c r="D816" s="8"/>
      <c r="E816" s="4"/>
      <c r="F816" s="8"/>
      <c r="G816" s="4"/>
      <c r="H816" s="8"/>
      <c r="I816" s="4"/>
    </row>
    <row r="817" spans="1:9" x14ac:dyDescent="0.2">
      <c r="A817" s="2">
        <v>1</v>
      </c>
      <c r="B817" s="1" t="s">
        <v>130</v>
      </c>
      <c r="C817" s="4">
        <v>4</v>
      </c>
      <c r="D817" s="8">
        <v>25</v>
      </c>
      <c r="E817" s="4">
        <v>3</v>
      </c>
      <c r="F817" s="8">
        <v>33.33</v>
      </c>
      <c r="G817" s="4">
        <v>1</v>
      </c>
      <c r="H817" s="8">
        <v>20</v>
      </c>
      <c r="I817" s="4">
        <v>0</v>
      </c>
    </row>
    <row r="818" spans="1:9" x14ac:dyDescent="0.2">
      <c r="A818" s="2">
        <v>2</v>
      </c>
      <c r="B818" s="1" t="s">
        <v>123</v>
      </c>
      <c r="C818" s="4">
        <v>2</v>
      </c>
      <c r="D818" s="8">
        <v>12.5</v>
      </c>
      <c r="E818" s="4">
        <v>1</v>
      </c>
      <c r="F818" s="8">
        <v>11.11</v>
      </c>
      <c r="G818" s="4">
        <v>1</v>
      </c>
      <c r="H818" s="8">
        <v>20</v>
      </c>
      <c r="I818" s="4">
        <v>0</v>
      </c>
    </row>
    <row r="819" spans="1:9" x14ac:dyDescent="0.2">
      <c r="A819" s="2">
        <v>3</v>
      </c>
      <c r="B819" s="1" t="s">
        <v>214</v>
      </c>
      <c r="C819" s="4">
        <v>1</v>
      </c>
      <c r="D819" s="8">
        <v>6.25</v>
      </c>
      <c r="E819" s="4">
        <v>0</v>
      </c>
      <c r="F819" s="8">
        <v>0</v>
      </c>
      <c r="G819" s="4">
        <v>1</v>
      </c>
      <c r="H819" s="8">
        <v>20</v>
      </c>
      <c r="I819" s="4">
        <v>0</v>
      </c>
    </row>
    <row r="820" spans="1:9" x14ac:dyDescent="0.2">
      <c r="A820" s="2">
        <v>3</v>
      </c>
      <c r="B820" s="1" t="s">
        <v>231</v>
      </c>
      <c r="C820" s="4">
        <v>1</v>
      </c>
      <c r="D820" s="8">
        <v>6.25</v>
      </c>
      <c r="E820" s="4">
        <v>0</v>
      </c>
      <c r="F820" s="8">
        <v>0</v>
      </c>
      <c r="G820" s="4">
        <v>1</v>
      </c>
      <c r="H820" s="8">
        <v>20</v>
      </c>
      <c r="I820" s="4">
        <v>0</v>
      </c>
    </row>
    <row r="821" spans="1:9" x14ac:dyDescent="0.2">
      <c r="A821" s="2">
        <v>3</v>
      </c>
      <c r="B821" s="1" t="s">
        <v>172</v>
      </c>
      <c r="C821" s="4">
        <v>1</v>
      </c>
      <c r="D821" s="8">
        <v>6.25</v>
      </c>
      <c r="E821" s="4">
        <v>0</v>
      </c>
      <c r="F821" s="8">
        <v>0</v>
      </c>
      <c r="G821" s="4">
        <v>0</v>
      </c>
      <c r="H821" s="8">
        <v>0</v>
      </c>
      <c r="I821" s="4">
        <v>0</v>
      </c>
    </row>
    <row r="822" spans="1:9" x14ac:dyDescent="0.2">
      <c r="A822" s="2">
        <v>3</v>
      </c>
      <c r="B822" s="1" t="s">
        <v>233</v>
      </c>
      <c r="C822" s="4">
        <v>1</v>
      </c>
      <c r="D822" s="8">
        <v>6.25</v>
      </c>
      <c r="E822" s="4">
        <v>0</v>
      </c>
      <c r="F822" s="8">
        <v>0</v>
      </c>
      <c r="G822" s="4">
        <v>1</v>
      </c>
      <c r="H822" s="8">
        <v>20</v>
      </c>
      <c r="I822" s="4">
        <v>0</v>
      </c>
    </row>
    <row r="823" spans="1:9" x14ac:dyDescent="0.2">
      <c r="A823" s="2">
        <v>3</v>
      </c>
      <c r="B823" s="1" t="s">
        <v>199</v>
      </c>
      <c r="C823" s="4">
        <v>1</v>
      </c>
      <c r="D823" s="8">
        <v>6.25</v>
      </c>
      <c r="E823" s="4">
        <v>1</v>
      </c>
      <c r="F823" s="8">
        <v>11.11</v>
      </c>
      <c r="G823" s="4">
        <v>0</v>
      </c>
      <c r="H823" s="8">
        <v>0</v>
      </c>
      <c r="I823" s="4">
        <v>0</v>
      </c>
    </row>
    <row r="824" spans="1:9" x14ac:dyDescent="0.2">
      <c r="A824" s="2">
        <v>3</v>
      </c>
      <c r="B824" s="1" t="s">
        <v>158</v>
      </c>
      <c r="C824" s="4">
        <v>1</v>
      </c>
      <c r="D824" s="8">
        <v>6.25</v>
      </c>
      <c r="E824" s="4">
        <v>1</v>
      </c>
      <c r="F824" s="8">
        <v>11.11</v>
      </c>
      <c r="G824" s="4">
        <v>0</v>
      </c>
      <c r="H824" s="8">
        <v>0</v>
      </c>
      <c r="I824" s="4">
        <v>0</v>
      </c>
    </row>
    <row r="825" spans="1:9" x14ac:dyDescent="0.2">
      <c r="A825" s="2">
        <v>3</v>
      </c>
      <c r="B825" s="1" t="s">
        <v>160</v>
      </c>
      <c r="C825" s="4">
        <v>1</v>
      </c>
      <c r="D825" s="8">
        <v>6.25</v>
      </c>
      <c r="E825" s="4">
        <v>1</v>
      </c>
      <c r="F825" s="8">
        <v>11.11</v>
      </c>
      <c r="G825" s="4">
        <v>0</v>
      </c>
      <c r="H825" s="8">
        <v>0</v>
      </c>
      <c r="I825" s="4">
        <v>0</v>
      </c>
    </row>
    <row r="826" spans="1:9" x14ac:dyDescent="0.2">
      <c r="A826" s="2">
        <v>3</v>
      </c>
      <c r="B826" s="1" t="s">
        <v>149</v>
      </c>
      <c r="C826" s="4">
        <v>1</v>
      </c>
      <c r="D826" s="8">
        <v>6.25</v>
      </c>
      <c r="E826" s="4">
        <v>1</v>
      </c>
      <c r="F826" s="8">
        <v>11.11</v>
      </c>
      <c r="G826" s="4">
        <v>0</v>
      </c>
      <c r="H826" s="8">
        <v>0</v>
      </c>
      <c r="I826" s="4">
        <v>0</v>
      </c>
    </row>
    <row r="827" spans="1:9" x14ac:dyDescent="0.2">
      <c r="A827" s="2">
        <v>3</v>
      </c>
      <c r="B827" s="1" t="s">
        <v>132</v>
      </c>
      <c r="C827" s="4">
        <v>1</v>
      </c>
      <c r="D827" s="8">
        <v>6.25</v>
      </c>
      <c r="E827" s="4">
        <v>1</v>
      </c>
      <c r="F827" s="8">
        <v>11.11</v>
      </c>
      <c r="G827" s="4">
        <v>0</v>
      </c>
      <c r="H827" s="8">
        <v>0</v>
      </c>
      <c r="I827" s="4">
        <v>0</v>
      </c>
    </row>
    <row r="828" spans="1:9" x14ac:dyDescent="0.2">
      <c r="A828" s="2">
        <v>3</v>
      </c>
      <c r="B828" s="1" t="s">
        <v>196</v>
      </c>
      <c r="C828" s="4">
        <v>1</v>
      </c>
      <c r="D828" s="8">
        <v>6.25</v>
      </c>
      <c r="E828" s="4">
        <v>0</v>
      </c>
      <c r="F828" s="8">
        <v>0</v>
      </c>
      <c r="G828" s="4">
        <v>0</v>
      </c>
      <c r="H828" s="8">
        <v>0</v>
      </c>
      <c r="I828" s="4">
        <v>0</v>
      </c>
    </row>
    <row r="829" spans="1:9" x14ac:dyDescent="0.2">
      <c r="A829" s="1"/>
      <c r="C829" s="4"/>
      <c r="D829" s="8"/>
      <c r="E829" s="4"/>
      <c r="F829" s="8"/>
      <c r="G829" s="4"/>
      <c r="H829" s="8"/>
      <c r="I829" s="4"/>
    </row>
    <row r="830" spans="1:9" x14ac:dyDescent="0.2">
      <c r="A830" s="1" t="s">
        <v>33</v>
      </c>
      <c r="C830" s="4"/>
      <c r="D830" s="8"/>
      <c r="E830" s="4"/>
      <c r="F830" s="8"/>
      <c r="G830" s="4"/>
      <c r="H830" s="8"/>
      <c r="I830" s="4"/>
    </row>
    <row r="831" spans="1:9" x14ac:dyDescent="0.2">
      <c r="A831" s="2">
        <v>1</v>
      </c>
      <c r="B831" s="1" t="s">
        <v>132</v>
      </c>
      <c r="C831" s="4">
        <v>9</v>
      </c>
      <c r="D831" s="8">
        <v>18</v>
      </c>
      <c r="E831" s="4">
        <v>9</v>
      </c>
      <c r="F831" s="8">
        <v>30</v>
      </c>
      <c r="G831" s="4">
        <v>0</v>
      </c>
      <c r="H831" s="8">
        <v>0</v>
      </c>
      <c r="I831" s="4">
        <v>0</v>
      </c>
    </row>
    <row r="832" spans="1:9" x14ac:dyDescent="0.2">
      <c r="A832" s="2">
        <v>2</v>
      </c>
      <c r="B832" s="1" t="s">
        <v>133</v>
      </c>
      <c r="C832" s="4">
        <v>6</v>
      </c>
      <c r="D832" s="8">
        <v>12</v>
      </c>
      <c r="E832" s="4">
        <v>6</v>
      </c>
      <c r="F832" s="8">
        <v>20</v>
      </c>
      <c r="G832" s="4">
        <v>0</v>
      </c>
      <c r="H832" s="8">
        <v>0</v>
      </c>
      <c r="I832" s="4">
        <v>0</v>
      </c>
    </row>
    <row r="833" spans="1:9" x14ac:dyDescent="0.2">
      <c r="A833" s="2">
        <v>3</v>
      </c>
      <c r="B833" s="1" t="s">
        <v>235</v>
      </c>
      <c r="C833" s="4">
        <v>3</v>
      </c>
      <c r="D833" s="8">
        <v>6</v>
      </c>
      <c r="E833" s="4">
        <v>0</v>
      </c>
      <c r="F833" s="8">
        <v>0</v>
      </c>
      <c r="G833" s="4">
        <v>3</v>
      </c>
      <c r="H833" s="8">
        <v>17.649999999999999</v>
      </c>
      <c r="I833" s="4">
        <v>0</v>
      </c>
    </row>
    <row r="834" spans="1:9" x14ac:dyDescent="0.2">
      <c r="A834" s="2">
        <v>3</v>
      </c>
      <c r="B834" s="1" t="s">
        <v>160</v>
      </c>
      <c r="C834" s="4">
        <v>3</v>
      </c>
      <c r="D834" s="8">
        <v>6</v>
      </c>
      <c r="E834" s="4">
        <v>0</v>
      </c>
      <c r="F834" s="8">
        <v>0</v>
      </c>
      <c r="G834" s="4">
        <v>3</v>
      </c>
      <c r="H834" s="8">
        <v>17.649999999999999</v>
      </c>
      <c r="I834" s="4">
        <v>0</v>
      </c>
    </row>
    <row r="835" spans="1:9" x14ac:dyDescent="0.2">
      <c r="A835" s="2">
        <v>5</v>
      </c>
      <c r="B835" s="1" t="s">
        <v>203</v>
      </c>
      <c r="C835" s="4">
        <v>2</v>
      </c>
      <c r="D835" s="8">
        <v>4</v>
      </c>
      <c r="E835" s="4">
        <v>0</v>
      </c>
      <c r="F835" s="8">
        <v>0</v>
      </c>
      <c r="G835" s="4">
        <v>1</v>
      </c>
      <c r="H835" s="8">
        <v>5.88</v>
      </c>
      <c r="I835" s="4">
        <v>0</v>
      </c>
    </row>
    <row r="836" spans="1:9" x14ac:dyDescent="0.2">
      <c r="A836" s="2">
        <v>5</v>
      </c>
      <c r="B836" s="1" t="s">
        <v>141</v>
      </c>
      <c r="C836" s="4">
        <v>2</v>
      </c>
      <c r="D836" s="8">
        <v>4</v>
      </c>
      <c r="E836" s="4">
        <v>2</v>
      </c>
      <c r="F836" s="8">
        <v>6.67</v>
      </c>
      <c r="G836" s="4">
        <v>0</v>
      </c>
      <c r="H836" s="8">
        <v>0</v>
      </c>
      <c r="I836" s="4">
        <v>0</v>
      </c>
    </row>
    <row r="837" spans="1:9" x14ac:dyDescent="0.2">
      <c r="A837" s="2">
        <v>7</v>
      </c>
      <c r="B837" s="1" t="s">
        <v>186</v>
      </c>
      <c r="C837" s="4">
        <v>1</v>
      </c>
      <c r="D837" s="8">
        <v>2</v>
      </c>
      <c r="E837" s="4">
        <v>0</v>
      </c>
      <c r="F837" s="8">
        <v>0</v>
      </c>
      <c r="G837" s="4">
        <v>1</v>
      </c>
      <c r="H837" s="8">
        <v>5.88</v>
      </c>
      <c r="I837" s="4">
        <v>0</v>
      </c>
    </row>
    <row r="838" spans="1:9" x14ac:dyDescent="0.2">
      <c r="A838" s="2">
        <v>7</v>
      </c>
      <c r="B838" s="1" t="s">
        <v>234</v>
      </c>
      <c r="C838" s="4">
        <v>1</v>
      </c>
      <c r="D838" s="8">
        <v>2</v>
      </c>
      <c r="E838" s="4">
        <v>0</v>
      </c>
      <c r="F838" s="8">
        <v>0</v>
      </c>
      <c r="G838" s="4">
        <v>1</v>
      </c>
      <c r="H838" s="8">
        <v>5.88</v>
      </c>
      <c r="I838" s="4">
        <v>0</v>
      </c>
    </row>
    <row r="839" spans="1:9" x14ac:dyDescent="0.2">
      <c r="A839" s="2">
        <v>7</v>
      </c>
      <c r="B839" s="1" t="s">
        <v>165</v>
      </c>
      <c r="C839" s="4">
        <v>1</v>
      </c>
      <c r="D839" s="8">
        <v>2</v>
      </c>
      <c r="E839" s="4">
        <v>0</v>
      </c>
      <c r="F839" s="8">
        <v>0</v>
      </c>
      <c r="G839" s="4">
        <v>1</v>
      </c>
      <c r="H839" s="8">
        <v>5.88</v>
      </c>
      <c r="I839" s="4">
        <v>0</v>
      </c>
    </row>
    <row r="840" spans="1:9" x14ac:dyDescent="0.2">
      <c r="A840" s="2">
        <v>7</v>
      </c>
      <c r="B840" s="1" t="s">
        <v>231</v>
      </c>
      <c r="C840" s="4">
        <v>1</v>
      </c>
      <c r="D840" s="8">
        <v>2</v>
      </c>
      <c r="E840" s="4">
        <v>0</v>
      </c>
      <c r="F840" s="8">
        <v>0</v>
      </c>
      <c r="G840" s="4">
        <v>1</v>
      </c>
      <c r="H840" s="8">
        <v>5.88</v>
      </c>
      <c r="I840" s="4">
        <v>0</v>
      </c>
    </row>
    <row r="841" spans="1:9" x14ac:dyDescent="0.2">
      <c r="A841" s="2">
        <v>7</v>
      </c>
      <c r="B841" s="1" t="s">
        <v>236</v>
      </c>
      <c r="C841" s="4">
        <v>1</v>
      </c>
      <c r="D841" s="8">
        <v>2</v>
      </c>
      <c r="E841" s="4">
        <v>0</v>
      </c>
      <c r="F841" s="8">
        <v>0</v>
      </c>
      <c r="G841" s="4">
        <v>1</v>
      </c>
      <c r="H841" s="8">
        <v>5.88</v>
      </c>
      <c r="I841" s="4">
        <v>0</v>
      </c>
    </row>
    <row r="842" spans="1:9" x14ac:dyDescent="0.2">
      <c r="A842" s="2">
        <v>7</v>
      </c>
      <c r="B842" s="1" t="s">
        <v>158</v>
      </c>
      <c r="C842" s="4">
        <v>1</v>
      </c>
      <c r="D842" s="8">
        <v>2</v>
      </c>
      <c r="E842" s="4">
        <v>1</v>
      </c>
      <c r="F842" s="8">
        <v>3.33</v>
      </c>
      <c r="G842" s="4">
        <v>0</v>
      </c>
      <c r="H842" s="8">
        <v>0</v>
      </c>
      <c r="I842" s="4">
        <v>0</v>
      </c>
    </row>
    <row r="843" spans="1:9" x14ac:dyDescent="0.2">
      <c r="A843" s="2">
        <v>7</v>
      </c>
      <c r="B843" s="1" t="s">
        <v>144</v>
      </c>
      <c r="C843" s="4">
        <v>1</v>
      </c>
      <c r="D843" s="8">
        <v>2</v>
      </c>
      <c r="E843" s="4">
        <v>1</v>
      </c>
      <c r="F843" s="8">
        <v>3.33</v>
      </c>
      <c r="G843" s="4">
        <v>0</v>
      </c>
      <c r="H843" s="8">
        <v>0</v>
      </c>
      <c r="I843" s="4">
        <v>0</v>
      </c>
    </row>
    <row r="844" spans="1:9" x14ac:dyDescent="0.2">
      <c r="A844" s="2">
        <v>7</v>
      </c>
      <c r="B844" s="1" t="s">
        <v>123</v>
      </c>
      <c r="C844" s="4">
        <v>1</v>
      </c>
      <c r="D844" s="8">
        <v>2</v>
      </c>
      <c r="E844" s="4">
        <v>1</v>
      </c>
      <c r="F844" s="8">
        <v>3.33</v>
      </c>
      <c r="G844" s="4">
        <v>0</v>
      </c>
      <c r="H844" s="8">
        <v>0</v>
      </c>
      <c r="I844" s="4">
        <v>0</v>
      </c>
    </row>
    <row r="845" spans="1:9" x14ac:dyDescent="0.2">
      <c r="A845" s="2">
        <v>7</v>
      </c>
      <c r="B845" s="1" t="s">
        <v>237</v>
      </c>
      <c r="C845" s="4">
        <v>1</v>
      </c>
      <c r="D845" s="8">
        <v>2</v>
      </c>
      <c r="E845" s="4">
        <v>1</v>
      </c>
      <c r="F845" s="8">
        <v>3.33</v>
      </c>
      <c r="G845" s="4">
        <v>0</v>
      </c>
      <c r="H845" s="8">
        <v>0</v>
      </c>
      <c r="I845" s="4">
        <v>0</v>
      </c>
    </row>
    <row r="846" spans="1:9" x14ac:dyDescent="0.2">
      <c r="A846" s="2">
        <v>7</v>
      </c>
      <c r="B846" s="1" t="s">
        <v>238</v>
      </c>
      <c r="C846" s="4">
        <v>1</v>
      </c>
      <c r="D846" s="8">
        <v>2</v>
      </c>
      <c r="E846" s="4">
        <v>1</v>
      </c>
      <c r="F846" s="8">
        <v>3.33</v>
      </c>
      <c r="G846" s="4">
        <v>0</v>
      </c>
      <c r="H846" s="8">
        <v>0</v>
      </c>
      <c r="I846" s="4">
        <v>0</v>
      </c>
    </row>
    <row r="847" spans="1:9" x14ac:dyDescent="0.2">
      <c r="A847" s="2">
        <v>7</v>
      </c>
      <c r="B847" s="1" t="s">
        <v>239</v>
      </c>
      <c r="C847" s="4">
        <v>1</v>
      </c>
      <c r="D847" s="8">
        <v>2</v>
      </c>
      <c r="E847" s="4">
        <v>0</v>
      </c>
      <c r="F847" s="8">
        <v>0</v>
      </c>
      <c r="G847" s="4">
        <v>1</v>
      </c>
      <c r="H847" s="8">
        <v>5.88</v>
      </c>
      <c r="I847" s="4">
        <v>0</v>
      </c>
    </row>
    <row r="848" spans="1:9" x14ac:dyDescent="0.2">
      <c r="A848" s="2">
        <v>7</v>
      </c>
      <c r="B848" s="1" t="s">
        <v>240</v>
      </c>
      <c r="C848" s="4">
        <v>1</v>
      </c>
      <c r="D848" s="8">
        <v>2</v>
      </c>
      <c r="E848" s="4">
        <v>0</v>
      </c>
      <c r="F848" s="8">
        <v>0</v>
      </c>
      <c r="G848" s="4">
        <v>1</v>
      </c>
      <c r="H848" s="8">
        <v>5.88</v>
      </c>
      <c r="I848" s="4">
        <v>0</v>
      </c>
    </row>
    <row r="849" spans="1:9" x14ac:dyDescent="0.2">
      <c r="A849" s="2">
        <v>7</v>
      </c>
      <c r="B849" s="1" t="s">
        <v>179</v>
      </c>
      <c r="C849" s="4">
        <v>1</v>
      </c>
      <c r="D849" s="8">
        <v>2</v>
      </c>
      <c r="E849" s="4">
        <v>0</v>
      </c>
      <c r="F849" s="8">
        <v>0</v>
      </c>
      <c r="G849" s="4">
        <v>0</v>
      </c>
      <c r="H849" s="8">
        <v>0</v>
      </c>
      <c r="I849" s="4">
        <v>0</v>
      </c>
    </row>
    <row r="850" spans="1:9" x14ac:dyDescent="0.2">
      <c r="A850" s="2">
        <v>7</v>
      </c>
      <c r="B850" s="1" t="s">
        <v>130</v>
      </c>
      <c r="C850" s="4">
        <v>1</v>
      </c>
      <c r="D850" s="8">
        <v>2</v>
      </c>
      <c r="E850" s="4">
        <v>1</v>
      </c>
      <c r="F850" s="8">
        <v>3.33</v>
      </c>
      <c r="G850" s="4">
        <v>0</v>
      </c>
      <c r="H850" s="8">
        <v>0</v>
      </c>
      <c r="I850" s="4">
        <v>0</v>
      </c>
    </row>
    <row r="851" spans="1:9" x14ac:dyDescent="0.2">
      <c r="A851" s="2">
        <v>7</v>
      </c>
      <c r="B851" s="1" t="s">
        <v>148</v>
      </c>
      <c r="C851" s="4">
        <v>1</v>
      </c>
      <c r="D851" s="8">
        <v>2</v>
      </c>
      <c r="E851" s="4">
        <v>1</v>
      </c>
      <c r="F851" s="8">
        <v>3.33</v>
      </c>
      <c r="G851" s="4">
        <v>0</v>
      </c>
      <c r="H851" s="8">
        <v>0</v>
      </c>
      <c r="I851" s="4">
        <v>0</v>
      </c>
    </row>
    <row r="852" spans="1:9" x14ac:dyDescent="0.2">
      <c r="A852" s="2">
        <v>7</v>
      </c>
      <c r="B852" s="1" t="s">
        <v>149</v>
      </c>
      <c r="C852" s="4">
        <v>1</v>
      </c>
      <c r="D852" s="8">
        <v>2</v>
      </c>
      <c r="E852" s="4">
        <v>1</v>
      </c>
      <c r="F852" s="8">
        <v>3.33</v>
      </c>
      <c r="G852" s="4">
        <v>0</v>
      </c>
      <c r="H852" s="8">
        <v>0</v>
      </c>
      <c r="I852" s="4">
        <v>0</v>
      </c>
    </row>
    <row r="853" spans="1:9" x14ac:dyDescent="0.2">
      <c r="A853" s="2">
        <v>7</v>
      </c>
      <c r="B853" s="1" t="s">
        <v>200</v>
      </c>
      <c r="C853" s="4">
        <v>1</v>
      </c>
      <c r="D853" s="8">
        <v>2</v>
      </c>
      <c r="E853" s="4">
        <v>1</v>
      </c>
      <c r="F853" s="8">
        <v>3.33</v>
      </c>
      <c r="G853" s="4">
        <v>0</v>
      </c>
      <c r="H853" s="8">
        <v>0</v>
      </c>
      <c r="I853" s="4">
        <v>0</v>
      </c>
    </row>
    <row r="854" spans="1:9" x14ac:dyDescent="0.2">
      <c r="A854" s="2">
        <v>7</v>
      </c>
      <c r="B854" s="1" t="s">
        <v>136</v>
      </c>
      <c r="C854" s="4">
        <v>1</v>
      </c>
      <c r="D854" s="8">
        <v>2</v>
      </c>
      <c r="E854" s="4">
        <v>1</v>
      </c>
      <c r="F854" s="8">
        <v>3.33</v>
      </c>
      <c r="G854" s="4">
        <v>0</v>
      </c>
      <c r="H854" s="8">
        <v>0</v>
      </c>
      <c r="I854" s="4">
        <v>0</v>
      </c>
    </row>
    <row r="855" spans="1:9" x14ac:dyDescent="0.2">
      <c r="A855" s="2">
        <v>7</v>
      </c>
      <c r="B855" s="1" t="s">
        <v>181</v>
      </c>
      <c r="C855" s="4">
        <v>1</v>
      </c>
      <c r="D855" s="8">
        <v>2</v>
      </c>
      <c r="E855" s="4">
        <v>0</v>
      </c>
      <c r="F855" s="8">
        <v>0</v>
      </c>
      <c r="G855" s="4">
        <v>1</v>
      </c>
      <c r="H855" s="8">
        <v>5.88</v>
      </c>
      <c r="I855" s="4">
        <v>0</v>
      </c>
    </row>
    <row r="856" spans="1:9" x14ac:dyDescent="0.2">
      <c r="A856" s="2">
        <v>7</v>
      </c>
      <c r="B856" s="1" t="s">
        <v>241</v>
      </c>
      <c r="C856" s="4">
        <v>1</v>
      </c>
      <c r="D856" s="8">
        <v>2</v>
      </c>
      <c r="E856" s="4">
        <v>1</v>
      </c>
      <c r="F856" s="8">
        <v>3.33</v>
      </c>
      <c r="G856" s="4">
        <v>0</v>
      </c>
      <c r="H856" s="8">
        <v>0</v>
      </c>
      <c r="I856" s="4">
        <v>0</v>
      </c>
    </row>
    <row r="857" spans="1:9" x14ac:dyDescent="0.2">
      <c r="A857" s="2">
        <v>7</v>
      </c>
      <c r="B857" s="1" t="s">
        <v>150</v>
      </c>
      <c r="C857" s="4">
        <v>1</v>
      </c>
      <c r="D857" s="8">
        <v>2</v>
      </c>
      <c r="E857" s="4">
        <v>1</v>
      </c>
      <c r="F857" s="8">
        <v>3.33</v>
      </c>
      <c r="G857" s="4">
        <v>0</v>
      </c>
      <c r="H857" s="8">
        <v>0</v>
      </c>
      <c r="I857" s="4">
        <v>0</v>
      </c>
    </row>
    <row r="858" spans="1:9" x14ac:dyDescent="0.2">
      <c r="A858" s="2">
        <v>7</v>
      </c>
      <c r="B858" s="1" t="s">
        <v>182</v>
      </c>
      <c r="C858" s="4">
        <v>1</v>
      </c>
      <c r="D858" s="8">
        <v>2</v>
      </c>
      <c r="E858" s="4">
        <v>0</v>
      </c>
      <c r="F858" s="8">
        <v>0</v>
      </c>
      <c r="G858" s="4">
        <v>0</v>
      </c>
      <c r="H858" s="8">
        <v>0</v>
      </c>
      <c r="I858" s="4">
        <v>0</v>
      </c>
    </row>
    <row r="859" spans="1:9" x14ac:dyDescent="0.2">
      <c r="A859" s="2">
        <v>7</v>
      </c>
      <c r="B859" s="1" t="s">
        <v>242</v>
      </c>
      <c r="C859" s="4">
        <v>1</v>
      </c>
      <c r="D859" s="8">
        <v>2</v>
      </c>
      <c r="E859" s="4">
        <v>0</v>
      </c>
      <c r="F859" s="8">
        <v>0</v>
      </c>
      <c r="G859" s="4">
        <v>1</v>
      </c>
      <c r="H859" s="8">
        <v>5.88</v>
      </c>
      <c r="I859" s="4">
        <v>0</v>
      </c>
    </row>
    <row r="860" spans="1:9" x14ac:dyDescent="0.2">
      <c r="A860" s="2">
        <v>7</v>
      </c>
      <c r="B860" s="1" t="s">
        <v>139</v>
      </c>
      <c r="C860" s="4">
        <v>1</v>
      </c>
      <c r="D860" s="8">
        <v>2</v>
      </c>
      <c r="E860" s="4">
        <v>1</v>
      </c>
      <c r="F860" s="8">
        <v>3.33</v>
      </c>
      <c r="G860" s="4">
        <v>0</v>
      </c>
      <c r="H860" s="8">
        <v>0</v>
      </c>
      <c r="I860" s="4">
        <v>0</v>
      </c>
    </row>
    <row r="861" spans="1:9" x14ac:dyDescent="0.2">
      <c r="A861" s="2">
        <v>7</v>
      </c>
      <c r="B861" s="1" t="s">
        <v>185</v>
      </c>
      <c r="C861" s="4">
        <v>1</v>
      </c>
      <c r="D861" s="8">
        <v>2</v>
      </c>
      <c r="E861" s="4">
        <v>0</v>
      </c>
      <c r="F861" s="8">
        <v>0</v>
      </c>
      <c r="G861" s="4">
        <v>1</v>
      </c>
      <c r="H861" s="8">
        <v>5.88</v>
      </c>
      <c r="I861" s="4">
        <v>0</v>
      </c>
    </row>
    <row r="862" spans="1:9" x14ac:dyDescent="0.2">
      <c r="A862" s="1"/>
      <c r="C862" s="4"/>
      <c r="D862" s="8"/>
      <c r="E862" s="4"/>
      <c r="F862" s="8"/>
      <c r="G862" s="4"/>
      <c r="H862" s="8"/>
      <c r="I862" s="4"/>
    </row>
    <row r="863" spans="1:9" x14ac:dyDescent="0.2">
      <c r="A863" s="1" t="s">
        <v>34</v>
      </c>
      <c r="C863" s="4"/>
      <c r="D863" s="8"/>
      <c r="E863" s="4"/>
      <c r="F863" s="8"/>
      <c r="G863" s="4"/>
      <c r="H863" s="8"/>
      <c r="I863" s="4"/>
    </row>
    <row r="864" spans="1:9" x14ac:dyDescent="0.2">
      <c r="A864" s="2">
        <v>1</v>
      </c>
      <c r="B864" s="1" t="s">
        <v>123</v>
      </c>
      <c r="C864" s="4">
        <v>3</v>
      </c>
      <c r="D864" s="8">
        <v>9.3800000000000008</v>
      </c>
      <c r="E864" s="4">
        <v>3</v>
      </c>
      <c r="F864" s="8">
        <v>21.43</v>
      </c>
      <c r="G864" s="4">
        <v>0</v>
      </c>
      <c r="H864" s="8">
        <v>0</v>
      </c>
      <c r="I864" s="4">
        <v>0</v>
      </c>
    </row>
    <row r="865" spans="1:9" x14ac:dyDescent="0.2">
      <c r="A865" s="2">
        <v>2</v>
      </c>
      <c r="B865" s="1" t="s">
        <v>225</v>
      </c>
      <c r="C865" s="4">
        <v>2</v>
      </c>
      <c r="D865" s="8">
        <v>6.25</v>
      </c>
      <c r="E865" s="4">
        <v>0</v>
      </c>
      <c r="F865" s="8">
        <v>0</v>
      </c>
      <c r="G865" s="4">
        <v>0</v>
      </c>
      <c r="H865" s="8">
        <v>0</v>
      </c>
      <c r="I865" s="4">
        <v>0</v>
      </c>
    </row>
    <row r="866" spans="1:9" x14ac:dyDescent="0.2">
      <c r="A866" s="2">
        <v>2</v>
      </c>
      <c r="B866" s="1" t="s">
        <v>156</v>
      </c>
      <c r="C866" s="4">
        <v>2</v>
      </c>
      <c r="D866" s="8">
        <v>6.25</v>
      </c>
      <c r="E866" s="4">
        <v>1</v>
      </c>
      <c r="F866" s="8">
        <v>7.14</v>
      </c>
      <c r="G866" s="4">
        <v>1</v>
      </c>
      <c r="H866" s="8">
        <v>16.670000000000002</v>
      </c>
      <c r="I866" s="4">
        <v>0</v>
      </c>
    </row>
    <row r="867" spans="1:9" x14ac:dyDescent="0.2">
      <c r="A867" s="2">
        <v>2</v>
      </c>
      <c r="B867" s="1" t="s">
        <v>132</v>
      </c>
      <c r="C867" s="4">
        <v>2</v>
      </c>
      <c r="D867" s="8">
        <v>6.25</v>
      </c>
      <c r="E867" s="4">
        <v>2</v>
      </c>
      <c r="F867" s="8">
        <v>14.29</v>
      </c>
      <c r="G867" s="4">
        <v>0</v>
      </c>
      <c r="H867" s="8">
        <v>0</v>
      </c>
      <c r="I867" s="4">
        <v>0</v>
      </c>
    </row>
    <row r="868" spans="1:9" x14ac:dyDescent="0.2">
      <c r="A868" s="2">
        <v>2</v>
      </c>
      <c r="B868" s="1" t="s">
        <v>180</v>
      </c>
      <c r="C868" s="4">
        <v>2</v>
      </c>
      <c r="D868" s="8">
        <v>6.25</v>
      </c>
      <c r="E868" s="4">
        <v>0</v>
      </c>
      <c r="F868" s="8">
        <v>0</v>
      </c>
      <c r="G868" s="4">
        <v>0</v>
      </c>
      <c r="H868" s="8">
        <v>0</v>
      </c>
      <c r="I868" s="4">
        <v>0</v>
      </c>
    </row>
    <row r="869" spans="1:9" x14ac:dyDescent="0.2">
      <c r="A869" s="2">
        <v>2</v>
      </c>
      <c r="B869" s="1" t="s">
        <v>203</v>
      </c>
      <c r="C869" s="4">
        <v>2</v>
      </c>
      <c r="D869" s="8">
        <v>6.25</v>
      </c>
      <c r="E869" s="4">
        <v>0</v>
      </c>
      <c r="F869" s="8">
        <v>0</v>
      </c>
      <c r="G869" s="4">
        <v>0</v>
      </c>
      <c r="H869" s="8">
        <v>0</v>
      </c>
      <c r="I869" s="4">
        <v>0</v>
      </c>
    </row>
    <row r="870" spans="1:9" x14ac:dyDescent="0.2">
      <c r="A870" s="2">
        <v>7</v>
      </c>
      <c r="B870" s="1" t="s">
        <v>122</v>
      </c>
      <c r="C870" s="4">
        <v>1</v>
      </c>
      <c r="D870" s="8">
        <v>3.13</v>
      </c>
      <c r="E870" s="4">
        <v>0</v>
      </c>
      <c r="F870" s="8">
        <v>0</v>
      </c>
      <c r="G870" s="4">
        <v>1</v>
      </c>
      <c r="H870" s="8">
        <v>16.670000000000002</v>
      </c>
      <c r="I870" s="4">
        <v>0</v>
      </c>
    </row>
    <row r="871" spans="1:9" x14ac:dyDescent="0.2">
      <c r="A871" s="2">
        <v>7</v>
      </c>
      <c r="B871" s="1" t="s">
        <v>198</v>
      </c>
      <c r="C871" s="4">
        <v>1</v>
      </c>
      <c r="D871" s="8">
        <v>3.13</v>
      </c>
      <c r="E871" s="4">
        <v>0</v>
      </c>
      <c r="F871" s="8">
        <v>0</v>
      </c>
      <c r="G871" s="4">
        <v>1</v>
      </c>
      <c r="H871" s="8">
        <v>16.670000000000002</v>
      </c>
      <c r="I871" s="4">
        <v>0</v>
      </c>
    </row>
    <row r="872" spans="1:9" x14ac:dyDescent="0.2">
      <c r="A872" s="2">
        <v>7</v>
      </c>
      <c r="B872" s="1" t="s">
        <v>231</v>
      </c>
      <c r="C872" s="4">
        <v>1</v>
      </c>
      <c r="D872" s="8">
        <v>3.13</v>
      </c>
      <c r="E872" s="4">
        <v>0</v>
      </c>
      <c r="F872" s="8">
        <v>0</v>
      </c>
      <c r="G872" s="4">
        <v>1</v>
      </c>
      <c r="H872" s="8">
        <v>16.670000000000002</v>
      </c>
      <c r="I872" s="4">
        <v>0</v>
      </c>
    </row>
    <row r="873" spans="1:9" x14ac:dyDescent="0.2">
      <c r="A873" s="2">
        <v>7</v>
      </c>
      <c r="B873" s="1" t="s">
        <v>172</v>
      </c>
      <c r="C873" s="4">
        <v>1</v>
      </c>
      <c r="D873" s="8">
        <v>3.13</v>
      </c>
      <c r="E873" s="4">
        <v>0</v>
      </c>
      <c r="F873" s="8">
        <v>0</v>
      </c>
      <c r="G873" s="4">
        <v>0</v>
      </c>
      <c r="H873" s="8">
        <v>0</v>
      </c>
      <c r="I873" s="4">
        <v>0</v>
      </c>
    </row>
    <row r="874" spans="1:9" x14ac:dyDescent="0.2">
      <c r="A874" s="2">
        <v>7</v>
      </c>
      <c r="B874" s="1" t="s">
        <v>155</v>
      </c>
      <c r="C874" s="4">
        <v>1</v>
      </c>
      <c r="D874" s="8">
        <v>3.13</v>
      </c>
      <c r="E874" s="4">
        <v>1</v>
      </c>
      <c r="F874" s="8">
        <v>7.14</v>
      </c>
      <c r="G874" s="4">
        <v>0</v>
      </c>
      <c r="H874" s="8">
        <v>0</v>
      </c>
      <c r="I874" s="4">
        <v>0</v>
      </c>
    </row>
    <row r="875" spans="1:9" x14ac:dyDescent="0.2">
      <c r="A875" s="2">
        <v>7</v>
      </c>
      <c r="B875" s="1" t="s">
        <v>224</v>
      </c>
      <c r="C875" s="4">
        <v>1</v>
      </c>
      <c r="D875" s="8">
        <v>3.13</v>
      </c>
      <c r="E875" s="4">
        <v>1</v>
      </c>
      <c r="F875" s="8">
        <v>7.14</v>
      </c>
      <c r="G875" s="4">
        <v>0</v>
      </c>
      <c r="H875" s="8">
        <v>0</v>
      </c>
      <c r="I875" s="4">
        <v>0</v>
      </c>
    </row>
    <row r="876" spans="1:9" x14ac:dyDescent="0.2">
      <c r="A876" s="2">
        <v>7</v>
      </c>
      <c r="B876" s="1" t="s">
        <v>235</v>
      </c>
      <c r="C876" s="4">
        <v>1</v>
      </c>
      <c r="D876" s="8">
        <v>3.13</v>
      </c>
      <c r="E876" s="4">
        <v>0</v>
      </c>
      <c r="F876" s="8">
        <v>0</v>
      </c>
      <c r="G876" s="4">
        <v>1</v>
      </c>
      <c r="H876" s="8">
        <v>16.670000000000002</v>
      </c>
      <c r="I876" s="4">
        <v>0</v>
      </c>
    </row>
    <row r="877" spans="1:9" x14ac:dyDescent="0.2">
      <c r="A877" s="2">
        <v>7</v>
      </c>
      <c r="B877" s="1" t="s">
        <v>199</v>
      </c>
      <c r="C877" s="4">
        <v>1</v>
      </c>
      <c r="D877" s="8">
        <v>3.13</v>
      </c>
      <c r="E877" s="4">
        <v>0</v>
      </c>
      <c r="F877" s="8">
        <v>0</v>
      </c>
      <c r="G877" s="4">
        <v>0</v>
      </c>
      <c r="H877" s="8">
        <v>0</v>
      </c>
      <c r="I877" s="4">
        <v>1</v>
      </c>
    </row>
    <row r="878" spans="1:9" x14ac:dyDescent="0.2">
      <c r="A878" s="2">
        <v>7</v>
      </c>
      <c r="B878" s="1" t="s">
        <v>124</v>
      </c>
      <c r="C878" s="4">
        <v>1</v>
      </c>
      <c r="D878" s="8">
        <v>3.13</v>
      </c>
      <c r="E878" s="4">
        <v>1</v>
      </c>
      <c r="F878" s="8">
        <v>7.14</v>
      </c>
      <c r="G878" s="4">
        <v>0</v>
      </c>
      <c r="H878" s="8">
        <v>0</v>
      </c>
      <c r="I878" s="4">
        <v>0</v>
      </c>
    </row>
    <row r="879" spans="1:9" x14ac:dyDescent="0.2">
      <c r="A879" s="2">
        <v>7</v>
      </c>
      <c r="B879" s="1" t="s">
        <v>159</v>
      </c>
      <c r="C879" s="4">
        <v>1</v>
      </c>
      <c r="D879" s="8">
        <v>3.13</v>
      </c>
      <c r="E879" s="4">
        <v>1</v>
      </c>
      <c r="F879" s="8">
        <v>7.14</v>
      </c>
      <c r="G879" s="4">
        <v>0</v>
      </c>
      <c r="H879" s="8">
        <v>0</v>
      </c>
      <c r="I879" s="4">
        <v>0</v>
      </c>
    </row>
    <row r="880" spans="1:9" x14ac:dyDescent="0.2">
      <c r="A880" s="2">
        <v>7</v>
      </c>
      <c r="B880" s="1" t="s">
        <v>160</v>
      </c>
      <c r="C880" s="4">
        <v>1</v>
      </c>
      <c r="D880" s="8">
        <v>3.13</v>
      </c>
      <c r="E880" s="4">
        <v>0</v>
      </c>
      <c r="F880" s="8">
        <v>0</v>
      </c>
      <c r="G880" s="4">
        <v>1</v>
      </c>
      <c r="H880" s="8">
        <v>16.670000000000002</v>
      </c>
      <c r="I880" s="4">
        <v>0</v>
      </c>
    </row>
    <row r="881" spans="1:9" x14ac:dyDescent="0.2">
      <c r="A881" s="2">
        <v>7</v>
      </c>
      <c r="B881" s="1" t="s">
        <v>179</v>
      </c>
      <c r="C881" s="4">
        <v>1</v>
      </c>
      <c r="D881" s="8">
        <v>3.13</v>
      </c>
      <c r="E881" s="4">
        <v>0</v>
      </c>
      <c r="F881" s="8">
        <v>0</v>
      </c>
      <c r="G881" s="4">
        <v>0</v>
      </c>
      <c r="H881" s="8">
        <v>0</v>
      </c>
      <c r="I881" s="4">
        <v>0</v>
      </c>
    </row>
    <row r="882" spans="1:9" x14ac:dyDescent="0.2">
      <c r="A882" s="2">
        <v>7</v>
      </c>
      <c r="B882" s="1" t="s">
        <v>130</v>
      </c>
      <c r="C882" s="4">
        <v>1</v>
      </c>
      <c r="D882" s="8">
        <v>3.13</v>
      </c>
      <c r="E882" s="4">
        <v>1</v>
      </c>
      <c r="F882" s="8">
        <v>7.14</v>
      </c>
      <c r="G882" s="4">
        <v>0</v>
      </c>
      <c r="H882" s="8">
        <v>0</v>
      </c>
      <c r="I882" s="4">
        <v>0</v>
      </c>
    </row>
    <row r="883" spans="1:9" x14ac:dyDescent="0.2">
      <c r="A883" s="2">
        <v>7</v>
      </c>
      <c r="B883" s="1" t="s">
        <v>133</v>
      </c>
      <c r="C883" s="4">
        <v>1</v>
      </c>
      <c r="D883" s="8">
        <v>3.13</v>
      </c>
      <c r="E883" s="4">
        <v>1</v>
      </c>
      <c r="F883" s="8">
        <v>7.14</v>
      </c>
      <c r="G883" s="4">
        <v>0</v>
      </c>
      <c r="H883" s="8">
        <v>0</v>
      </c>
      <c r="I883" s="4">
        <v>0</v>
      </c>
    </row>
    <row r="884" spans="1:9" x14ac:dyDescent="0.2">
      <c r="A884" s="2">
        <v>7</v>
      </c>
      <c r="B884" s="1" t="s">
        <v>135</v>
      </c>
      <c r="C884" s="4">
        <v>1</v>
      </c>
      <c r="D884" s="8">
        <v>3.13</v>
      </c>
      <c r="E884" s="4">
        <v>1</v>
      </c>
      <c r="F884" s="8">
        <v>7.14</v>
      </c>
      <c r="G884" s="4">
        <v>0</v>
      </c>
      <c r="H884" s="8">
        <v>0</v>
      </c>
      <c r="I884" s="4">
        <v>0</v>
      </c>
    </row>
    <row r="885" spans="1:9" x14ac:dyDescent="0.2">
      <c r="A885" s="2">
        <v>7</v>
      </c>
      <c r="B885" s="1" t="s">
        <v>138</v>
      </c>
      <c r="C885" s="4">
        <v>1</v>
      </c>
      <c r="D885" s="8">
        <v>3.13</v>
      </c>
      <c r="E885" s="4">
        <v>0</v>
      </c>
      <c r="F885" s="8">
        <v>0</v>
      </c>
      <c r="G885" s="4">
        <v>0</v>
      </c>
      <c r="H885" s="8">
        <v>0</v>
      </c>
      <c r="I885" s="4">
        <v>0</v>
      </c>
    </row>
    <row r="886" spans="1:9" x14ac:dyDescent="0.2">
      <c r="A886" s="2">
        <v>7</v>
      </c>
      <c r="B886" s="1" t="s">
        <v>196</v>
      </c>
      <c r="C886" s="4">
        <v>1</v>
      </c>
      <c r="D886" s="8">
        <v>3.13</v>
      </c>
      <c r="E886" s="4">
        <v>0</v>
      </c>
      <c r="F886" s="8">
        <v>0</v>
      </c>
      <c r="G886" s="4">
        <v>0</v>
      </c>
      <c r="H886" s="8">
        <v>0</v>
      </c>
      <c r="I886" s="4">
        <v>0</v>
      </c>
    </row>
    <row r="887" spans="1:9" x14ac:dyDescent="0.2">
      <c r="A887" s="2">
        <v>7</v>
      </c>
      <c r="B887" s="1" t="s">
        <v>243</v>
      </c>
      <c r="C887" s="4">
        <v>1</v>
      </c>
      <c r="D887" s="8">
        <v>3.13</v>
      </c>
      <c r="E887" s="4">
        <v>0</v>
      </c>
      <c r="F887" s="8">
        <v>0</v>
      </c>
      <c r="G887" s="4">
        <v>0</v>
      </c>
      <c r="H887" s="8">
        <v>0</v>
      </c>
      <c r="I887" s="4">
        <v>0</v>
      </c>
    </row>
    <row r="888" spans="1:9" x14ac:dyDescent="0.2">
      <c r="A888" s="2">
        <v>7</v>
      </c>
      <c r="B888" s="1" t="s">
        <v>141</v>
      </c>
      <c r="C888" s="4">
        <v>1</v>
      </c>
      <c r="D888" s="8">
        <v>3.13</v>
      </c>
      <c r="E888" s="4">
        <v>1</v>
      </c>
      <c r="F888" s="8">
        <v>7.14</v>
      </c>
      <c r="G888" s="4">
        <v>0</v>
      </c>
      <c r="H888" s="8">
        <v>0</v>
      </c>
      <c r="I888" s="4">
        <v>0</v>
      </c>
    </row>
    <row r="889" spans="1:9" x14ac:dyDescent="0.2">
      <c r="A889" s="1"/>
      <c r="C889" s="4"/>
      <c r="D889" s="8"/>
      <c r="E889" s="4"/>
      <c r="F889" s="8"/>
      <c r="G889" s="4"/>
      <c r="H889" s="8"/>
      <c r="I889" s="4"/>
    </row>
    <row r="890" spans="1:9" x14ac:dyDescent="0.2">
      <c r="A890" s="1" t="s">
        <v>35</v>
      </c>
      <c r="C890" s="4"/>
      <c r="D890" s="8"/>
      <c r="E890" s="4"/>
      <c r="F890" s="8"/>
      <c r="G890" s="4"/>
      <c r="H890" s="8"/>
      <c r="I890" s="4"/>
    </row>
    <row r="891" spans="1:9" x14ac:dyDescent="0.2">
      <c r="A891" s="2">
        <v>1</v>
      </c>
      <c r="B891" s="1" t="s">
        <v>123</v>
      </c>
      <c r="C891" s="4">
        <v>7</v>
      </c>
      <c r="D891" s="8">
        <v>13.21</v>
      </c>
      <c r="E891" s="4">
        <v>4</v>
      </c>
      <c r="F891" s="8">
        <v>12.12</v>
      </c>
      <c r="G891" s="4">
        <v>3</v>
      </c>
      <c r="H891" s="8">
        <v>20</v>
      </c>
      <c r="I891" s="4">
        <v>0</v>
      </c>
    </row>
    <row r="892" spans="1:9" x14ac:dyDescent="0.2">
      <c r="A892" s="2">
        <v>2</v>
      </c>
      <c r="B892" s="1" t="s">
        <v>133</v>
      </c>
      <c r="C892" s="4">
        <v>4</v>
      </c>
      <c r="D892" s="8">
        <v>7.55</v>
      </c>
      <c r="E892" s="4">
        <v>4</v>
      </c>
      <c r="F892" s="8">
        <v>12.12</v>
      </c>
      <c r="G892" s="4">
        <v>0</v>
      </c>
      <c r="H892" s="8">
        <v>0</v>
      </c>
      <c r="I892" s="4">
        <v>0</v>
      </c>
    </row>
    <row r="893" spans="1:9" x14ac:dyDescent="0.2">
      <c r="A893" s="2">
        <v>3</v>
      </c>
      <c r="B893" s="1" t="s">
        <v>122</v>
      </c>
      <c r="C893" s="4">
        <v>3</v>
      </c>
      <c r="D893" s="8">
        <v>5.66</v>
      </c>
      <c r="E893" s="4">
        <v>0</v>
      </c>
      <c r="F893" s="8">
        <v>0</v>
      </c>
      <c r="G893" s="4">
        <v>3</v>
      </c>
      <c r="H893" s="8">
        <v>20</v>
      </c>
      <c r="I893" s="4">
        <v>0</v>
      </c>
    </row>
    <row r="894" spans="1:9" x14ac:dyDescent="0.2">
      <c r="A894" s="2">
        <v>3</v>
      </c>
      <c r="B894" s="1" t="s">
        <v>156</v>
      </c>
      <c r="C894" s="4">
        <v>3</v>
      </c>
      <c r="D894" s="8">
        <v>5.66</v>
      </c>
      <c r="E894" s="4">
        <v>2</v>
      </c>
      <c r="F894" s="8">
        <v>6.06</v>
      </c>
      <c r="G894" s="4">
        <v>1</v>
      </c>
      <c r="H894" s="8">
        <v>6.67</v>
      </c>
      <c r="I894" s="4">
        <v>0</v>
      </c>
    </row>
    <row r="895" spans="1:9" x14ac:dyDescent="0.2">
      <c r="A895" s="2">
        <v>3</v>
      </c>
      <c r="B895" s="1" t="s">
        <v>158</v>
      </c>
      <c r="C895" s="4">
        <v>3</v>
      </c>
      <c r="D895" s="8">
        <v>5.66</v>
      </c>
      <c r="E895" s="4">
        <v>3</v>
      </c>
      <c r="F895" s="8">
        <v>9.09</v>
      </c>
      <c r="G895" s="4">
        <v>0</v>
      </c>
      <c r="H895" s="8">
        <v>0</v>
      </c>
      <c r="I895" s="4">
        <v>0</v>
      </c>
    </row>
    <row r="896" spans="1:9" x14ac:dyDescent="0.2">
      <c r="A896" s="2">
        <v>3</v>
      </c>
      <c r="B896" s="1" t="s">
        <v>130</v>
      </c>
      <c r="C896" s="4">
        <v>3</v>
      </c>
      <c r="D896" s="8">
        <v>5.66</v>
      </c>
      <c r="E896" s="4">
        <v>3</v>
      </c>
      <c r="F896" s="8">
        <v>9.09</v>
      </c>
      <c r="G896" s="4">
        <v>0</v>
      </c>
      <c r="H896" s="8">
        <v>0</v>
      </c>
      <c r="I896" s="4">
        <v>0</v>
      </c>
    </row>
    <row r="897" spans="1:9" x14ac:dyDescent="0.2">
      <c r="A897" s="2">
        <v>3</v>
      </c>
      <c r="B897" s="1" t="s">
        <v>132</v>
      </c>
      <c r="C897" s="4">
        <v>3</v>
      </c>
      <c r="D897" s="8">
        <v>5.66</v>
      </c>
      <c r="E897" s="4">
        <v>3</v>
      </c>
      <c r="F897" s="8">
        <v>9.09</v>
      </c>
      <c r="G897" s="4">
        <v>0</v>
      </c>
      <c r="H897" s="8">
        <v>0</v>
      </c>
      <c r="I897" s="4">
        <v>0</v>
      </c>
    </row>
    <row r="898" spans="1:9" x14ac:dyDescent="0.2">
      <c r="A898" s="2">
        <v>8</v>
      </c>
      <c r="B898" s="1" t="s">
        <v>214</v>
      </c>
      <c r="C898" s="4">
        <v>2</v>
      </c>
      <c r="D898" s="8">
        <v>3.77</v>
      </c>
      <c r="E898" s="4">
        <v>1</v>
      </c>
      <c r="F898" s="8">
        <v>3.03</v>
      </c>
      <c r="G898" s="4">
        <v>1</v>
      </c>
      <c r="H898" s="8">
        <v>6.67</v>
      </c>
      <c r="I898" s="4">
        <v>0</v>
      </c>
    </row>
    <row r="899" spans="1:9" x14ac:dyDescent="0.2">
      <c r="A899" s="2">
        <v>9</v>
      </c>
      <c r="B899" s="1" t="s">
        <v>146</v>
      </c>
      <c r="C899" s="4">
        <v>1</v>
      </c>
      <c r="D899" s="8">
        <v>1.89</v>
      </c>
      <c r="E899" s="4">
        <v>1</v>
      </c>
      <c r="F899" s="8">
        <v>3.03</v>
      </c>
      <c r="G899" s="4">
        <v>0</v>
      </c>
      <c r="H899" s="8">
        <v>0</v>
      </c>
      <c r="I899" s="4">
        <v>0</v>
      </c>
    </row>
    <row r="900" spans="1:9" x14ac:dyDescent="0.2">
      <c r="A900" s="2">
        <v>9</v>
      </c>
      <c r="B900" s="1" t="s">
        <v>234</v>
      </c>
      <c r="C900" s="4">
        <v>1</v>
      </c>
      <c r="D900" s="8">
        <v>1.89</v>
      </c>
      <c r="E900" s="4">
        <v>0</v>
      </c>
      <c r="F900" s="8">
        <v>0</v>
      </c>
      <c r="G900" s="4">
        <v>1</v>
      </c>
      <c r="H900" s="8">
        <v>6.67</v>
      </c>
      <c r="I900" s="4">
        <v>0</v>
      </c>
    </row>
    <row r="901" spans="1:9" x14ac:dyDescent="0.2">
      <c r="A901" s="2">
        <v>9</v>
      </c>
      <c r="B901" s="1" t="s">
        <v>230</v>
      </c>
      <c r="C901" s="4">
        <v>1</v>
      </c>
      <c r="D901" s="8">
        <v>1.89</v>
      </c>
      <c r="E901" s="4">
        <v>0</v>
      </c>
      <c r="F901" s="8">
        <v>0</v>
      </c>
      <c r="G901" s="4">
        <v>1</v>
      </c>
      <c r="H901" s="8">
        <v>6.67</v>
      </c>
      <c r="I901" s="4">
        <v>0</v>
      </c>
    </row>
    <row r="902" spans="1:9" x14ac:dyDescent="0.2">
      <c r="A902" s="2">
        <v>9</v>
      </c>
      <c r="B902" s="1" t="s">
        <v>163</v>
      </c>
      <c r="C902" s="4">
        <v>1</v>
      </c>
      <c r="D902" s="8">
        <v>1.89</v>
      </c>
      <c r="E902" s="4">
        <v>1</v>
      </c>
      <c r="F902" s="8">
        <v>3.03</v>
      </c>
      <c r="G902" s="4">
        <v>0</v>
      </c>
      <c r="H902" s="8">
        <v>0</v>
      </c>
      <c r="I902" s="4">
        <v>0</v>
      </c>
    </row>
    <row r="903" spans="1:9" x14ac:dyDescent="0.2">
      <c r="A903" s="2">
        <v>9</v>
      </c>
      <c r="B903" s="1" t="s">
        <v>198</v>
      </c>
      <c r="C903" s="4">
        <v>1</v>
      </c>
      <c r="D903" s="8">
        <v>1.89</v>
      </c>
      <c r="E903" s="4">
        <v>0</v>
      </c>
      <c r="F903" s="8">
        <v>0</v>
      </c>
      <c r="G903" s="4">
        <v>0</v>
      </c>
      <c r="H903" s="8">
        <v>0</v>
      </c>
      <c r="I903" s="4">
        <v>1</v>
      </c>
    </row>
    <row r="904" spans="1:9" x14ac:dyDescent="0.2">
      <c r="A904" s="2">
        <v>9</v>
      </c>
      <c r="B904" s="1" t="s">
        <v>165</v>
      </c>
      <c r="C904" s="4">
        <v>1</v>
      </c>
      <c r="D904" s="8">
        <v>1.89</v>
      </c>
      <c r="E904" s="4">
        <v>1</v>
      </c>
      <c r="F904" s="8">
        <v>3.03</v>
      </c>
      <c r="G904" s="4">
        <v>0</v>
      </c>
      <c r="H904" s="8">
        <v>0</v>
      </c>
      <c r="I904" s="4">
        <v>0</v>
      </c>
    </row>
    <row r="905" spans="1:9" x14ac:dyDescent="0.2">
      <c r="A905" s="2">
        <v>9</v>
      </c>
      <c r="B905" s="1" t="s">
        <v>244</v>
      </c>
      <c r="C905" s="4">
        <v>1</v>
      </c>
      <c r="D905" s="8">
        <v>1.89</v>
      </c>
      <c r="E905" s="4">
        <v>0</v>
      </c>
      <c r="F905" s="8">
        <v>0</v>
      </c>
      <c r="G905" s="4">
        <v>1</v>
      </c>
      <c r="H905" s="8">
        <v>6.67</v>
      </c>
      <c r="I905" s="4">
        <v>0</v>
      </c>
    </row>
    <row r="906" spans="1:9" x14ac:dyDescent="0.2">
      <c r="A906" s="2">
        <v>9</v>
      </c>
      <c r="B906" s="1" t="s">
        <v>245</v>
      </c>
      <c r="C906" s="4">
        <v>1</v>
      </c>
      <c r="D906" s="8">
        <v>1.89</v>
      </c>
      <c r="E906" s="4">
        <v>1</v>
      </c>
      <c r="F906" s="8">
        <v>3.03</v>
      </c>
      <c r="G906" s="4">
        <v>0</v>
      </c>
      <c r="H906" s="8">
        <v>0</v>
      </c>
      <c r="I906" s="4">
        <v>0</v>
      </c>
    </row>
    <row r="907" spans="1:9" x14ac:dyDescent="0.2">
      <c r="A907" s="2">
        <v>9</v>
      </c>
      <c r="B907" s="1" t="s">
        <v>246</v>
      </c>
      <c r="C907" s="4">
        <v>1</v>
      </c>
      <c r="D907" s="8">
        <v>1.89</v>
      </c>
      <c r="E907" s="4">
        <v>0</v>
      </c>
      <c r="F907" s="8">
        <v>0</v>
      </c>
      <c r="G907" s="4">
        <v>1</v>
      </c>
      <c r="H907" s="8">
        <v>6.67</v>
      </c>
      <c r="I907" s="4">
        <v>0</v>
      </c>
    </row>
    <row r="908" spans="1:9" x14ac:dyDescent="0.2">
      <c r="A908" s="2">
        <v>9</v>
      </c>
      <c r="B908" s="1" t="s">
        <v>232</v>
      </c>
      <c r="C908" s="4">
        <v>1</v>
      </c>
      <c r="D908" s="8">
        <v>1.89</v>
      </c>
      <c r="E908" s="4">
        <v>1</v>
      </c>
      <c r="F908" s="8">
        <v>3.03</v>
      </c>
      <c r="G908" s="4">
        <v>0</v>
      </c>
      <c r="H908" s="8">
        <v>0</v>
      </c>
      <c r="I908" s="4">
        <v>0</v>
      </c>
    </row>
    <row r="909" spans="1:9" x14ac:dyDescent="0.2">
      <c r="A909" s="2">
        <v>9</v>
      </c>
      <c r="B909" s="1" t="s">
        <v>247</v>
      </c>
      <c r="C909" s="4">
        <v>1</v>
      </c>
      <c r="D909" s="8">
        <v>1.89</v>
      </c>
      <c r="E909" s="4">
        <v>0</v>
      </c>
      <c r="F909" s="8">
        <v>0</v>
      </c>
      <c r="G909" s="4">
        <v>1</v>
      </c>
      <c r="H909" s="8">
        <v>6.67</v>
      </c>
      <c r="I909" s="4">
        <v>0</v>
      </c>
    </row>
    <row r="910" spans="1:9" x14ac:dyDescent="0.2">
      <c r="A910" s="2">
        <v>9</v>
      </c>
      <c r="B910" s="1" t="s">
        <v>199</v>
      </c>
      <c r="C910" s="4">
        <v>1</v>
      </c>
      <c r="D910" s="8">
        <v>1.89</v>
      </c>
      <c r="E910" s="4">
        <v>1</v>
      </c>
      <c r="F910" s="8">
        <v>3.03</v>
      </c>
      <c r="G910" s="4">
        <v>0</v>
      </c>
      <c r="H910" s="8">
        <v>0</v>
      </c>
      <c r="I910" s="4">
        <v>0</v>
      </c>
    </row>
    <row r="911" spans="1:9" x14ac:dyDescent="0.2">
      <c r="A911" s="2">
        <v>9</v>
      </c>
      <c r="B911" s="1" t="s">
        <v>159</v>
      </c>
      <c r="C911" s="4">
        <v>1</v>
      </c>
      <c r="D911" s="8">
        <v>1.89</v>
      </c>
      <c r="E911" s="4">
        <v>1</v>
      </c>
      <c r="F911" s="8">
        <v>3.03</v>
      </c>
      <c r="G911" s="4">
        <v>0</v>
      </c>
      <c r="H911" s="8">
        <v>0</v>
      </c>
      <c r="I911" s="4">
        <v>0</v>
      </c>
    </row>
    <row r="912" spans="1:9" x14ac:dyDescent="0.2">
      <c r="A912" s="2">
        <v>9</v>
      </c>
      <c r="B912" s="1" t="s">
        <v>160</v>
      </c>
      <c r="C912" s="4">
        <v>1</v>
      </c>
      <c r="D912" s="8">
        <v>1.89</v>
      </c>
      <c r="E912" s="4">
        <v>0</v>
      </c>
      <c r="F912" s="8">
        <v>0</v>
      </c>
      <c r="G912" s="4">
        <v>1</v>
      </c>
      <c r="H912" s="8">
        <v>6.67</v>
      </c>
      <c r="I912" s="4">
        <v>0</v>
      </c>
    </row>
    <row r="913" spans="1:9" x14ac:dyDescent="0.2">
      <c r="A913" s="2">
        <v>9</v>
      </c>
      <c r="B913" s="1" t="s">
        <v>128</v>
      </c>
      <c r="C913" s="4">
        <v>1</v>
      </c>
      <c r="D913" s="8">
        <v>1.89</v>
      </c>
      <c r="E913" s="4">
        <v>0</v>
      </c>
      <c r="F913" s="8">
        <v>0</v>
      </c>
      <c r="G913" s="4">
        <v>0</v>
      </c>
      <c r="H913" s="8">
        <v>0</v>
      </c>
      <c r="I913" s="4">
        <v>0</v>
      </c>
    </row>
    <row r="914" spans="1:9" x14ac:dyDescent="0.2">
      <c r="A914" s="2">
        <v>9</v>
      </c>
      <c r="B914" s="1" t="s">
        <v>149</v>
      </c>
      <c r="C914" s="4">
        <v>1</v>
      </c>
      <c r="D914" s="8">
        <v>1.89</v>
      </c>
      <c r="E914" s="4">
        <v>1</v>
      </c>
      <c r="F914" s="8">
        <v>3.03</v>
      </c>
      <c r="G914" s="4">
        <v>0</v>
      </c>
      <c r="H914" s="8">
        <v>0</v>
      </c>
      <c r="I914" s="4">
        <v>0</v>
      </c>
    </row>
    <row r="915" spans="1:9" x14ac:dyDescent="0.2">
      <c r="A915" s="2">
        <v>9</v>
      </c>
      <c r="B915" s="1" t="s">
        <v>161</v>
      </c>
      <c r="C915" s="4">
        <v>1</v>
      </c>
      <c r="D915" s="8">
        <v>1.89</v>
      </c>
      <c r="E915" s="4">
        <v>1</v>
      </c>
      <c r="F915" s="8">
        <v>3.03</v>
      </c>
      <c r="G915" s="4">
        <v>0</v>
      </c>
      <c r="H915" s="8">
        <v>0</v>
      </c>
      <c r="I915" s="4">
        <v>0</v>
      </c>
    </row>
    <row r="916" spans="1:9" x14ac:dyDescent="0.2">
      <c r="A916" s="2">
        <v>9</v>
      </c>
      <c r="B916" s="1" t="s">
        <v>135</v>
      </c>
      <c r="C916" s="4">
        <v>1</v>
      </c>
      <c r="D916" s="8">
        <v>1.89</v>
      </c>
      <c r="E916" s="4">
        <v>1</v>
      </c>
      <c r="F916" s="8">
        <v>3.03</v>
      </c>
      <c r="G916" s="4">
        <v>0</v>
      </c>
      <c r="H916" s="8">
        <v>0</v>
      </c>
      <c r="I916" s="4">
        <v>0</v>
      </c>
    </row>
    <row r="917" spans="1:9" x14ac:dyDescent="0.2">
      <c r="A917" s="2">
        <v>9</v>
      </c>
      <c r="B917" s="1" t="s">
        <v>136</v>
      </c>
      <c r="C917" s="4">
        <v>1</v>
      </c>
      <c r="D917" s="8">
        <v>1.89</v>
      </c>
      <c r="E917" s="4">
        <v>1</v>
      </c>
      <c r="F917" s="8">
        <v>3.03</v>
      </c>
      <c r="G917" s="4">
        <v>0</v>
      </c>
      <c r="H917" s="8">
        <v>0</v>
      </c>
      <c r="I917" s="4">
        <v>0</v>
      </c>
    </row>
    <row r="918" spans="1:9" x14ac:dyDescent="0.2">
      <c r="A918" s="2">
        <v>9</v>
      </c>
      <c r="B918" s="1" t="s">
        <v>150</v>
      </c>
      <c r="C918" s="4">
        <v>1</v>
      </c>
      <c r="D918" s="8">
        <v>1.89</v>
      </c>
      <c r="E918" s="4">
        <v>1</v>
      </c>
      <c r="F918" s="8">
        <v>3.03</v>
      </c>
      <c r="G918" s="4">
        <v>0</v>
      </c>
      <c r="H918" s="8">
        <v>0</v>
      </c>
      <c r="I918" s="4">
        <v>0</v>
      </c>
    </row>
    <row r="919" spans="1:9" x14ac:dyDescent="0.2">
      <c r="A919" s="2">
        <v>9</v>
      </c>
      <c r="B919" s="1" t="s">
        <v>182</v>
      </c>
      <c r="C919" s="4">
        <v>1</v>
      </c>
      <c r="D919" s="8">
        <v>1.89</v>
      </c>
      <c r="E919" s="4">
        <v>0</v>
      </c>
      <c r="F919" s="8">
        <v>0</v>
      </c>
      <c r="G919" s="4">
        <v>0</v>
      </c>
      <c r="H919" s="8">
        <v>0</v>
      </c>
      <c r="I919" s="4">
        <v>0</v>
      </c>
    </row>
    <row r="920" spans="1:9" x14ac:dyDescent="0.2">
      <c r="A920" s="2">
        <v>9</v>
      </c>
      <c r="B920" s="1" t="s">
        <v>196</v>
      </c>
      <c r="C920" s="4">
        <v>1</v>
      </c>
      <c r="D920" s="8">
        <v>1.89</v>
      </c>
      <c r="E920" s="4">
        <v>0</v>
      </c>
      <c r="F920" s="8">
        <v>0</v>
      </c>
      <c r="G920" s="4">
        <v>0</v>
      </c>
      <c r="H920" s="8">
        <v>0</v>
      </c>
      <c r="I920" s="4">
        <v>0</v>
      </c>
    </row>
    <row r="921" spans="1:9" x14ac:dyDescent="0.2">
      <c r="A921" s="2">
        <v>9</v>
      </c>
      <c r="B921" s="1" t="s">
        <v>203</v>
      </c>
      <c r="C921" s="4">
        <v>1</v>
      </c>
      <c r="D921" s="8">
        <v>1.89</v>
      </c>
      <c r="E921" s="4">
        <v>0</v>
      </c>
      <c r="F921" s="8">
        <v>0</v>
      </c>
      <c r="G921" s="4">
        <v>1</v>
      </c>
      <c r="H921" s="8">
        <v>6.67</v>
      </c>
      <c r="I921" s="4">
        <v>0</v>
      </c>
    </row>
    <row r="922" spans="1:9" x14ac:dyDescent="0.2">
      <c r="A922" s="2">
        <v>9</v>
      </c>
      <c r="B922" s="1" t="s">
        <v>141</v>
      </c>
      <c r="C922" s="4">
        <v>1</v>
      </c>
      <c r="D922" s="8">
        <v>1.89</v>
      </c>
      <c r="E922" s="4">
        <v>1</v>
      </c>
      <c r="F922" s="8">
        <v>3.03</v>
      </c>
      <c r="G922" s="4">
        <v>0</v>
      </c>
      <c r="H922" s="8">
        <v>0</v>
      </c>
      <c r="I922" s="4">
        <v>0</v>
      </c>
    </row>
    <row r="923" spans="1:9" x14ac:dyDescent="0.2">
      <c r="A923" s="2">
        <v>9</v>
      </c>
      <c r="B923" s="1" t="s">
        <v>185</v>
      </c>
      <c r="C923" s="4">
        <v>1</v>
      </c>
      <c r="D923" s="8">
        <v>1.89</v>
      </c>
      <c r="E923" s="4">
        <v>0</v>
      </c>
      <c r="F923" s="8">
        <v>0</v>
      </c>
      <c r="G923" s="4">
        <v>0</v>
      </c>
      <c r="H923" s="8">
        <v>0</v>
      </c>
      <c r="I923" s="4">
        <v>0</v>
      </c>
    </row>
    <row r="924" spans="1:9" x14ac:dyDescent="0.2">
      <c r="A924" s="1"/>
      <c r="C924" s="4"/>
      <c r="D924" s="8"/>
      <c r="E924" s="4"/>
      <c r="F924" s="8"/>
      <c r="G924" s="4"/>
      <c r="H924" s="8"/>
      <c r="I924" s="4"/>
    </row>
    <row r="925" spans="1:9" x14ac:dyDescent="0.2">
      <c r="A925" s="1" t="s">
        <v>36</v>
      </c>
      <c r="C925" s="4"/>
      <c r="D925" s="8"/>
      <c r="E925" s="4"/>
      <c r="F925" s="8"/>
      <c r="G925" s="4"/>
      <c r="H925" s="8"/>
      <c r="I925" s="4"/>
    </row>
    <row r="926" spans="1:9" x14ac:dyDescent="0.2">
      <c r="A926" s="2">
        <v>1</v>
      </c>
      <c r="B926" s="1" t="s">
        <v>122</v>
      </c>
      <c r="C926" s="4">
        <v>11</v>
      </c>
      <c r="D926" s="8">
        <v>18.03</v>
      </c>
      <c r="E926" s="4">
        <v>1</v>
      </c>
      <c r="F926" s="8">
        <v>2.86</v>
      </c>
      <c r="G926" s="4">
        <v>10</v>
      </c>
      <c r="H926" s="8">
        <v>50</v>
      </c>
      <c r="I926" s="4">
        <v>0</v>
      </c>
    </row>
    <row r="927" spans="1:9" x14ac:dyDescent="0.2">
      <c r="A927" s="2">
        <v>2</v>
      </c>
      <c r="B927" s="1" t="s">
        <v>130</v>
      </c>
      <c r="C927" s="4">
        <v>7</v>
      </c>
      <c r="D927" s="8">
        <v>11.48</v>
      </c>
      <c r="E927" s="4">
        <v>7</v>
      </c>
      <c r="F927" s="8">
        <v>20</v>
      </c>
      <c r="G927" s="4">
        <v>0</v>
      </c>
      <c r="H927" s="8">
        <v>0</v>
      </c>
      <c r="I927" s="4">
        <v>0</v>
      </c>
    </row>
    <row r="928" spans="1:9" x14ac:dyDescent="0.2">
      <c r="A928" s="2">
        <v>3</v>
      </c>
      <c r="B928" s="1" t="s">
        <v>123</v>
      </c>
      <c r="C928" s="4">
        <v>5</v>
      </c>
      <c r="D928" s="8">
        <v>8.1999999999999993</v>
      </c>
      <c r="E928" s="4">
        <v>5</v>
      </c>
      <c r="F928" s="8">
        <v>14.29</v>
      </c>
      <c r="G928" s="4">
        <v>0</v>
      </c>
      <c r="H928" s="8">
        <v>0</v>
      </c>
      <c r="I928" s="4">
        <v>0</v>
      </c>
    </row>
    <row r="929" spans="1:9" x14ac:dyDescent="0.2">
      <c r="A929" s="2">
        <v>4</v>
      </c>
      <c r="B929" s="1" t="s">
        <v>156</v>
      </c>
      <c r="C929" s="4">
        <v>3</v>
      </c>
      <c r="D929" s="8">
        <v>4.92</v>
      </c>
      <c r="E929" s="4">
        <v>1</v>
      </c>
      <c r="F929" s="8">
        <v>2.86</v>
      </c>
      <c r="G929" s="4">
        <v>1</v>
      </c>
      <c r="H929" s="8">
        <v>5</v>
      </c>
      <c r="I929" s="4">
        <v>1</v>
      </c>
    </row>
    <row r="930" spans="1:9" x14ac:dyDescent="0.2">
      <c r="A930" s="2">
        <v>5</v>
      </c>
      <c r="B930" s="1" t="s">
        <v>191</v>
      </c>
      <c r="C930" s="4">
        <v>2</v>
      </c>
      <c r="D930" s="8">
        <v>3.28</v>
      </c>
      <c r="E930" s="4">
        <v>1</v>
      </c>
      <c r="F930" s="8">
        <v>2.86</v>
      </c>
      <c r="G930" s="4">
        <v>1</v>
      </c>
      <c r="H930" s="8">
        <v>5</v>
      </c>
      <c r="I930" s="4">
        <v>0</v>
      </c>
    </row>
    <row r="931" spans="1:9" x14ac:dyDescent="0.2">
      <c r="A931" s="2">
        <v>5</v>
      </c>
      <c r="B931" s="1" t="s">
        <v>175</v>
      </c>
      <c r="C931" s="4">
        <v>2</v>
      </c>
      <c r="D931" s="8">
        <v>3.28</v>
      </c>
      <c r="E931" s="4">
        <v>2</v>
      </c>
      <c r="F931" s="8">
        <v>5.71</v>
      </c>
      <c r="G931" s="4">
        <v>0</v>
      </c>
      <c r="H931" s="8">
        <v>0</v>
      </c>
      <c r="I931" s="4">
        <v>0</v>
      </c>
    </row>
    <row r="932" spans="1:9" x14ac:dyDescent="0.2">
      <c r="A932" s="2">
        <v>5</v>
      </c>
      <c r="B932" s="1" t="s">
        <v>149</v>
      </c>
      <c r="C932" s="4">
        <v>2</v>
      </c>
      <c r="D932" s="8">
        <v>3.28</v>
      </c>
      <c r="E932" s="4">
        <v>1</v>
      </c>
      <c r="F932" s="8">
        <v>2.86</v>
      </c>
      <c r="G932" s="4">
        <v>1</v>
      </c>
      <c r="H932" s="8">
        <v>5</v>
      </c>
      <c r="I932" s="4">
        <v>0</v>
      </c>
    </row>
    <row r="933" spans="1:9" x14ac:dyDescent="0.2">
      <c r="A933" s="2">
        <v>5</v>
      </c>
      <c r="B933" s="1" t="s">
        <v>132</v>
      </c>
      <c r="C933" s="4">
        <v>2</v>
      </c>
      <c r="D933" s="8">
        <v>3.28</v>
      </c>
      <c r="E933" s="4">
        <v>2</v>
      </c>
      <c r="F933" s="8">
        <v>5.71</v>
      </c>
      <c r="G933" s="4">
        <v>0</v>
      </c>
      <c r="H933" s="8">
        <v>0</v>
      </c>
      <c r="I933" s="4">
        <v>0</v>
      </c>
    </row>
    <row r="934" spans="1:9" x14ac:dyDescent="0.2">
      <c r="A934" s="2">
        <v>5</v>
      </c>
      <c r="B934" s="1" t="s">
        <v>133</v>
      </c>
      <c r="C934" s="4">
        <v>2</v>
      </c>
      <c r="D934" s="8">
        <v>3.28</v>
      </c>
      <c r="E934" s="4">
        <v>2</v>
      </c>
      <c r="F934" s="8">
        <v>5.71</v>
      </c>
      <c r="G934" s="4">
        <v>0</v>
      </c>
      <c r="H934" s="8">
        <v>0</v>
      </c>
      <c r="I934" s="4">
        <v>0</v>
      </c>
    </row>
    <row r="935" spans="1:9" x14ac:dyDescent="0.2">
      <c r="A935" s="2">
        <v>5</v>
      </c>
      <c r="B935" s="1" t="s">
        <v>135</v>
      </c>
      <c r="C935" s="4">
        <v>2</v>
      </c>
      <c r="D935" s="8">
        <v>3.28</v>
      </c>
      <c r="E935" s="4">
        <v>2</v>
      </c>
      <c r="F935" s="8">
        <v>5.71</v>
      </c>
      <c r="G935" s="4">
        <v>0</v>
      </c>
      <c r="H935" s="8">
        <v>0</v>
      </c>
      <c r="I935" s="4">
        <v>0</v>
      </c>
    </row>
    <row r="936" spans="1:9" x14ac:dyDescent="0.2">
      <c r="A936" s="2">
        <v>5</v>
      </c>
      <c r="B936" s="1" t="s">
        <v>136</v>
      </c>
      <c r="C936" s="4">
        <v>2</v>
      </c>
      <c r="D936" s="8">
        <v>3.28</v>
      </c>
      <c r="E936" s="4">
        <v>2</v>
      </c>
      <c r="F936" s="8">
        <v>5.71</v>
      </c>
      <c r="G936" s="4">
        <v>0</v>
      </c>
      <c r="H936" s="8">
        <v>0</v>
      </c>
      <c r="I936" s="4">
        <v>0</v>
      </c>
    </row>
    <row r="937" spans="1:9" x14ac:dyDescent="0.2">
      <c r="A937" s="2">
        <v>12</v>
      </c>
      <c r="B937" s="1" t="s">
        <v>146</v>
      </c>
      <c r="C937" s="4">
        <v>1</v>
      </c>
      <c r="D937" s="8">
        <v>1.64</v>
      </c>
      <c r="E937" s="4">
        <v>0</v>
      </c>
      <c r="F937" s="8">
        <v>0</v>
      </c>
      <c r="G937" s="4">
        <v>1</v>
      </c>
      <c r="H937" s="8">
        <v>5</v>
      </c>
      <c r="I937" s="4">
        <v>0</v>
      </c>
    </row>
    <row r="938" spans="1:9" x14ac:dyDescent="0.2">
      <c r="A938" s="2">
        <v>12</v>
      </c>
      <c r="B938" s="1" t="s">
        <v>198</v>
      </c>
      <c r="C938" s="4">
        <v>1</v>
      </c>
      <c r="D938" s="8">
        <v>1.64</v>
      </c>
      <c r="E938" s="4">
        <v>0</v>
      </c>
      <c r="F938" s="8">
        <v>0</v>
      </c>
      <c r="G938" s="4">
        <v>1</v>
      </c>
      <c r="H938" s="8">
        <v>5</v>
      </c>
      <c r="I938" s="4">
        <v>0</v>
      </c>
    </row>
    <row r="939" spans="1:9" x14ac:dyDescent="0.2">
      <c r="A939" s="2">
        <v>12</v>
      </c>
      <c r="B939" s="1" t="s">
        <v>165</v>
      </c>
      <c r="C939" s="4">
        <v>1</v>
      </c>
      <c r="D939" s="8">
        <v>1.64</v>
      </c>
      <c r="E939" s="4">
        <v>0</v>
      </c>
      <c r="F939" s="8">
        <v>0</v>
      </c>
      <c r="G939" s="4">
        <v>1</v>
      </c>
      <c r="H939" s="8">
        <v>5</v>
      </c>
      <c r="I939" s="4">
        <v>0</v>
      </c>
    </row>
    <row r="940" spans="1:9" x14ac:dyDescent="0.2">
      <c r="A940" s="2">
        <v>12</v>
      </c>
      <c r="B940" s="1" t="s">
        <v>214</v>
      </c>
      <c r="C940" s="4">
        <v>1</v>
      </c>
      <c r="D940" s="8">
        <v>1.64</v>
      </c>
      <c r="E940" s="4">
        <v>0</v>
      </c>
      <c r="F940" s="8">
        <v>0</v>
      </c>
      <c r="G940" s="4">
        <v>1</v>
      </c>
      <c r="H940" s="8">
        <v>5</v>
      </c>
      <c r="I940" s="4">
        <v>0</v>
      </c>
    </row>
    <row r="941" spans="1:9" x14ac:dyDescent="0.2">
      <c r="A941" s="2">
        <v>12</v>
      </c>
      <c r="B941" s="1" t="s">
        <v>155</v>
      </c>
      <c r="C941" s="4">
        <v>1</v>
      </c>
      <c r="D941" s="8">
        <v>1.64</v>
      </c>
      <c r="E941" s="4">
        <v>0</v>
      </c>
      <c r="F941" s="8">
        <v>0</v>
      </c>
      <c r="G941" s="4">
        <v>1</v>
      </c>
      <c r="H941" s="8">
        <v>5</v>
      </c>
      <c r="I941" s="4">
        <v>0</v>
      </c>
    </row>
    <row r="942" spans="1:9" x14ac:dyDescent="0.2">
      <c r="A942" s="2">
        <v>12</v>
      </c>
      <c r="B942" s="1" t="s">
        <v>173</v>
      </c>
      <c r="C942" s="4">
        <v>1</v>
      </c>
      <c r="D942" s="8">
        <v>1.64</v>
      </c>
      <c r="E942" s="4">
        <v>1</v>
      </c>
      <c r="F942" s="8">
        <v>2.86</v>
      </c>
      <c r="G942" s="4">
        <v>0</v>
      </c>
      <c r="H942" s="8">
        <v>0</v>
      </c>
      <c r="I942" s="4">
        <v>0</v>
      </c>
    </row>
    <row r="943" spans="1:9" x14ac:dyDescent="0.2">
      <c r="A943" s="2">
        <v>12</v>
      </c>
      <c r="B943" s="1" t="s">
        <v>199</v>
      </c>
      <c r="C943" s="4">
        <v>1</v>
      </c>
      <c r="D943" s="8">
        <v>1.64</v>
      </c>
      <c r="E943" s="4">
        <v>1</v>
      </c>
      <c r="F943" s="8">
        <v>2.86</v>
      </c>
      <c r="G943" s="4">
        <v>0</v>
      </c>
      <c r="H943" s="8">
        <v>0</v>
      </c>
      <c r="I943" s="4">
        <v>0</v>
      </c>
    </row>
    <row r="944" spans="1:9" x14ac:dyDescent="0.2">
      <c r="A944" s="2">
        <v>12</v>
      </c>
      <c r="B944" s="1" t="s">
        <v>158</v>
      </c>
      <c r="C944" s="4">
        <v>1</v>
      </c>
      <c r="D944" s="8">
        <v>1.64</v>
      </c>
      <c r="E944" s="4">
        <v>1</v>
      </c>
      <c r="F944" s="8">
        <v>2.86</v>
      </c>
      <c r="G944" s="4">
        <v>0</v>
      </c>
      <c r="H944" s="8">
        <v>0</v>
      </c>
      <c r="I944" s="4">
        <v>0</v>
      </c>
    </row>
    <row r="945" spans="1:9" x14ac:dyDescent="0.2">
      <c r="A945" s="2">
        <v>12</v>
      </c>
      <c r="B945" s="1" t="s">
        <v>144</v>
      </c>
      <c r="C945" s="4">
        <v>1</v>
      </c>
      <c r="D945" s="8">
        <v>1.64</v>
      </c>
      <c r="E945" s="4">
        <v>1</v>
      </c>
      <c r="F945" s="8">
        <v>2.86</v>
      </c>
      <c r="G945" s="4">
        <v>0</v>
      </c>
      <c r="H945" s="8">
        <v>0</v>
      </c>
      <c r="I945" s="4">
        <v>0</v>
      </c>
    </row>
    <row r="946" spans="1:9" x14ac:dyDescent="0.2">
      <c r="A946" s="2">
        <v>12</v>
      </c>
      <c r="B946" s="1" t="s">
        <v>160</v>
      </c>
      <c r="C946" s="4">
        <v>1</v>
      </c>
      <c r="D946" s="8">
        <v>1.64</v>
      </c>
      <c r="E946" s="4">
        <v>0</v>
      </c>
      <c r="F946" s="8">
        <v>0</v>
      </c>
      <c r="G946" s="4">
        <v>1</v>
      </c>
      <c r="H946" s="8">
        <v>5</v>
      </c>
      <c r="I946" s="4">
        <v>0</v>
      </c>
    </row>
    <row r="947" spans="1:9" x14ac:dyDescent="0.2">
      <c r="A947" s="2">
        <v>12</v>
      </c>
      <c r="B947" s="1" t="s">
        <v>153</v>
      </c>
      <c r="C947" s="4">
        <v>1</v>
      </c>
      <c r="D947" s="8">
        <v>1.64</v>
      </c>
      <c r="E947" s="4">
        <v>1</v>
      </c>
      <c r="F947" s="8">
        <v>2.86</v>
      </c>
      <c r="G947" s="4">
        <v>0</v>
      </c>
      <c r="H947" s="8">
        <v>0</v>
      </c>
      <c r="I947" s="4">
        <v>0</v>
      </c>
    </row>
    <row r="948" spans="1:9" x14ac:dyDescent="0.2">
      <c r="A948" s="2">
        <v>12</v>
      </c>
      <c r="B948" s="1" t="s">
        <v>128</v>
      </c>
      <c r="C948" s="4">
        <v>1</v>
      </c>
      <c r="D948" s="8">
        <v>1.64</v>
      </c>
      <c r="E948" s="4">
        <v>0</v>
      </c>
      <c r="F948" s="8">
        <v>0</v>
      </c>
      <c r="G948" s="4">
        <v>0</v>
      </c>
      <c r="H948" s="8">
        <v>0</v>
      </c>
      <c r="I948" s="4">
        <v>0</v>
      </c>
    </row>
    <row r="949" spans="1:9" x14ac:dyDescent="0.2">
      <c r="A949" s="2">
        <v>12</v>
      </c>
      <c r="B949" s="1" t="s">
        <v>217</v>
      </c>
      <c r="C949" s="4">
        <v>1</v>
      </c>
      <c r="D949" s="8">
        <v>1.64</v>
      </c>
      <c r="E949" s="4">
        <v>1</v>
      </c>
      <c r="F949" s="8">
        <v>2.86</v>
      </c>
      <c r="G949" s="4">
        <v>0</v>
      </c>
      <c r="H949" s="8">
        <v>0</v>
      </c>
      <c r="I949" s="4">
        <v>0</v>
      </c>
    </row>
    <row r="950" spans="1:9" x14ac:dyDescent="0.2">
      <c r="A950" s="2">
        <v>12</v>
      </c>
      <c r="B950" s="1" t="s">
        <v>131</v>
      </c>
      <c r="C950" s="4">
        <v>1</v>
      </c>
      <c r="D950" s="8">
        <v>1.64</v>
      </c>
      <c r="E950" s="4">
        <v>1</v>
      </c>
      <c r="F950" s="8">
        <v>2.86</v>
      </c>
      <c r="G950" s="4">
        <v>0</v>
      </c>
      <c r="H950" s="8">
        <v>0</v>
      </c>
      <c r="I950" s="4">
        <v>0</v>
      </c>
    </row>
    <row r="951" spans="1:9" x14ac:dyDescent="0.2">
      <c r="A951" s="2">
        <v>12</v>
      </c>
      <c r="B951" s="1" t="s">
        <v>134</v>
      </c>
      <c r="C951" s="4">
        <v>1</v>
      </c>
      <c r="D951" s="8">
        <v>1.64</v>
      </c>
      <c r="E951" s="4">
        <v>1</v>
      </c>
      <c r="F951" s="8">
        <v>2.86</v>
      </c>
      <c r="G951" s="4">
        <v>0</v>
      </c>
      <c r="H951" s="8">
        <v>0</v>
      </c>
      <c r="I951" s="4">
        <v>0</v>
      </c>
    </row>
    <row r="952" spans="1:9" x14ac:dyDescent="0.2">
      <c r="A952" s="2">
        <v>12</v>
      </c>
      <c r="B952" s="1" t="s">
        <v>248</v>
      </c>
      <c r="C952" s="4">
        <v>1</v>
      </c>
      <c r="D952" s="8">
        <v>1.64</v>
      </c>
      <c r="E952" s="4">
        <v>0</v>
      </c>
      <c r="F952" s="8">
        <v>0</v>
      </c>
      <c r="G952" s="4">
        <v>0</v>
      </c>
      <c r="H952" s="8">
        <v>0</v>
      </c>
      <c r="I952" s="4">
        <v>0</v>
      </c>
    </row>
    <row r="953" spans="1:9" x14ac:dyDescent="0.2">
      <c r="A953" s="2">
        <v>12</v>
      </c>
      <c r="B953" s="1" t="s">
        <v>150</v>
      </c>
      <c r="C953" s="4">
        <v>1</v>
      </c>
      <c r="D953" s="8">
        <v>1.64</v>
      </c>
      <c r="E953" s="4">
        <v>1</v>
      </c>
      <c r="F953" s="8">
        <v>2.86</v>
      </c>
      <c r="G953" s="4">
        <v>0</v>
      </c>
      <c r="H953" s="8">
        <v>0</v>
      </c>
      <c r="I953" s="4">
        <v>0</v>
      </c>
    </row>
    <row r="954" spans="1:9" x14ac:dyDescent="0.2">
      <c r="A954" s="2">
        <v>12</v>
      </c>
      <c r="B954" s="1" t="s">
        <v>182</v>
      </c>
      <c r="C954" s="4">
        <v>1</v>
      </c>
      <c r="D954" s="8">
        <v>1.64</v>
      </c>
      <c r="E954" s="4">
        <v>0</v>
      </c>
      <c r="F954" s="8">
        <v>0</v>
      </c>
      <c r="G954" s="4">
        <v>0</v>
      </c>
      <c r="H954" s="8">
        <v>0</v>
      </c>
      <c r="I954" s="4">
        <v>0</v>
      </c>
    </row>
    <row r="955" spans="1:9" x14ac:dyDescent="0.2">
      <c r="A955" s="2">
        <v>12</v>
      </c>
      <c r="B955" s="1" t="s">
        <v>196</v>
      </c>
      <c r="C955" s="4">
        <v>1</v>
      </c>
      <c r="D955" s="8">
        <v>1.64</v>
      </c>
      <c r="E955" s="4">
        <v>0</v>
      </c>
      <c r="F955" s="8">
        <v>0</v>
      </c>
      <c r="G955" s="4">
        <v>0</v>
      </c>
      <c r="H955" s="8">
        <v>0</v>
      </c>
      <c r="I955" s="4">
        <v>0</v>
      </c>
    </row>
    <row r="956" spans="1:9" x14ac:dyDescent="0.2">
      <c r="A956" s="2">
        <v>12</v>
      </c>
      <c r="B956" s="1" t="s">
        <v>203</v>
      </c>
      <c r="C956" s="4">
        <v>1</v>
      </c>
      <c r="D956" s="8">
        <v>1.64</v>
      </c>
      <c r="E956" s="4">
        <v>0</v>
      </c>
      <c r="F956" s="8">
        <v>0</v>
      </c>
      <c r="G956" s="4">
        <v>0</v>
      </c>
      <c r="H956" s="8">
        <v>0</v>
      </c>
      <c r="I956" s="4">
        <v>0</v>
      </c>
    </row>
    <row r="957" spans="1:9" x14ac:dyDescent="0.2">
      <c r="A957" s="2">
        <v>12</v>
      </c>
      <c r="B957" s="1" t="s">
        <v>249</v>
      </c>
      <c r="C957" s="4">
        <v>1</v>
      </c>
      <c r="D957" s="8">
        <v>1.64</v>
      </c>
      <c r="E957" s="4">
        <v>0</v>
      </c>
      <c r="F957" s="8">
        <v>0</v>
      </c>
      <c r="G957" s="4">
        <v>1</v>
      </c>
      <c r="H957" s="8">
        <v>5</v>
      </c>
      <c r="I957" s="4">
        <v>0</v>
      </c>
    </row>
    <row r="958" spans="1:9" x14ac:dyDescent="0.2">
      <c r="A958" s="1"/>
      <c r="C958" s="4"/>
      <c r="D958" s="8"/>
      <c r="E958" s="4"/>
      <c r="F958" s="8"/>
      <c r="G958" s="4"/>
      <c r="H958" s="8"/>
      <c r="I958" s="4"/>
    </row>
    <row r="959" spans="1:9" x14ac:dyDescent="0.2">
      <c r="A959" s="1" t="s">
        <v>37</v>
      </c>
      <c r="C959" s="4"/>
      <c r="D959" s="8"/>
      <c r="E959" s="4"/>
      <c r="F959" s="8"/>
      <c r="G959" s="4"/>
      <c r="H959" s="8"/>
      <c r="I959" s="4"/>
    </row>
    <row r="960" spans="1:9" x14ac:dyDescent="0.2">
      <c r="A960" s="2">
        <v>1</v>
      </c>
      <c r="B960" s="1" t="s">
        <v>167</v>
      </c>
      <c r="C960" s="4">
        <v>52</v>
      </c>
      <c r="D960" s="8">
        <v>13.65</v>
      </c>
      <c r="E960" s="4">
        <v>51</v>
      </c>
      <c r="F960" s="8">
        <v>16.399999999999999</v>
      </c>
      <c r="G960" s="4">
        <v>1</v>
      </c>
      <c r="H960" s="8">
        <v>1.54</v>
      </c>
      <c r="I960" s="4">
        <v>0</v>
      </c>
    </row>
    <row r="961" spans="1:9" x14ac:dyDescent="0.2">
      <c r="A961" s="2">
        <v>2</v>
      </c>
      <c r="B961" s="1" t="s">
        <v>128</v>
      </c>
      <c r="C961" s="4">
        <v>31</v>
      </c>
      <c r="D961" s="8">
        <v>8.14</v>
      </c>
      <c r="E961" s="4">
        <v>29</v>
      </c>
      <c r="F961" s="8">
        <v>9.32</v>
      </c>
      <c r="G961" s="4">
        <v>2</v>
      </c>
      <c r="H961" s="8">
        <v>3.08</v>
      </c>
      <c r="I961" s="4">
        <v>0</v>
      </c>
    </row>
    <row r="962" spans="1:9" x14ac:dyDescent="0.2">
      <c r="A962" s="2">
        <v>3</v>
      </c>
      <c r="B962" s="1" t="s">
        <v>123</v>
      </c>
      <c r="C962" s="4">
        <v>16</v>
      </c>
      <c r="D962" s="8">
        <v>4.2</v>
      </c>
      <c r="E962" s="4">
        <v>16</v>
      </c>
      <c r="F962" s="8">
        <v>5.14</v>
      </c>
      <c r="G962" s="4">
        <v>0</v>
      </c>
      <c r="H962" s="8">
        <v>0</v>
      </c>
      <c r="I962" s="4">
        <v>0</v>
      </c>
    </row>
    <row r="963" spans="1:9" x14ac:dyDescent="0.2">
      <c r="A963" s="2">
        <v>4</v>
      </c>
      <c r="B963" s="1" t="s">
        <v>133</v>
      </c>
      <c r="C963" s="4">
        <v>15</v>
      </c>
      <c r="D963" s="8">
        <v>3.94</v>
      </c>
      <c r="E963" s="4">
        <v>15</v>
      </c>
      <c r="F963" s="8">
        <v>4.82</v>
      </c>
      <c r="G963" s="4">
        <v>0</v>
      </c>
      <c r="H963" s="8">
        <v>0</v>
      </c>
      <c r="I963" s="4">
        <v>0</v>
      </c>
    </row>
    <row r="964" spans="1:9" x14ac:dyDescent="0.2">
      <c r="A964" s="2">
        <v>5</v>
      </c>
      <c r="B964" s="1" t="s">
        <v>130</v>
      </c>
      <c r="C964" s="4">
        <v>13</v>
      </c>
      <c r="D964" s="8">
        <v>3.41</v>
      </c>
      <c r="E964" s="4">
        <v>13</v>
      </c>
      <c r="F964" s="8">
        <v>4.18</v>
      </c>
      <c r="G964" s="4">
        <v>0</v>
      </c>
      <c r="H964" s="8">
        <v>0</v>
      </c>
      <c r="I964" s="4">
        <v>0</v>
      </c>
    </row>
    <row r="965" spans="1:9" x14ac:dyDescent="0.2">
      <c r="A965" s="2">
        <v>5</v>
      </c>
      <c r="B965" s="1" t="s">
        <v>132</v>
      </c>
      <c r="C965" s="4">
        <v>13</v>
      </c>
      <c r="D965" s="8">
        <v>3.41</v>
      </c>
      <c r="E965" s="4">
        <v>13</v>
      </c>
      <c r="F965" s="8">
        <v>4.18</v>
      </c>
      <c r="G965" s="4">
        <v>0</v>
      </c>
      <c r="H965" s="8">
        <v>0</v>
      </c>
      <c r="I965" s="4">
        <v>0</v>
      </c>
    </row>
    <row r="966" spans="1:9" x14ac:dyDescent="0.2">
      <c r="A966" s="2">
        <v>7</v>
      </c>
      <c r="B966" s="1" t="s">
        <v>136</v>
      </c>
      <c r="C966" s="4">
        <v>12</v>
      </c>
      <c r="D966" s="8">
        <v>3.15</v>
      </c>
      <c r="E966" s="4">
        <v>12</v>
      </c>
      <c r="F966" s="8">
        <v>3.86</v>
      </c>
      <c r="G966" s="4">
        <v>0</v>
      </c>
      <c r="H966" s="8">
        <v>0</v>
      </c>
      <c r="I966" s="4">
        <v>0</v>
      </c>
    </row>
    <row r="967" spans="1:9" x14ac:dyDescent="0.2">
      <c r="A967" s="2">
        <v>8</v>
      </c>
      <c r="B967" s="1" t="s">
        <v>131</v>
      </c>
      <c r="C967" s="4">
        <v>11</v>
      </c>
      <c r="D967" s="8">
        <v>2.89</v>
      </c>
      <c r="E967" s="4">
        <v>10</v>
      </c>
      <c r="F967" s="8">
        <v>3.22</v>
      </c>
      <c r="G967" s="4">
        <v>1</v>
      </c>
      <c r="H967" s="8">
        <v>1.54</v>
      </c>
      <c r="I967" s="4">
        <v>0</v>
      </c>
    </row>
    <row r="968" spans="1:9" x14ac:dyDescent="0.2">
      <c r="A968" s="2">
        <v>9</v>
      </c>
      <c r="B968" s="1" t="s">
        <v>150</v>
      </c>
      <c r="C968" s="4">
        <v>10</v>
      </c>
      <c r="D968" s="8">
        <v>2.62</v>
      </c>
      <c r="E968" s="4">
        <v>8</v>
      </c>
      <c r="F968" s="8">
        <v>2.57</v>
      </c>
      <c r="G968" s="4">
        <v>2</v>
      </c>
      <c r="H968" s="8">
        <v>3.08</v>
      </c>
      <c r="I968" s="4">
        <v>0</v>
      </c>
    </row>
    <row r="969" spans="1:9" x14ac:dyDescent="0.2">
      <c r="A969" s="2">
        <v>10</v>
      </c>
      <c r="B969" s="1" t="s">
        <v>139</v>
      </c>
      <c r="C969" s="4">
        <v>9</v>
      </c>
      <c r="D969" s="8">
        <v>2.36</v>
      </c>
      <c r="E969" s="4">
        <v>9</v>
      </c>
      <c r="F969" s="8">
        <v>2.89</v>
      </c>
      <c r="G969" s="4">
        <v>0</v>
      </c>
      <c r="H969" s="8">
        <v>0</v>
      </c>
      <c r="I969" s="4">
        <v>0</v>
      </c>
    </row>
    <row r="970" spans="1:9" x14ac:dyDescent="0.2">
      <c r="A970" s="2">
        <v>11</v>
      </c>
      <c r="B970" s="1" t="s">
        <v>137</v>
      </c>
      <c r="C970" s="4">
        <v>8</v>
      </c>
      <c r="D970" s="8">
        <v>2.1</v>
      </c>
      <c r="E970" s="4">
        <v>8</v>
      </c>
      <c r="F970" s="8">
        <v>2.57</v>
      </c>
      <c r="G970" s="4">
        <v>0</v>
      </c>
      <c r="H970" s="8">
        <v>0</v>
      </c>
      <c r="I970" s="4">
        <v>0</v>
      </c>
    </row>
    <row r="971" spans="1:9" x14ac:dyDescent="0.2">
      <c r="A971" s="2">
        <v>12</v>
      </c>
      <c r="B971" s="1" t="s">
        <v>198</v>
      </c>
      <c r="C971" s="4">
        <v>7</v>
      </c>
      <c r="D971" s="8">
        <v>1.84</v>
      </c>
      <c r="E971" s="4">
        <v>4</v>
      </c>
      <c r="F971" s="8">
        <v>1.29</v>
      </c>
      <c r="G971" s="4">
        <v>3</v>
      </c>
      <c r="H971" s="8">
        <v>4.62</v>
      </c>
      <c r="I971" s="4">
        <v>0</v>
      </c>
    </row>
    <row r="972" spans="1:9" x14ac:dyDescent="0.2">
      <c r="A972" s="2">
        <v>12</v>
      </c>
      <c r="B972" s="1" t="s">
        <v>149</v>
      </c>
      <c r="C972" s="4">
        <v>7</v>
      </c>
      <c r="D972" s="8">
        <v>1.84</v>
      </c>
      <c r="E972" s="4">
        <v>6</v>
      </c>
      <c r="F972" s="8">
        <v>1.93</v>
      </c>
      <c r="G972" s="4">
        <v>1</v>
      </c>
      <c r="H972" s="8">
        <v>1.54</v>
      </c>
      <c r="I972" s="4">
        <v>0</v>
      </c>
    </row>
    <row r="973" spans="1:9" x14ac:dyDescent="0.2">
      <c r="A973" s="2">
        <v>12</v>
      </c>
      <c r="B973" s="1" t="s">
        <v>135</v>
      </c>
      <c r="C973" s="4">
        <v>7</v>
      </c>
      <c r="D973" s="8">
        <v>1.84</v>
      </c>
      <c r="E973" s="4">
        <v>7</v>
      </c>
      <c r="F973" s="8">
        <v>2.25</v>
      </c>
      <c r="G973" s="4">
        <v>0</v>
      </c>
      <c r="H973" s="8">
        <v>0</v>
      </c>
      <c r="I973" s="4">
        <v>0</v>
      </c>
    </row>
    <row r="974" spans="1:9" x14ac:dyDescent="0.2">
      <c r="A974" s="2">
        <v>15</v>
      </c>
      <c r="B974" s="1" t="s">
        <v>140</v>
      </c>
      <c r="C974" s="4">
        <v>6</v>
      </c>
      <c r="D974" s="8">
        <v>1.57</v>
      </c>
      <c r="E974" s="4">
        <v>6</v>
      </c>
      <c r="F974" s="8">
        <v>1.93</v>
      </c>
      <c r="G974" s="4">
        <v>0</v>
      </c>
      <c r="H974" s="8">
        <v>0</v>
      </c>
      <c r="I974" s="4">
        <v>0</v>
      </c>
    </row>
    <row r="975" spans="1:9" x14ac:dyDescent="0.2">
      <c r="A975" s="2">
        <v>16</v>
      </c>
      <c r="B975" s="1" t="s">
        <v>124</v>
      </c>
      <c r="C975" s="4">
        <v>5</v>
      </c>
      <c r="D975" s="8">
        <v>1.31</v>
      </c>
      <c r="E975" s="4">
        <v>5</v>
      </c>
      <c r="F975" s="8">
        <v>1.61</v>
      </c>
      <c r="G975" s="4">
        <v>0</v>
      </c>
      <c r="H975" s="8">
        <v>0</v>
      </c>
      <c r="I975" s="4">
        <v>0</v>
      </c>
    </row>
    <row r="976" spans="1:9" x14ac:dyDescent="0.2">
      <c r="A976" s="2">
        <v>16</v>
      </c>
      <c r="B976" s="1" t="s">
        <v>134</v>
      </c>
      <c r="C976" s="4">
        <v>5</v>
      </c>
      <c r="D976" s="8">
        <v>1.31</v>
      </c>
      <c r="E976" s="4">
        <v>5</v>
      </c>
      <c r="F976" s="8">
        <v>1.61</v>
      </c>
      <c r="G976" s="4">
        <v>0</v>
      </c>
      <c r="H976" s="8">
        <v>0</v>
      </c>
      <c r="I976" s="4">
        <v>0</v>
      </c>
    </row>
    <row r="977" spans="1:9" x14ac:dyDescent="0.2">
      <c r="A977" s="2">
        <v>18</v>
      </c>
      <c r="B977" s="1" t="s">
        <v>146</v>
      </c>
      <c r="C977" s="4">
        <v>4</v>
      </c>
      <c r="D977" s="8">
        <v>1.05</v>
      </c>
      <c r="E977" s="4">
        <v>3</v>
      </c>
      <c r="F977" s="8">
        <v>0.96</v>
      </c>
      <c r="G977" s="4">
        <v>1</v>
      </c>
      <c r="H977" s="8">
        <v>1.54</v>
      </c>
      <c r="I977" s="4">
        <v>0</v>
      </c>
    </row>
    <row r="978" spans="1:9" x14ac:dyDescent="0.2">
      <c r="A978" s="2">
        <v>18</v>
      </c>
      <c r="B978" s="1" t="s">
        <v>188</v>
      </c>
      <c r="C978" s="4">
        <v>4</v>
      </c>
      <c r="D978" s="8">
        <v>1.05</v>
      </c>
      <c r="E978" s="4">
        <v>1</v>
      </c>
      <c r="F978" s="8">
        <v>0.32</v>
      </c>
      <c r="G978" s="4">
        <v>3</v>
      </c>
      <c r="H978" s="8">
        <v>4.62</v>
      </c>
      <c r="I978" s="4">
        <v>0</v>
      </c>
    </row>
    <row r="979" spans="1:9" x14ac:dyDescent="0.2">
      <c r="A979" s="2">
        <v>18</v>
      </c>
      <c r="B979" s="1" t="s">
        <v>163</v>
      </c>
      <c r="C979" s="4">
        <v>4</v>
      </c>
      <c r="D979" s="8">
        <v>1.05</v>
      </c>
      <c r="E979" s="4">
        <v>3</v>
      </c>
      <c r="F979" s="8">
        <v>0.96</v>
      </c>
      <c r="G979" s="4">
        <v>1</v>
      </c>
      <c r="H979" s="8">
        <v>1.54</v>
      </c>
      <c r="I979" s="4">
        <v>0</v>
      </c>
    </row>
    <row r="980" spans="1:9" x14ac:dyDescent="0.2">
      <c r="A980" s="2">
        <v>18</v>
      </c>
      <c r="B980" s="1" t="s">
        <v>250</v>
      </c>
      <c r="C980" s="4">
        <v>4</v>
      </c>
      <c r="D980" s="8">
        <v>1.05</v>
      </c>
      <c r="E980" s="4">
        <v>1</v>
      </c>
      <c r="F980" s="8">
        <v>0.32</v>
      </c>
      <c r="G980" s="4">
        <v>3</v>
      </c>
      <c r="H980" s="8">
        <v>4.62</v>
      </c>
      <c r="I980" s="4">
        <v>0</v>
      </c>
    </row>
    <row r="981" spans="1:9" x14ac:dyDescent="0.2">
      <c r="A981" s="2">
        <v>18</v>
      </c>
      <c r="B981" s="1" t="s">
        <v>156</v>
      </c>
      <c r="C981" s="4">
        <v>4</v>
      </c>
      <c r="D981" s="8">
        <v>1.05</v>
      </c>
      <c r="E981" s="4">
        <v>4</v>
      </c>
      <c r="F981" s="8">
        <v>1.29</v>
      </c>
      <c r="G981" s="4">
        <v>0</v>
      </c>
      <c r="H981" s="8">
        <v>0</v>
      </c>
      <c r="I981" s="4">
        <v>0</v>
      </c>
    </row>
    <row r="982" spans="1:9" x14ac:dyDescent="0.2">
      <c r="A982" s="2">
        <v>18</v>
      </c>
      <c r="B982" s="1" t="s">
        <v>199</v>
      </c>
      <c r="C982" s="4">
        <v>4</v>
      </c>
      <c r="D982" s="8">
        <v>1.05</v>
      </c>
      <c r="E982" s="4">
        <v>4</v>
      </c>
      <c r="F982" s="8">
        <v>1.29</v>
      </c>
      <c r="G982" s="4">
        <v>0</v>
      </c>
      <c r="H982" s="8">
        <v>0</v>
      </c>
      <c r="I982" s="4">
        <v>0</v>
      </c>
    </row>
    <row r="983" spans="1:9" x14ac:dyDescent="0.2">
      <c r="A983" s="2">
        <v>18</v>
      </c>
      <c r="B983" s="1" t="s">
        <v>144</v>
      </c>
      <c r="C983" s="4">
        <v>4</v>
      </c>
      <c r="D983" s="8">
        <v>1.05</v>
      </c>
      <c r="E983" s="4">
        <v>4</v>
      </c>
      <c r="F983" s="8">
        <v>1.29</v>
      </c>
      <c r="G983" s="4">
        <v>0</v>
      </c>
      <c r="H983" s="8">
        <v>0</v>
      </c>
      <c r="I983" s="4">
        <v>0</v>
      </c>
    </row>
    <row r="984" spans="1:9" x14ac:dyDescent="0.2">
      <c r="A984" s="2">
        <v>18</v>
      </c>
      <c r="B984" s="1" t="s">
        <v>159</v>
      </c>
      <c r="C984" s="4">
        <v>4</v>
      </c>
      <c r="D984" s="8">
        <v>1.05</v>
      </c>
      <c r="E984" s="4">
        <v>4</v>
      </c>
      <c r="F984" s="8">
        <v>1.29</v>
      </c>
      <c r="G984" s="4">
        <v>0</v>
      </c>
      <c r="H984" s="8">
        <v>0</v>
      </c>
      <c r="I984" s="4">
        <v>0</v>
      </c>
    </row>
    <row r="985" spans="1:9" x14ac:dyDescent="0.2">
      <c r="A985" s="2">
        <v>18</v>
      </c>
      <c r="B985" s="1" t="s">
        <v>153</v>
      </c>
      <c r="C985" s="4">
        <v>4</v>
      </c>
      <c r="D985" s="8">
        <v>1.05</v>
      </c>
      <c r="E985" s="4">
        <v>3</v>
      </c>
      <c r="F985" s="8">
        <v>0.96</v>
      </c>
      <c r="G985" s="4">
        <v>1</v>
      </c>
      <c r="H985" s="8">
        <v>1.54</v>
      </c>
      <c r="I985" s="4">
        <v>0</v>
      </c>
    </row>
    <row r="986" spans="1:9" x14ac:dyDescent="0.2">
      <c r="A986" s="2">
        <v>18</v>
      </c>
      <c r="B986" s="1" t="s">
        <v>126</v>
      </c>
      <c r="C986" s="4">
        <v>4</v>
      </c>
      <c r="D986" s="8">
        <v>1.05</v>
      </c>
      <c r="E986" s="4">
        <v>3</v>
      </c>
      <c r="F986" s="8">
        <v>0.96</v>
      </c>
      <c r="G986" s="4">
        <v>1</v>
      </c>
      <c r="H986" s="8">
        <v>1.54</v>
      </c>
      <c r="I986" s="4">
        <v>0</v>
      </c>
    </row>
    <row r="987" spans="1:9" x14ac:dyDescent="0.2">
      <c r="A987" s="2">
        <v>18</v>
      </c>
      <c r="B987" s="1" t="s">
        <v>203</v>
      </c>
      <c r="C987" s="4">
        <v>4</v>
      </c>
      <c r="D987" s="8">
        <v>1.05</v>
      </c>
      <c r="E987" s="4">
        <v>3</v>
      </c>
      <c r="F987" s="8">
        <v>0.96</v>
      </c>
      <c r="G987" s="4">
        <v>1</v>
      </c>
      <c r="H987" s="8">
        <v>1.54</v>
      </c>
      <c r="I987" s="4">
        <v>0</v>
      </c>
    </row>
    <row r="988" spans="1:9" x14ac:dyDescent="0.2">
      <c r="A988" s="1"/>
      <c r="C988" s="4"/>
      <c r="D988" s="8"/>
      <c r="E988" s="4"/>
      <c r="F988" s="8"/>
      <c r="G988" s="4"/>
      <c r="H988" s="8"/>
      <c r="I988" s="4"/>
    </row>
    <row r="989" spans="1:9" x14ac:dyDescent="0.2">
      <c r="A989" s="1" t="s">
        <v>38</v>
      </c>
      <c r="C989" s="4"/>
      <c r="D989" s="8"/>
      <c r="E989" s="4"/>
      <c r="F989" s="8"/>
      <c r="G989" s="4"/>
      <c r="H989" s="8"/>
      <c r="I989" s="4"/>
    </row>
    <row r="990" spans="1:9" x14ac:dyDescent="0.2">
      <c r="A990" s="2">
        <v>1</v>
      </c>
      <c r="B990" s="1" t="s">
        <v>136</v>
      </c>
      <c r="C990" s="4">
        <v>37</v>
      </c>
      <c r="D990" s="8">
        <v>7.07</v>
      </c>
      <c r="E990" s="4">
        <v>35</v>
      </c>
      <c r="F990" s="8">
        <v>10.32</v>
      </c>
      <c r="G990" s="4">
        <v>2</v>
      </c>
      <c r="H990" s="8">
        <v>1.1200000000000001</v>
      </c>
      <c r="I990" s="4">
        <v>0</v>
      </c>
    </row>
    <row r="991" spans="1:9" x14ac:dyDescent="0.2">
      <c r="A991" s="2">
        <v>2</v>
      </c>
      <c r="B991" s="1" t="s">
        <v>128</v>
      </c>
      <c r="C991" s="4">
        <v>34</v>
      </c>
      <c r="D991" s="8">
        <v>6.5</v>
      </c>
      <c r="E991" s="4">
        <v>22</v>
      </c>
      <c r="F991" s="8">
        <v>6.49</v>
      </c>
      <c r="G991" s="4">
        <v>12</v>
      </c>
      <c r="H991" s="8">
        <v>6.7</v>
      </c>
      <c r="I991" s="4">
        <v>0</v>
      </c>
    </row>
    <row r="992" spans="1:9" x14ac:dyDescent="0.2">
      <c r="A992" s="2">
        <v>3</v>
      </c>
      <c r="B992" s="1" t="s">
        <v>153</v>
      </c>
      <c r="C992" s="4">
        <v>19</v>
      </c>
      <c r="D992" s="8">
        <v>3.63</v>
      </c>
      <c r="E992" s="4">
        <v>18</v>
      </c>
      <c r="F992" s="8">
        <v>5.31</v>
      </c>
      <c r="G992" s="4">
        <v>1</v>
      </c>
      <c r="H992" s="8">
        <v>0.56000000000000005</v>
      </c>
      <c r="I992" s="4">
        <v>0</v>
      </c>
    </row>
    <row r="993" spans="1:9" x14ac:dyDescent="0.2">
      <c r="A993" s="2">
        <v>4</v>
      </c>
      <c r="B993" s="1" t="s">
        <v>123</v>
      </c>
      <c r="C993" s="4">
        <v>17</v>
      </c>
      <c r="D993" s="8">
        <v>3.25</v>
      </c>
      <c r="E993" s="4">
        <v>14</v>
      </c>
      <c r="F993" s="8">
        <v>4.13</v>
      </c>
      <c r="G993" s="4">
        <v>3</v>
      </c>
      <c r="H993" s="8">
        <v>1.68</v>
      </c>
      <c r="I993" s="4">
        <v>0</v>
      </c>
    </row>
    <row r="994" spans="1:9" x14ac:dyDescent="0.2">
      <c r="A994" s="2">
        <v>5</v>
      </c>
      <c r="B994" s="1" t="s">
        <v>122</v>
      </c>
      <c r="C994" s="4">
        <v>15</v>
      </c>
      <c r="D994" s="8">
        <v>2.87</v>
      </c>
      <c r="E994" s="4">
        <v>1</v>
      </c>
      <c r="F994" s="8">
        <v>0.28999999999999998</v>
      </c>
      <c r="G994" s="4">
        <v>14</v>
      </c>
      <c r="H994" s="8">
        <v>7.82</v>
      </c>
      <c r="I994" s="4">
        <v>0</v>
      </c>
    </row>
    <row r="995" spans="1:9" x14ac:dyDescent="0.2">
      <c r="A995" s="2">
        <v>5</v>
      </c>
      <c r="B995" s="1" t="s">
        <v>139</v>
      </c>
      <c r="C995" s="4">
        <v>15</v>
      </c>
      <c r="D995" s="8">
        <v>2.87</v>
      </c>
      <c r="E995" s="4">
        <v>14</v>
      </c>
      <c r="F995" s="8">
        <v>4.13</v>
      </c>
      <c r="G995" s="4">
        <v>1</v>
      </c>
      <c r="H995" s="8">
        <v>0.56000000000000005</v>
      </c>
      <c r="I995" s="4">
        <v>0</v>
      </c>
    </row>
    <row r="996" spans="1:9" x14ac:dyDescent="0.2">
      <c r="A996" s="2">
        <v>7</v>
      </c>
      <c r="B996" s="1" t="s">
        <v>124</v>
      </c>
      <c r="C996" s="4">
        <v>14</v>
      </c>
      <c r="D996" s="8">
        <v>2.68</v>
      </c>
      <c r="E996" s="4">
        <v>14</v>
      </c>
      <c r="F996" s="8">
        <v>4.13</v>
      </c>
      <c r="G996" s="4">
        <v>0</v>
      </c>
      <c r="H996" s="8">
        <v>0</v>
      </c>
      <c r="I996" s="4">
        <v>0</v>
      </c>
    </row>
    <row r="997" spans="1:9" x14ac:dyDescent="0.2">
      <c r="A997" s="2">
        <v>7</v>
      </c>
      <c r="B997" s="1" t="s">
        <v>135</v>
      </c>
      <c r="C997" s="4">
        <v>14</v>
      </c>
      <c r="D997" s="8">
        <v>2.68</v>
      </c>
      <c r="E997" s="4">
        <v>13</v>
      </c>
      <c r="F997" s="8">
        <v>3.83</v>
      </c>
      <c r="G997" s="4">
        <v>1</v>
      </c>
      <c r="H997" s="8">
        <v>0.56000000000000005</v>
      </c>
      <c r="I997" s="4">
        <v>0</v>
      </c>
    </row>
    <row r="998" spans="1:9" x14ac:dyDescent="0.2">
      <c r="A998" s="2">
        <v>9</v>
      </c>
      <c r="B998" s="1" t="s">
        <v>141</v>
      </c>
      <c r="C998" s="4">
        <v>12</v>
      </c>
      <c r="D998" s="8">
        <v>2.29</v>
      </c>
      <c r="E998" s="4">
        <v>11</v>
      </c>
      <c r="F998" s="8">
        <v>3.24</v>
      </c>
      <c r="G998" s="4">
        <v>1</v>
      </c>
      <c r="H998" s="8">
        <v>0.56000000000000005</v>
      </c>
      <c r="I998" s="4">
        <v>0</v>
      </c>
    </row>
    <row r="999" spans="1:9" x14ac:dyDescent="0.2">
      <c r="A999" s="2">
        <v>10</v>
      </c>
      <c r="B999" s="1" t="s">
        <v>151</v>
      </c>
      <c r="C999" s="4">
        <v>11</v>
      </c>
      <c r="D999" s="8">
        <v>2.1</v>
      </c>
      <c r="E999" s="4">
        <v>2</v>
      </c>
      <c r="F999" s="8">
        <v>0.59</v>
      </c>
      <c r="G999" s="4">
        <v>9</v>
      </c>
      <c r="H999" s="8">
        <v>5.03</v>
      </c>
      <c r="I999" s="4">
        <v>0</v>
      </c>
    </row>
    <row r="1000" spans="1:9" x14ac:dyDescent="0.2">
      <c r="A1000" s="2">
        <v>10</v>
      </c>
      <c r="B1000" s="1" t="s">
        <v>146</v>
      </c>
      <c r="C1000" s="4">
        <v>11</v>
      </c>
      <c r="D1000" s="8">
        <v>2.1</v>
      </c>
      <c r="E1000" s="4">
        <v>5</v>
      </c>
      <c r="F1000" s="8">
        <v>1.47</v>
      </c>
      <c r="G1000" s="4">
        <v>6</v>
      </c>
      <c r="H1000" s="8">
        <v>3.35</v>
      </c>
      <c r="I1000" s="4">
        <v>0</v>
      </c>
    </row>
    <row r="1001" spans="1:9" x14ac:dyDescent="0.2">
      <c r="A1001" s="2">
        <v>10</v>
      </c>
      <c r="B1001" s="1" t="s">
        <v>131</v>
      </c>
      <c r="C1001" s="4">
        <v>11</v>
      </c>
      <c r="D1001" s="8">
        <v>2.1</v>
      </c>
      <c r="E1001" s="4">
        <v>10</v>
      </c>
      <c r="F1001" s="8">
        <v>2.95</v>
      </c>
      <c r="G1001" s="4">
        <v>1</v>
      </c>
      <c r="H1001" s="8">
        <v>0.56000000000000005</v>
      </c>
      <c r="I1001" s="4">
        <v>0</v>
      </c>
    </row>
    <row r="1002" spans="1:9" x14ac:dyDescent="0.2">
      <c r="A1002" s="2">
        <v>10</v>
      </c>
      <c r="B1002" s="1" t="s">
        <v>138</v>
      </c>
      <c r="C1002" s="4">
        <v>11</v>
      </c>
      <c r="D1002" s="8">
        <v>2.1</v>
      </c>
      <c r="E1002" s="4">
        <v>9</v>
      </c>
      <c r="F1002" s="8">
        <v>2.65</v>
      </c>
      <c r="G1002" s="4">
        <v>2</v>
      </c>
      <c r="H1002" s="8">
        <v>1.1200000000000001</v>
      </c>
      <c r="I1002" s="4">
        <v>0</v>
      </c>
    </row>
    <row r="1003" spans="1:9" x14ac:dyDescent="0.2">
      <c r="A1003" s="2">
        <v>14</v>
      </c>
      <c r="B1003" s="1" t="s">
        <v>129</v>
      </c>
      <c r="C1003" s="4">
        <v>10</v>
      </c>
      <c r="D1003" s="8">
        <v>1.91</v>
      </c>
      <c r="E1003" s="4">
        <v>5</v>
      </c>
      <c r="F1003" s="8">
        <v>1.47</v>
      </c>
      <c r="G1003" s="4">
        <v>5</v>
      </c>
      <c r="H1003" s="8">
        <v>2.79</v>
      </c>
      <c r="I1003" s="4">
        <v>0</v>
      </c>
    </row>
    <row r="1004" spans="1:9" x14ac:dyDescent="0.2">
      <c r="A1004" s="2">
        <v>14</v>
      </c>
      <c r="B1004" s="1" t="s">
        <v>140</v>
      </c>
      <c r="C1004" s="4">
        <v>10</v>
      </c>
      <c r="D1004" s="8">
        <v>1.91</v>
      </c>
      <c r="E1004" s="4">
        <v>8</v>
      </c>
      <c r="F1004" s="8">
        <v>2.36</v>
      </c>
      <c r="G1004" s="4">
        <v>2</v>
      </c>
      <c r="H1004" s="8">
        <v>1.1200000000000001</v>
      </c>
      <c r="I1004" s="4">
        <v>0</v>
      </c>
    </row>
    <row r="1005" spans="1:9" x14ac:dyDescent="0.2">
      <c r="A1005" s="2">
        <v>16</v>
      </c>
      <c r="B1005" s="1" t="s">
        <v>162</v>
      </c>
      <c r="C1005" s="4">
        <v>9</v>
      </c>
      <c r="D1005" s="8">
        <v>1.72</v>
      </c>
      <c r="E1005" s="4">
        <v>5</v>
      </c>
      <c r="F1005" s="8">
        <v>1.47</v>
      </c>
      <c r="G1005" s="4">
        <v>4</v>
      </c>
      <c r="H1005" s="8">
        <v>2.23</v>
      </c>
      <c r="I1005" s="4">
        <v>0</v>
      </c>
    </row>
    <row r="1006" spans="1:9" x14ac:dyDescent="0.2">
      <c r="A1006" s="2">
        <v>16</v>
      </c>
      <c r="B1006" s="1" t="s">
        <v>132</v>
      </c>
      <c r="C1006" s="4">
        <v>9</v>
      </c>
      <c r="D1006" s="8">
        <v>1.72</v>
      </c>
      <c r="E1006" s="4">
        <v>9</v>
      </c>
      <c r="F1006" s="8">
        <v>2.65</v>
      </c>
      <c r="G1006" s="4">
        <v>0</v>
      </c>
      <c r="H1006" s="8">
        <v>0</v>
      </c>
      <c r="I1006" s="4">
        <v>0</v>
      </c>
    </row>
    <row r="1007" spans="1:9" x14ac:dyDescent="0.2">
      <c r="A1007" s="2">
        <v>18</v>
      </c>
      <c r="B1007" s="1" t="s">
        <v>144</v>
      </c>
      <c r="C1007" s="4">
        <v>8</v>
      </c>
      <c r="D1007" s="8">
        <v>1.53</v>
      </c>
      <c r="E1007" s="4">
        <v>8</v>
      </c>
      <c r="F1007" s="8">
        <v>2.36</v>
      </c>
      <c r="G1007" s="4">
        <v>0</v>
      </c>
      <c r="H1007" s="8">
        <v>0</v>
      </c>
      <c r="I1007" s="4">
        <v>0</v>
      </c>
    </row>
    <row r="1008" spans="1:9" x14ac:dyDescent="0.2">
      <c r="A1008" s="2">
        <v>19</v>
      </c>
      <c r="B1008" s="1" t="s">
        <v>222</v>
      </c>
      <c r="C1008" s="4">
        <v>7</v>
      </c>
      <c r="D1008" s="8">
        <v>1.34</v>
      </c>
      <c r="E1008" s="4">
        <v>3</v>
      </c>
      <c r="F1008" s="8">
        <v>0.88</v>
      </c>
      <c r="G1008" s="4">
        <v>4</v>
      </c>
      <c r="H1008" s="8">
        <v>2.23</v>
      </c>
      <c r="I1008" s="4">
        <v>0</v>
      </c>
    </row>
    <row r="1009" spans="1:9" x14ac:dyDescent="0.2">
      <c r="A1009" s="2">
        <v>19</v>
      </c>
      <c r="B1009" s="1" t="s">
        <v>212</v>
      </c>
      <c r="C1009" s="4">
        <v>7</v>
      </c>
      <c r="D1009" s="8">
        <v>1.34</v>
      </c>
      <c r="E1009" s="4">
        <v>3</v>
      </c>
      <c r="F1009" s="8">
        <v>0.88</v>
      </c>
      <c r="G1009" s="4">
        <v>4</v>
      </c>
      <c r="H1009" s="8">
        <v>2.23</v>
      </c>
      <c r="I1009" s="4">
        <v>0</v>
      </c>
    </row>
    <row r="1010" spans="1:9" x14ac:dyDescent="0.2">
      <c r="A1010" s="2">
        <v>19</v>
      </c>
      <c r="B1010" s="1" t="s">
        <v>199</v>
      </c>
      <c r="C1010" s="4">
        <v>7</v>
      </c>
      <c r="D1010" s="8">
        <v>1.34</v>
      </c>
      <c r="E1010" s="4">
        <v>6</v>
      </c>
      <c r="F1010" s="8">
        <v>1.77</v>
      </c>
      <c r="G1010" s="4">
        <v>1</v>
      </c>
      <c r="H1010" s="8">
        <v>0.56000000000000005</v>
      </c>
      <c r="I1010" s="4">
        <v>0</v>
      </c>
    </row>
    <row r="1011" spans="1:9" x14ac:dyDescent="0.2">
      <c r="A1011" s="2">
        <v>19</v>
      </c>
      <c r="B1011" s="1" t="s">
        <v>125</v>
      </c>
      <c r="C1011" s="4">
        <v>7</v>
      </c>
      <c r="D1011" s="8">
        <v>1.34</v>
      </c>
      <c r="E1011" s="4">
        <v>4</v>
      </c>
      <c r="F1011" s="8">
        <v>1.18</v>
      </c>
      <c r="G1011" s="4">
        <v>3</v>
      </c>
      <c r="H1011" s="8">
        <v>1.68</v>
      </c>
      <c r="I1011" s="4">
        <v>0</v>
      </c>
    </row>
    <row r="1012" spans="1:9" x14ac:dyDescent="0.2">
      <c r="A1012" s="1"/>
      <c r="C1012" s="4"/>
      <c r="D1012" s="8"/>
      <c r="E1012" s="4"/>
      <c r="F1012" s="8"/>
      <c r="G1012" s="4"/>
      <c r="H1012" s="8"/>
      <c r="I1012" s="4"/>
    </row>
    <row r="1013" spans="1:9" x14ac:dyDescent="0.2">
      <c r="A1013" s="1" t="s">
        <v>39</v>
      </c>
      <c r="C1013" s="4"/>
      <c r="D1013" s="8"/>
      <c r="E1013" s="4"/>
      <c r="F1013" s="8"/>
      <c r="G1013" s="4"/>
      <c r="H1013" s="8"/>
      <c r="I1013" s="4"/>
    </row>
    <row r="1014" spans="1:9" x14ac:dyDescent="0.2">
      <c r="A1014" s="2">
        <v>1</v>
      </c>
      <c r="B1014" s="1" t="s">
        <v>122</v>
      </c>
      <c r="C1014" s="4">
        <v>4</v>
      </c>
      <c r="D1014" s="8">
        <v>7.41</v>
      </c>
      <c r="E1014" s="4">
        <v>0</v>
      </c>
      <c r="F1014" s="8">
        <v>0</v>
      </c>
      <c r="G1014" s="4">
        <v>4</v>
      </c>
      <c r="H1014" s="8">
        <v>23.53</v>
      </c>
      <c r="I1014" s="4">
        <v>0</v>
      </c>
    </row>
    <row r="1015" spans="1:9" x14ac:dyDescent="0.2">
      <c r="A1015" s="2">
        <v>1</v>
      </c>
      <c r="B1015" s="1" t="s">
        <v>123</v>
      </c>
      <c r="C1015" s="4">
        <v>4</v>
      </c>
      <c r="D1015" s="8">
        <v>7.41</v>
      </c>
      <c r="E1015" s="4">
        <v>3</v>
      </c>
      <c r="F1015" s="8">
        <v>9.3800000000000008</v>
      </c>
      <c r="G1015" s="4">
        <v>1</v>
      </c>
      <c r="H1015" s="8">
        <v>5.88</v>
      </c>
      <c r="I1015" s="4">
        <v>0</v>
      </c>
    </row>
    <row r="1016" spans="1:9" x14ac:dyDescent="0.2">
      <c r="A1016" s="2">
        <v>3</v>
      </c>
      <c r="B1016" s="1" t="s">
        <v>148</v>
      </c>
      <c r="C1016" s="4">
        <v>3</v>
      </c>
      <c r="D1016" s="8">
        <v>5.56</v>
      </c>
      <c r="E1016" s="4">
        <v>2</v>
      </c>
      <c r="F1016" s="8">
        <v>6.25</v>
      </c>
      <c r="G1016" s="4">
        <v>1</v>
      </c>
      <c r="H1016" s="8">
        <v>5.88</v>
      </c>
      <c r="I1016" s="4">
        <v>0</v>
      </c>
    </row>
    <row r="1017" spans="1:9" x14ac:dyDescent="0.2">
      <c r="A1017" s="2">
        <v>3</v>
      </c>
      <c r="B1017" s="1" t="s">
        <v>132</v>
      </c>
      <c r="C1017" s="4">
        <v>3</v>
      </c>
      <c r="D1017" s="8">
        <v>5.56</v>
      </c>
      <c r="E1017" s="4">
        <v>3</v>
      </c>
      <c r="F1017" s="8">
        <v>9.3800000000000008</v>
      </c>
      <c r="G1017" s="4">
        <v>0</v>
      </c>
      <c r="H1017" s="8">
        <v>0</v>
      </c>
      <c r="I1017" s="4">
        <v>0</v>
      </c>
    </row>
    <row r="1018" spans="1:9" x14ac:dyDescent="0.2">
      <c r="A1018" s="2">
        <v>3</v>
      </c>
      <c r="B1018" s="1" t="s">
        <v>182</v>
      </c>
      <c r="C1018" s="4">
        <v>3</v>
      </c>
      <c r="D1018" s="8">
        <v>5.56</v>
      </c>
      <c r="E1018" s="4">
        <v>0</v>
      </c>
      <c r="F1018" s="8">
        <v>0</v>
      </c>
      <c r="G1018" s="4">
        <v>0</v>
      </c>
      <c r="H1018" s="8">
        <v>0</v>
      </c>
      <c r="I1018" s="4">
        <v>0</v>
      </c>
    </row>
    <row r="1019" spans="1:9" x14ac:dyDescent="0.2">
      <c r="A1019" s="2">
        <v>6</v>
      </c>
      <c r="B1019" s="1" t="s">
        <v>158</v>
      </c>
      <c r="C1019" s="4">
        <v>2</v>
      </c>
      <c r="D1019" s="8">
        <v>3.7</v>
      </c>
      <c r="E1019" s="4">
        <v>2</v>
      </c>
      <c r="F1019" s="8">
        <v>6.25</v>
      </c>
      <c r="G1019" s="4">
        <v>0</v>
      </c>
      <c r="H1019" s="8">
        <v>0</v>
      </c>
      <c r="I1019" s="4">
        <v>0</v>
      </c>
    </row>
    <row r="1020" spans="1:9" x14ac:dyDescent="0.2">
      <c r="A1020" s="2">
        <v>6</v>
      </c>
      <c r="B1020" s="1" t="s">
        <v>144</v>
      </c>
      <c r="C1020" s="4">
        <v>2</v>
      </c>
      <c r="D1020" s="8">
        <v>3.7</v>
      </c>
      <c r="E1020" s="4">
        <v>1</v>
      </c>
      <c r="F1020" s="8">
        <v>3.13</v>
      </c>
      <c r="G1020" s="4">
        <v>1</v>
      </c>
      <c r="H1020" s="8">
        <v>5.88</v>
      </c>
      <c r="I1020" s="4">
        <v>0</v>
      </c>
    </row>
    <row r="1021" spans="1:9" x14ac:dyDescent="0.2">
      <c r="A1021" s="2">
        <v>6</v>
      </c>
      <c r="B1021" s="1" t="s">
        <v>130</v>
      </c>
      <c r="C1021" s="4">
        <v>2</v>
      </c>
      <c r="D1021" s="8">
        <v>3.7</v>
      </c>
      <c r="E1021" s="4">
        <v>2</v>
      </c>
      <c r="F1021" s="8">
        <v>6.25</v>
      </c>
      <c r="G1021" s="4">
        <v>0</v>
      </c>
      <c r="H1021" s="8">
        <v>0</v>
      </c>
      <c r="I1021" s="4">
        <v>0</v>
      </c>
    </row>
    <row r="1022" spans="1:9" x14ac:dyDescent="0.2">
      <c r="A1022" s="2">
        <v>6</v>
      </c>
      <c r="B1022" s="1" t="s">
        <v>135</v>
      </c>
      <c r="C1022" s="4">
        <v>2</v>
      </c>
      <c r="D1022" s="8">
        <v>3.7</v>
      </c>
      <c r="E1022" s="4">
        <v>2</v>
      </c>
      <c r="F1022" s="8">
        <v>6.25</v>
      </c>
      <c r="G1022" s="4">
        <v>0</v>
      </c>
      <c r="H1022" s="8">
        <v>0</v>
      </c>
      <c r="I1022" s="4">
        <v>0</v>
      </c>
    </row>
    <row r="1023" spans="1:9" x14ac:dyDescent="0.2">
      <c r="A1023" s="2">
        <v>6</v>
      </c>
      <c r="B1023" s="1" t="s">
        <v>136</v>
      </c>
      <c r="C1023" s="4">
        <v>2</v>
      </c>
      <c r="D1023" s="8">
        <v>3.7</v>
      </c>
      <c r="E1023" s="4">
        <v>2</v>
      </c>
      <c r="F1023" s="8">
        <v>6.25</v>
      </c>
      <c r="G1023" s="4">
        <v>0</v>
      </c>
      <c r="H1023" s="8">
        <v>0</v>
      </c>
      <c r="I1023" s="4">
        <v>0</v>
      </c>
    </row>
    <row r="1024" spans="1:9" x14ac:dyDescent="0.2">
      <c r="A1024" s="2">
        <v>6</v>
      </c>
      <c r="B1024" s="1" t="s">
        <v>141</v>
      </c>
      <c r="C1024" s="4">
        <v>2</v>
      </c>
      <c r="D1024" s="8">
        <v>3.7</v>
      </c>
      <c r="E1024" s="4">
        <v>2</v>
      </c>
      <c r="F1024" s="8">
        <v>6.25</v>
      </c>
      <c r="G1024" s="4">
        <v>0</v>
      </c>
      <c r="H1024" s="8">
        <v>0</v>
      </c>
      <c r="I1024" s="4">
        <v>0</v>
      </c>
    </row>
    <row r="1025" spans="1:9" x14ac:dyDescent="0.2">
      <c r="A1025" s="2">
        <v>12</v>
      </c>
      <c r="B1025" s="1" t="s">
        <v>187</v>
      </c>
      <c r="C1025" s="4">
        <v>1</v>
      </c>
      <c r="D1025" s="8">
        <v>1.85</v>
      </c>
      <c r="E1025" s="4">
        <v>0</v>
      </c>
      <c r="F1025" s="8">
        <v>0</v>
      </c>
      <c r="G1025" s="4">
        <v>1</v>
      </c>
      <c r="H1025" s="8">
        <v>5.88</v>
      </c>
      <c r="I1025" s="4">
        <v>0</v>
      </c>
    </row>
    <row r="1026" spans="1:9" x14ac:dyDescent="0.2">
      <c r="A1026" s="2">
        <v>12</v>
      </c>
      <c r="B1026" s="1" t="s">
        <v>146</v>
      </c>
      <c r="C1026" s="4">
        <v>1</v>
      </c>
      <c r="D1026" s="8">
        <v>1.85</v>
      </c>
      <c r="E1026" s="4">
        <v>0</v>
      </c>
      <c r="F1026" s="8">
        <v>0</v>
      </c>
      <c r="G1026" s="4">
        <v>1</v>
      </c>
      <c r="H1026" s="8">
        <v>5.88</v>
      </c>
      <c r="I1026" s="4">
        <v>0</v>
      </c>
    </row>
    <row r="1027" spans="1:9" x14ac:dyDescent="0.2">
      <c r="A1027" s="2">
        <v>12</v>
      </c>
      <c r="B1027" s="1" t="s">
        <v>251</v>
      </c>
      <c r="C1027" s="4">
        <v>1</v>
      </c>
      <c r="D1027" s="8">
        <v>1.85</v>
      </c>
      <c r="E1027" s="4">
        <v>1</v>
      </c>
      <c r="F1027" s="8">
        <v>3.13</v>
      </c>
      <c r="G1027" s="4">
        <v>0</v>
      </c>
      <c r="H1027" s="8">
        <v>0</v>
      </c>
      <c r="I1027" s="4">
        <v>0</v>
      </c>
    </row>
    <row r="1028" spans="1:9" x14ac:dyDescent="0.2">
      <c r="A1028" s="2">
        <v>12</v>
      </c>
      <c r="B1028" s="1" t="s">
        <v>252</v>
      </c>
      <c r="C1028" s="4">
        <v>1</v>
      </c>
      <c r="D1028" s="8">
        <v>1.85</v>
      </c>
      <c r="E1028" s="4">
        <v>0</v>
      </c>
      <c r="F1028" s="8">
        <v>0</v>
      </c>
      <c r="G1028" s="4">
        <v>1</v>
      </c>
      <c r="H1028" s="8">
        <v>5.88</v>
      </c>
      <c r="I1028" s="4">
        <v>0</v>
      </c>
    </row>
    <row r="1029" spans="1:9" x14ac:dyDescent="0.2">
      <c r="A1029" s="2">
        <v>12</v>
      </c>
      <c r="B1029" s="1" t="s">
        <v>253</v>
      </c>
      <c r="C1029" s="4">
        <v>1</v>
      </c>
      <c r="D1029" s="8">
        <v>1.85</v>
      </c>
      <c r="E1029" s="4">
        <v>0</v>
      </c>
      <c r="F1029" s="8">
        <v>0</v>
      </c>
      <c r="G1029" s="4">
        <v>1</v>
      </c>
      <c r="H1029" s="8">
        <v>5.88</v>
      </c>
      <c r="I1029" s="4">
        <v>0</v>
      </c>
    </row>
    <row r="1030" spans="1:9" x14ac:dyDescent="0.2">
      <c r="A1030" s="2">
        <v>12</v>
      </c>
      <c r="B1030" s="1" t="s">
        <v>163</v>
      </c>
      <c r="C1030" s="4">
        <v>1</v>
      </c>
      <c r="D1030" s="8">
        <v>1.85</v>
      </c>
      <c r="E1030" s="4">
        <v>1</v>
      </c>
      <c r="F1030" s="8">
        <v>3.13</v>
      </c>
      <c r="G1030" s="4">
        <v>0</v>
      </c>
      <c r="H1030" s="8">
        <v>0</v>
      </c>
      <c r="I1030" s="4">
        <v>0</v>
      </c>
    </row>
    <row r="1031" spans="1:9" x14ac:dyDescent="0.2">
      <c r="A1031" s="2">
        <v>12</v>
      </c>
      <c r="B1031" s="1" t="s">
        <v>254</v>
      </c>
      <c r="C1031" s="4">
        <v>1</v>
      </c>
      <c r="D1031" s="8">
        <v>1.85</v>
      </c>
      <c r="E1031" s="4">
        <v>0</v>
      </c>
      <c r="F1031" s="8">
        <v>0</v>
      </c>
      <c r="G1031" s="4">
        <v>1</v>
      </c>
      <c r="H1031" s="8">
        <v>5.88</v>
      </c>
      <c r="I1031" s="4">
        <v>0</v>
      </c>
    </row>
    <row r="1032" spans="1:9" x14ac:dyDescent="0.2">
      <c r="A1032" s="2">
        <v>12</v>
      </c>
      <c r="B1032" s="1" t="s">
        <v>214</v>
      </c>
      <c r="C1032" s="4">
        <v>1</v>
      </c>
      <c r="D1032" s="8">
        <v>1.85</v>
      </c>
      <c r="E1032" s="4">
        <v>0</v>
      </c>
      <c r="F1032" s="8">
        <v>0</v>
      </c>
      <c r="G1032" s="4">
        <v>1</v>
      </c>
      <c r="H1032" s="8">
        <v>5.88</v>
      </c>
      <c r="I1032" s="4">
        <v>0</v>
      </c>
    </row>
    <row r="1033" spans="1:9" x14ac:dyDescent="0.2">
      <c r="A1033" s="2">
        <v>12</v>
      </c>
      <c r="B1033" s="1" t="s">
        <v>231</v>
      </c>
      <c r="C1033" s="4">
        <v>1</v>
      </c>
      <c r="D1033" s="8">
        <v>1.85</v>
      </c>
      <c r="E1033" s="4">
        <v>0</v>
      </c>
      <c r="F1033" s="8">
        <v>0</v>
      </c>
      <c r="G1033" s="4">
        <v>1</v>
      </c>
      <c r="H1033" s="8">
        <v>5.88</v>
      </c>
      <c r="I1033" s="4">
        <v>0</v>
      </c>
    </row>
    <row r="1034" spans="1:9" x14ac:dyDescent="0.2">
      <c r="A1034" s="2">
        <v>12</v>
      </c>
      <c r="B1034" s="1" t="s">
        <v>172</v>
      </c>
      <c r="C1034" s="4">
        <v>1</v>
      </c>
      <c r="D1034" s="8">
        <v>1.85</v>
      </c>
      <c r="E1034" s="4">
        <v>0</v>
      </c>
      <c r="F1034" s="8">
        <v>0</v>
      </c>
      <c r="G1034" s="4">
        <v>0</v>
      </c>
      <c r="H1034" s="8">
        <v>0</v>
      </c>
      <c r="I1034" s="4">
        <v>0</v>
      </c>
    </row>
    <row r="1035" spans="1:9" x14ac:dyDescent="0.2">
      <c r="A1035" s="2">
        <v>12</v>
      </c>
      <c r="B1035" s="1" t="s">
        <v>155</v>
      </c>
      <c r="C1035" s="4">
        <v>1</v>
      </c>
      <c r="D1035" s="8">
        <v>1.85</v>
      </c>
      <c r="E1035" s="4">
        <v>1</v>
      </c>
      <c r="F1035" s="8">
        <v>3.13</v>
      </c>
      <c r="G1035" s="4">
        <v>0</v>
      </c>
      <c r="H1035" s="8">
        <v>0</v>
      </c>
      <c r="I1035" s="4">
        <v>0</v>
      </c>
    </row>
    <row r="1036" spans="1:9" x14ac:dyDescent="0.2">
      <c r="A1036" s="2">
        <v>12</v>
      </c>
      <c r="B1036" s="1" t="s">
        <v>191</v>
      </c>
      <c r="C1036" s="4">
        <v>1</v>
      </c>
      <c r="D1036" s="8">
        <v>1.85</v>
      </c>
      <c r="E1036" s="4">
        <v>0</v>
      </c>
      <c r="F1036" s="8">
        <v>0</v>
      </c>
      <c r="G1036" s="4">
        <v>1</v>
      </c>
      <c r="H1036" s="8">
        <v>5.88</v>
      </c>
      <c r="I1036" s="4">
        <v>0</v>
      </c>
    </row>
    <row r="1037" spans="1:9" x14ac:dyDescent="0.2">
      <c r="A1037" s="2">
        <v>12</v>
      </c>
      <c r="B1037" s="1" t="s">
        <v>255</v>
      </c>
      <c r="C1037" s="4">
        <v>1</v>
      </c>
      <c r="D1037" s="8">
        <v>1.85</v>
      </c>
      <c r="E1037" s="4">
        <v>1</v>
      </c>
      <c r="F1037" s="8">
        <v>3.13</v>
      </c>
      <c r="G1037" s="4">
        <v>0</v>
      </c>
      <c r="H1037" s="8">
        <v>0</v>
      </c>
      <c r="I1037" s="4">
        <v>0</v>
      </c>
    </row>
    <row r="1038" spans="1:9" x14ac:dyDescent="0.2">
      <c r="A1038" s="2">
        <v>12</v>
      </c>
      <c r="B1038" s="1" t="s">
        <v>256</v>
      </c>
      <c r="C1038" s="4">
        <v>1</v>
      </c>
      <c r="D1038" s="8">
        <v>1.85</v>
      </c>
      <c r="E1038" s="4">
        <v>1</v>
      </c>
      <c r="F1038" s="8">
        <v>3.13</v>
      </c>
      <c r="G1038" s="4">
        <v>0</v>
      </c>
      <c r="H1038" s="8">
        <v>0</v>
      </c>
      <c r="I1038" s="4">
        <v>0</v>
      </c>
    </row>
    <row r="1039" spans="1:9" x14ac:dyDescent="0.2">
      <c r="A1039" s="2">
        <v>12</v>
      </c>
      <c r="B1039" s="1" t="s">
        <v>175</v>
      </c>
      <c r="C1039" s="4">
        <v>1</v>
      </c>
      <c r="D1039" s="8">
        <v>1.85</v>
      </c>
      <c r="E1039" s="4">
        <v>1</v>
      </c>
      <c r="F1039" s="8">
        <v>3.13</v>
      </c>
      <c r="G1039" s="4">
        <v>0</v>
      </c>
      <c r="H1039" s="8">
        <v>0</v>
      </c>
      <c r="I1039" s="4">
        <v>0</v>
      </c>
    </row>
    <row r="1040" spans="1:9" x14ac:dyDescent="0.2">
      <c r="A1040" s="2">
        <v>12</v>
      </c>
      <c r="B1040" s="1" t="s">
        <v>159</v>
      </c>
      <c r="C1040" s="4">
        <v>1</v>
      </c>
      <c r="D1040" s="8">
        <v>1.85</v>
      </c>
      <c r="E1040" s="4">
        <v>1</v>
      </c>
      <c r="F1040" s="8">
        <v>3.13</v>
      </c>
      <c r="G1040" s="4">
        <v>0</v>
      </c>
      <c r="H1040" s="8">
        <v>0</v>
      </c>
      <c r="I1040" s="4">
        <v>0</v>
      </c>
    </row>
    <row r="1041" spans="1:9" x14ac:dyDescent="0.2">
      <c r="A1041" s="2">
        <v>12</v>
      </c>
      <c r="B1041" s="1" t="s">
        <v>160</v>
      </c>
      <c r="C1041" s="4">
        <v>1</v>
      </c>
      <c r="D1041" s="8">
        <v>1.85</v>
      </c>
      <c r="E1041" s="4">
        <v>0</v>
      </c>
      <c r="F1041" s="8">
        <v>0</v>
      </c>
      <c r="G1041" s="4">
        <v>1</v>
      </c>
      <c r="H1041" s="8">
        <v>5.88</v>
      </c>
      <c r="I1041" s="4">
        <v>0</v>
      </c>
    </row>
    <row r="1042" spans="1:9" x14ac:dyDescent="0.2">
      <c r="A1042" s="2">
        <v>12</v>
      </c>
      <c r="B1042" s="1" t="s">
        <v>217</v>
      </c>
      <c r="C1042" s="4">
        <v>1</v>
      </c>
      <c r="D1042" s="8">
        <v>1.85</v>
      </c>
      <c r="E1042" s="4">
        <v>1</v>
      </c>
      <c r="F1042" s="8">
        <v>3.13</v>
      </c>
      <c r="G1042" s="4">
        <v>0</v>
      </c>
      <c r="H1042" s="8">
        <v>0</v>
      </c>
      <c r="I1042" s="4">
        <v>0</v>
      </c>
    </row>
    <row r="1043" spans="1:9" x14ac:dyDescent="0.2">
      <c r="A1043" s="2">
        <v>12</v>
      </c>
      <c r="B1043" s="1" t="s">
        <v>129</v>
      </c>
      <c r="C1043" s="4">
        <v>1</v>
      </c>
      <c r="D1043" s="8">
        <v>1.85</v>
      </c>
      <c r="E1043" s="4">
        <v>0</v>
      </c>
      <c r="F1043" s="8">
        <v>0</v>
      </c>
      <c r="G1043" s="4">
        <v>1</v>
      </c>
      <c r="H1043" s="8">
        <v>5.88</v>
      </c>
      <c r="I1043" s="4">
        <v>0</v>
      </c>
    </row>
    <row r="1044" spans="1:9" x14ac:dyDescent="0.2">
      <c r="A1044" s="2">
        <v>12</v>
      </c>
      <c r="B1044" s="1" t="s">
        <v>149</v>
      </c>
      <c r="C1044" s="4">
        <v>1</v>
      </c>
      <c r="D1044" s="8">
        <v>1.85</v>
      </c>
      <c r="E1044" s="4">
        <v>1</v>
      </c>
      <c r="F1044" s="8">
        <v>3.13</v>
      </c>
      <c r="G1044" s="4">
        <v>0</v>
      </c>
      <c r="H1044" s="8">
        <v>0</v>
      </c>
      <c r="I1044" s="4">
        <v>0</v>
      </c>
    </row>
    <row r="1045" spans="1:9" x14ac:dyDescent="0.2">
      <c r="A1045" s="2">
        <v>12</v>
      </c>
      <c r="B1045" s="1" t="s">
        <v>133</v>
      </c>
      <c r="C1045" s="4">
        <v>1</v>
      </c>
      <c r="D1045" s="8">
        <v>1.85</v>
      </c>
      <c r="E1045" s="4">
        <v>1</v>
      </c>
      <c r="F1045" s="8">
        <v>3.13</v>
      </c>
      <c r="G1045" s="4">
        <v>0</v>
      </c>
      <c r="H1045" s="8">
        <v>0</v>
      </c>
      <c r="I1045" s="4">
        <v>0</v>
      </c>
    </row>
    <row r="1046" spans="1:9" x14ac:dyDescent="0.2">
      <c r="A1046" s="2">
        <v>12</v>
      </c>
      <c r="B1046" s="1" t="s">
        <v>206</v>
      </c>
      <c r="C1046" s="4">
        <v>1</v>
      </c>
      <c r="D1046" s="8">
        <v>1.85</v>
      </c>
      <c r="E1046" s="4">
        <v>1</v>
      </c>
      <c r="F1046" s="8">
        <v>3.13</v>
      </c>
      <c r="G1046" s="4">
        <v>0</v>
      </c>
      <c r="H1046" s="8">
        <v>0</v>
      </c>
      <c r="I1046" s="4">
        <v>0</v>
      </c>
    </row>
    <row r="1047" spans="1:9" x14ac:dyDescent="0.2">
      <c r="A1047" s="2">
        <v>12</v>
      </c>
      <c r="B1047" s="1" t="s">
        <v>150</v>
      </c>
      <c r="C1047" s="4">
        <v>1</v>
      </c>
      <c r="D1047" s="8">
        <v>1.85</v>
      </c>
      <c r="E1047" s="4">
        <v>1</v>
      </c>
      <c r="F1047" s="8">
        <v>3.13</v>
      </c>
      <c r="G1047" s="4">
        <v>0</v>
      </c>
      <c r="H1047" s="8">
        <v>0</v>
      </c>
      <c r="I1047" s="4">
        <v>0</v>
      </c>
    </row>
    <row r="1048" spans="1:9" x14ac:dyDescent="0.2">
      <c r="A1048" s="2">
        <v>12</v>
      </c>
      <c r="B1048" s="1" t="s">
        <v>196</v>
      </c>
      <c r="C1048" s="4">
        <v>1</v>
      </c>
      <c r="D1048" s="8">
        <v>1.85</v>
      </c>
      <c r="E1048" s="4">
        <v>1</v>
      </c>
      <c r="F1048" s="8">
        <v>3.13</v>
      </c>
      <c r="G1048" s="4">
        <v>0</v>
      </c>
      <c r="H1048" s="8">
        <v>0</v>
      </c>
      <c r="I1048" s="4">
        <v>0</v>
      </c>
    </row>
    <row r="1049" spans="1:9" x14ac:dyDescent="0.2">
      <c r="A1049" s="2">
        <v>12</v>
      </c>
      <c r="B1049" s="1" t="s">
        <v>183</v>
      </c>
      <c r="C1049" s="4">
        <v>1</v>
      </c>
      <c r="D1049" s="8">
        <v>1.85</v>
      </c>
      <c r="E1049" s="4">
        <v>0</v>
      </c>
      <c r="F1049" s="8">
        <v>0</v>
      </c>
      <c r="G1049" s="4">
        <v>0</v>
      </c>
      <c r="H1049" s="8">
        <v>0</v>
      </c>
      <c r="I1049" s="4">
        <v>0</v>
      </c>
    </row>
    <row r="1050" spans="1:9" x14ac:dyDescent="0.2">
      <c r="A1050" s="1"/>
      <c r="C1050" s="4"/>
      <c r="D1050" s="8"/>
      <c r="E1050" s="4"/>
      <c r="F1050" s="8"/>
      <c r="G1050" s="4"/>
      <c r="H1050" s="8"/>
      <c r="I1050" s="4"/>
    </row>
    <row r="1051" spans="1:9" x14ac:dyDescent="0.2">
      <c r="A1051" s="1" t="s">
        <v>40</v>
      </c>
      <c r="C1051" s="4"/>
      <c r="D1051" s="8"/>
      <c r="E1051" s="4"/>
      <c r="F1051" s="8"/>
      <c r="G1051" s="4"/>
      <c r="H1051" s="8"/>
      <c r="I1051" s="4"/>
    </row>
    <row r="1052" spans="1:9" x14ac:dyDescent="0.2">
      <c r="A1052" s="2">
        <v>1</v>
      </c>
      <c r="B1052" s="1" t="s">
        <v>130</v>
      </c>
      <c r="C1052" s="4">
        <v>74</v>
      </c>
      <c r="D1052" s="8">
        <v>21.64</v>
      </c>
      <c r="E1052" s="4">
        <v>71</v>
      </c>
      <c r="F1052" s="8">
        <v>26.79</v>
      </c>
      <c r="G1052" s="4">
        <v>3</v>
      </c>
      <c r="H1052" s="8">
        <v>4.2300000000000004</v>
      </c>
      <c r="I1052" s="4">
        <v>0</v>
      </c>
    </row>
    <row r="1053" spans="1:9" x14ac:dyDescent="0.2">
      <c r="A1053" s="2">
        <v>2</v>
      </c>
      <c r="B1053" s="1" t="s">
        <v>150</v>
      </c>
      <c r="C1053" s="4">
        <v>50</v>
      </c>
      <c r="D1053" s="8">
        <v>14.62</v>
      </c>
      <c r="E1053" s="4">
        <v>41</v>
      </c>
      <c r="F1053" s="8">
        <v>15.47</v>
      </c>
      <c r="G1053" s="4">
        <v>9</v>
      </c>
      <c r="H1053" s="8">
        <v>12.68</v>
      </c>
      <c r="I1053" s="4">
        <v>0</v>
      </c>
    </row>
    <row r="1054" spans="1:9" x14ac:dyDescent="0.2">
      <c r="A1054" s="2">
        <v>3</v>
      </c>
      <c r="B1054" s="1" t="s">
        <v>134</v>
      </c>
      <c r="C1054" s="4">
        <v>14</v>
      </c>
      <c r="D1054" s="8">
        <v>4.09</v>
      </c>
      <c r="E1054" s="4">
        <v>14</v>
      </c>
      <c r="F1054" s="8">
        <v>5.28</v>
      </c>
      <c r="G1054" s="4">
        <v>0</v>
      </c>
      <c r="H1054" s="8">
        <v>0</v>
      </c>
      <c r="I1054" s="4">
        <v>0</v>
      </c>
    </row>
    <row r="1055" spans="1:9" x14ac:dyDescent="0.2">
      <c r="A1055" s="2">
        <v>3</v>
      </c>
      <c r="B1055" s="1" t="s">
        <v>194</v>
      </c>
      <c r="C1055" s="4">
        <v>14</v>
      </c>
      <c r="D1055" s="8">
        <v>4.09</v>
      </c>
      <c r="E1055" s="4">
        <v>12</v>
      </c>
      <c r="F1055" s="8">
        <v>4.53</v>
      </c>
      <c r="G1055" s="4">
        <v>2</v>
      </c>
      <c r="H1055" s="8">
        <v>2.82</v>
      </c>
      <c r="I1055" s="4">
        <v>0</v>
      </c>
    </row>
    <row r="1056" spans="1:9" x14ac:dyDescent="0.2">
      <c r="A1056" s="2">
        <v>5</v>
      </c>
      <c r="B1056" s="1" t="s">
        <v>160</v>
      </c>
      <c r="C1056" s="4">
        <v>12</v>
      </c>
      <c r="D1056" s="8">
        <v>3.51</v>
      </c>
      <c r="E1056" s="4">
        <v>6</v>
      </c>
      <c r="F1056" s="8">
        <v>2.2599999999999998</v>
      </c>
      <c r="G1056" s="4">
        <v>6</v>
      </c>
      <c r="H1056" s="8">
        <v>8.4499999999999993</v>
      </c>
      <c r="I1056" s="4">
        <v>0</v>
      </c>
    </row>
    <row r="1057" spans="1:9" x14ac:dyDescent="0.2">
      <c r="A1057" s="2">
        <v>5</v>
      </c>
      <c r="B1057" s="1" t="s">
        <v>149</v>
      </c>
      <c r="C1057" s="4">
        <v>12</v>
      </c>
      <c r="D1057" s="8">
        <v>3.51</v>
      </c>
      <c r="E1057" s="4">
        <v>11</v>
      </c>
      <c r="F1057" s="8">
        <v>4.1500000000000004</v>
      </c>
      <c r="G1057" s="4">
        <v>1</v>
      </c>
      <c r="H1057" s="8">
        <v>1.41</v>
      </c>
      <c r="I1057" s="4">
        <v>0</v>
      </c>
    </row>
    <row r="1058" spans="1:9" x14ac:dyDescent="0.2">
      <c r="A1058" s="2">
        <v>7</v>
      </c>
      <c r="B1058" s="1" t="s">
        <v>217</v>
      </c>
      <c r="C1058" s="4">
        <v>11</v>
      </c>
      <c r="D1058" s="8">
        <v>3.22</v>
      </c>
      <c r="E1058" s="4">
        <v>4</v>
      </c>
      <c r="F1058" s="8">
        <v>1.51</v>
      </c>
      <c r="G1058" s="4">
        <v>7</v>
      </c>
      <c r="H1058" s="8">
        <v>9.86</v>
      </c>
      <c r="I1058" s="4">
        <v>0</v>
      </c>
    </row>
    <row r="1059" spans="1:9" x14ac:dyDescent="0.2">
      <c r="A1059" s="2">
        <v>8</v>
      </c>
      <c r="B1059" s="1" t="s">
        <v>123</v>
      </c>
      <c r="C1059" s="4">
        <v>9</v>
      </c>
      <c r="D1059" s="8">
        <v>2.63</v>
      </c>
      <c r="E1059" s="4">
        <v>9</v>
      </c>
      <c r="F1059" s="8">
        <v>3.4</v>
      </c>
      <c r="G1059" s="4">
        <v>0</v>
      </c>
      <c r="H1059" s="8">
        <v>0</v>
      </c>
      <c r="I1059" s="4">
        <v>0</v>
      </c>
    </row>
    <row r="1060" spans="1:9" x14ac:dyDescent="0.2">
      <c r="A1060" s="2">
        <v>9</v>
      </c>
      <c r="B1060" s="1" t="s">
        <v>155</v>
      </c>
      <c r="C1060" s="4">
        <v>8</v>
      </c>
      <c r="D1060" s="8">
        <v>2.34</v>
      </c>
      <c r="E1060" s="4">
        <v>7</v>
      </c>
      <c r="F1060" s="8">
        <v>2.64</v>
      </c>
      <c r="G1060" s="4">
        <v>1</v>
      </c>
      <c r="H1060" s="8">
        <v>1.41</v>
      </c>
      <c r="I1060" s="4">
        <v>0</v>
      </c>
    </row>
    <row r="1061" spans="1:9" x14ac:dyDescent="0.2">
      <c r="A1061" s="2">
        <v>9</v>
      </c>
      <c r="B1061" s="1" t="s">
        <v>131</v>
      </c>
      <c r="C1061" s="4">
        <v>8</v>
      </c>
      <c r="D1061" s="8">
        <v>2.34</v>
      </c>
      <c r="E1061" s="4">
        <v>8</v>
      </c>
      <c r="F1061" s="8">
        <v>3.02</v>
      </c>
      <c r="G1061" s="4">
        <v>0</v>
      </c>
      <c r="H1061" s="8">
        <v>0</v>
      </c>
      <c r="I1061" s="4">
        <v>0</v>
      </c>
    </row>
    <row r="1062" spans="1:9" x14ac:dyDescent="0.2">
      <c r="A1062" s="2">
        <v>9</v>
      </c>
      <c r="B1062" s="1" t="s">
        <v>132</v>
      </c>
      <c r="C1062" s="4">
        <v>8</v>
      </c>
      <c r="D1062" s="8">
        <v>2.34</v>
      </c>
      <c r="E1062" s="4">
        <v>8</v>
      </c>
      <c r="F1062" s="8">
        <v>3.02</v>
      </c>
      <c r="G1062" s="4">
        <v>0</v>
      </c>
      <c r="H1062" s="8">
        <v>0</v>
      </c>
      <c r="I1062" s="4">
        <v>0</v>
      </c>
    </row>
    <row r="1063" spans="1:9" x14ac:dyDescent="0.2">
      <c r="A1063" s="2">
        <v>12</v>
      </c>
      <c r="B1063" s="1" t="s">
        <v>200</v>
      </c>
      <c r="C1063" s="4">
        <v>7</v>
      </c>
      <c r="D1063" s="8">
        <v>2.0499999999999998</v>
      </c>
      <c r="E1063" s="4">
        <v>7</v>
      </c>
      <c r="F1063" s="8">
        <v>2.64</v>
      </c>
      <c r="G1063" s="4">
        <v>0</v>
      </c>
      <c r="H1063" s="8">
        <v>0</v>
      </c>
      <c r="I1063" s="4">
        <v>0</v>
      </c>
    </row>
    <row r="1064" spans="1:9" x14ac:dyDescent="0.2">
      <c r="A1064" s="2">
        <v>13</v>
      </c>
      <c r="B1064" s="1" t="s">
        <v>143</v>
      </c>
      <c r="C1064" s="4">
        <v>6</v>
      </c>
      <c r="D1064" s="8">
        <v>1.75</v>
      </c>
      <c r="E1064" s="4">
        <v>6</v>
      </c>
      <c r="F1064" s="8">
        <v>2.2599999999999998</v>
      </c>
      <c r="G1064" s="4">
        <v>0</v>
      </c>
      <c r="H1064" s="8">
        <v>0</v>
      </c>
      <c r="I1064" s="4">
        <v>0</v>
      </c>
    </row>
    <row r="1065" spans="1:9" x14ac:dyDescent="0.2">
      <c r="A1065" s="2">
        <v>14</v>
      </c>
      <c r="B1065" s="1" t="s">
        <v>159</v>
      </c>
      <c r="C1065" s="4">
        <v>5</v>
      </c>
      <c r="D1065" s="8">
        <v>1.46</v>
      </c>
      <c r="E1065" s="4">
        <v>5</v>
      </c>
      <c r="F1065" s="8">
        <v>1.89</v>
      </c>
      <c r="G1065" s="4">
        <v>0</v>
      </c>
      <c r="H1065" s="8">
        <v>0</v>
      </c>
      <c r="I1065" s="4">
        <v>0</v>
      </c>
    </row>
    <row r="1066" spans="1:9" x14ac:dyDescent="0.2">
      <c r="A1066" s="2">
        <v>14</v>
      </c>
      <c r="B1066" s="1" t="s">
        <v>227</v>
      </c>
      <c r="C1066" s="4">
        <v>5</v>
      </c>
      <c r="D1066" s="8">
        <v>1.46</v>
      </c>
      <c r="E1066" s="4">
        <v>5</v>
      </c>
      <c r="F1066" s="8">
        <v>1.89</v>
      </c>
      <c r="G1066" s="4">
        <v>0</v>
      </c>
      <c r="H1066" s="8">
        <v>0</v>
      </c>
      <c r="I1066" s="4">
        <v>0</v>
      </c>
    </row>
    <row r="1067" spans="1:9" x14ac:dyDescent="0.2">
      <c r="A1067" s="2">
        <v>14</v>
      </c>
      <c r="B1067" s="1" t="s">
        <v>148</v>
      </c>
      <c r="C1067" s="4">
        <v>5</v>
      </c>
      <c r="D1067" s="8">
        <v>1.46</v>
      </c>
      <c r="E1067" s="4">
        <v>5</v>
      </c>
      <c r="F1067" s="8">
        <v>1.89</v>
      </c>
      <c r="G1067" s="4">
        <v>0</v>
      </c>
      <c r="H1067" s="8">
        <v>0</v>
      </c>
      <c r="I1067" s="4">
        <v>0</v>
      </c>
    </row>
    <row r="1068" spans="1:9" x14ac:dyDescent="0.2">
      <c r="A1068" s="2">
        <v>17</v>
      </c>
      <c r="B1068" s="1" t="s">
        <v>122</v>
      </c>
      <c r="C1068" s="4">
        <v>4</v>
      </c>
      <c r="D1068" s="8">
        <v>1.17</v>
      </c>
      <c r="E1068" s="4">
        <v>1</v>
      </c>
      <c r="F1068" s="8">
        <v>0.38</v>
      </c>
      <c r="G1068" s="4">
        <v>3</v>
      </c>
      <c r="H1068" s="8">
        <v>4.2300000000000004</v>
      </c>
      <c r="I1068" s="4">
        <v>0</v>
      </c>
    </row>
    <row r="1069" spans="1:9" x14ac:dyDescent="0.2">
      <c r="A1069" s="2">
        <v>17</v>
      </c>
      <c r="B1069" s="1" t="s">
        <v>214</v>
      </c>
      <c r="C1069" s="4">
        <v>4</v>
      </c>
      <c r="D1069" s="8">
        <v>1.17</v>
      </c>
      <c r="E1069" s="4">
        <v>0</v>
      </c>
      <c r="F1069" s="8">
        <v>0</v>
      </c>
      <c r="G1069" s="4">
        <v>4</v>
      </c>
      <c r="H1069" s="8">
        <v>5.63</v>
      </c>
      <c r="I1069" s="4">
        <v>0</v>
      </c>
    </row>
    <row r="1070" spans="1:9" x14ac:dyDescent="0.2">
      <c r="A1070" s="2">
        <v>17</v>
      </c>
      <c r="B1070" s="1" t="s">
        <v>126</v>
      </c>
      <c r="C1070" s="4">
        <v>4</v>
      </c>
      <c r="D1070" s="8">
        <v>1.17</v>
      </c>
      <c r="E1070" s="4">
        <v>3</v>
      </c>
      <c r="F1070" s="8">
        <v>1.1299999999999999</v>
      </c>
      <c r="G1070" s="4">
        <v>1</v>
      </c>
      <c r="H1070" s="8">
        <v>1.41</v>
      </c>
      <c r="I1070" s="4">
        <v>0</v>
      </c>
    </row>
    <row r="1071" spans="1:9" x14ac:dyDescent="0.2">
      <c r="A1071" s="2">
        <v>17</v>
      </c>
      <c r="B1071" s="1" t="s">
        <v>161</v>
      </c>
      <c r="C1071" s="4">
        <v>4</v>
      </c>
      <c r="D1071" s="8">
        <v>1.17</v>
      </c>
      <c r="E1071" s="4">
        <v>4</v>
      </c>
      <c r="F1071" s="8">
        <v>1.51</v>
      </c>
      <c r="G1071" s="4">
        <v>0</v>
      </c>
      <c r="H1071" s="8">
        <v>0</v>
      </c>
      <c r="I1071" s="4">
        <v>0</v>
      </c>
    </row>
    <row r="1072" spans="1:9" x14ac:dyDescent="0.2">
      <c r="A1072" s="1"/>
      <c r="C1072" s="4"/>
      <c r="D1072" s="8"/>
      <c r="E1072" s="4"/>
      <c r="F1072" s="8"/>
      <c r="G1072" s="4"/>
      <c r="H1072" s="8"/>
      <c r="I1072" s="4"/>
    </row>
    <row r="1073" spans="1:9" x14ac:dyDescent="0.2">
      <c r="A1073" s="1" t="s">
        <v>41</v>
      </c>
      <c r="C1073" s="4"/>
      <c r="D1073" s="8"/>
      <c r="E1073" s="4"/>
      <c r="F1073" s="8"/>
      <c r="G1073" s="4"/>
      <c r="H1073" s="8"/>
      <c r="I1073" s="4"/>
    </row>
    <row r="1074" spans="1:9" x14ac:dyDescent="0.2">
      <c r="A1074" s="2">
        <v>1</v>
      </c>
      <c r="B1074" s="1" t="s">
        <v>167</v>
      </c>
      <c r="C1074" s="4">
        <v>21</v>
      </c>
      <c r="D1074" s="8">
        <v>15.11</v>
      </c>
      <c r="E1074" s="4">
        <v>21</v>
      </c>
      <c r="F1074" s="8">
        <v>20</v>
      </c>
      <c r="G1074" s="4">
        <v>0</v>
      </c>
      <c r="H1074" s="8">
        <v>0</v>
      </c>
      <c r="I1074" s="4">
        <v>0</v>
      </c>
    </row>
    <row r="1075" spans="1:9" x14ac:dyDescent="0.2">
      <c r="A1075" s="2">
        <v>2</v>
      </c>
      <c r="B1075" s="1" t="s">
        <v>198</v>
      </c>
      <c r="C1075" s="4">
        <v>11</v>
      </c>
      <c r="D1075" s="8">
        <v>7.91</v>
      </c>
      <c r="E1075" s="4">
        <v>10</v>
      </c>
      <c r="F1075" s="8">
        <v>9.52</v>
      </c>
      <c r="G1075" s="4">
        <v>1</v>
      </c>
      <c r="H1075" s="8">
        <v>3.57</v>
      </c>
      <c r="I1075" s="4">
        <v>0</v>
      </c>
    </row>
    <row r="1076" spans="1:9" x14ac:dyDescent="0.2">
      <c r="A1076" s="2">
        <v>3</v>
      </c>
      <c r="B1076" s="1" t="s">
        <v>130</v>
      </c>
      <c r="C1076" s="4">
        <v>10</v>
      </c>
      <c r="D1076" s="8">
        <v>7.19</v>
      </c>
      <c r="E1076" s="4">
        <v>8</v>
      </c>
      <c r="F1076" s="8">
        <v>7.62</v>
      </c>
      <c r="G1076" s="4">
        <v>2</v>
      </c>
      <c r="H1076" s="8">
        <v>7.14</v>
      </c>
      <c r="I1076" s="4">
        <v>0</v>
      </c>
    </row>
    <row r="1077" spans="1:9" x14ac:dyDescent="0.2">
      <c r="A1077" s="2">
        <v>4</v>
      </c>
      <c r="B1077" s="1" t="s">
        <v>132</v>
      </c>
      <c r="C1077" s="4">
        <v>6</v>
      </c>
      <c r="D1077" s="8">
        <v>4.32</v>
      </c>
      <c r="E1077" s="4">
        <v>6</v>
      </c>
      <c r="F1077" s="8">
        <v>5.71</v>
      </c>
      <c r="G1077" s="4">
        <v>0</v>
      </c>
      <c r="H1077" s="8">
        <v>0</v>
      </c>
      <c r="I1077" s="4">
        <v>0</v>
      </c>
    </row>
    <row r="1078" spans="1:9" x14ac:dyDescent="0.2">
      <c r="A1078" s="2">
        <v>5</v>
      </c>
      <c r="B1078" s="1" t="s">
        <v>148</v>
      </c>
      <c r="C1078" s="4">
        <v>5</v>
      </c>
      <c r="D1078" s="8">
        <v>3.6</v>
      </c>
      <c r="E1078" s="4">
        <v>4</v>
      </c>
      <c r="F1078" s="8">
        <v>3.81</v>
      </c>
      <c r="G1078" s="4">
        <v>1</v>
      </c>
      <c r="H1078" s="8">
        <v>3.57</v>
      </c>
      <c r="I1078" s="4">
        <v>0</v>
      </c>
    </row>
    <row r="1079" spans="1:9" x14ac:dyDescent="0.2">
      <c r="A1079" s="2">
        <v>5</v>
      </c>
      <c r="B1079" s="1" t="s">
        <v>149</v>
      </c>
      <c r="C1079" s="4">
        <v>5</v>
      </c>
      <c r="D1079" s="8">
        <v>3.6</v>
      </c>
      <c r="E1079" s="4">
        <v>3</v>
      </c>
      <c r="F1079" s="8">
        <v>2.86</v>
      </c>
      <c r="G1079" s="4">
        <v>2</v>
      </c>
      <c r="H1079" s="8">
        <v>7.14</v>
      </c>
      <c r="I1079" s="4">
        <v>0</v>
      </c>
    </row>
    <row r="1080" spans="1:9" x14ac:dyDescent="0.2">
      <c r="A1080" s="2">
        <v>7</v>
      </c>
      <c r="B1080" s="1" t="s">
        <v>131</v>
      </c>
      <c r="C1080" s="4">
        <v>4</v>
      </c>
      <c r="D1080" s="8">
        <v>2.88</v>
      </c>
      <c r="E1080" s="4">
        <v>3</v>
      </c>
      <c r="F1080" s="8">
        <v>2.86</v>
      </c>
      <c r="G1080" s="4">
        <v>1</v>
      </c>
      <c r="H1080" s="8">
        <v>3.57</v>
      </c>
      <c r="I1080" s="4">
        <v>0</v>
      </c>
    </row>
    <row r="1081" spans="1:9" x14ac:dyDescent="0.2">
      <c r="A1081" s="2">
        <v>7</v>
      </c>
      <c r="B1081" s="1" t="s">
        <v>150</v>
      </c>
      <c r="C1081" s="4">
        <v>4</v>
      </c>
      <c r="D1081" s="8">
        <v>2.88</v>
      </c>
      <c r="E1081" s="4">
        <v>1</v>
      </c>
      <c r="F1081" s="8">
        <v>0.95</v>
      </c>
      <c r="G1081" s="4">
        <v>1</v>
      </c>
      <c r="H1081" s="8">
        <v>3.57</v>
      </c>
      <c r="I1081" s="4">
        <v>2</v>
      </c>
    </row>
    <row r="1082" spans="1:9" x14ac:dyDescent="0.2">
      <c r="A1082" s="2">
        <v>9</v>
      </c>
      <c r="B1082" s="1" t="s">
        <v>234</v>
      </c>
      <c r="C1082" s="4">
        <v>3</v>
      </c>
      <c r="D1082" s="8">
        <v>2.16</v>
      </c>
      <c r="E1082" s="4">
        <v>2</v>
      </c>
      <c r="F1082" s="8">
        <v>1.9</v>
      </c>
      <c r="G1082" s="4">
        <v>1</v>
      </c>
      <c r="H1082" s="8">
        <v>3.57</v>
      </c>
      <c r="I1082" s="4">
        <v>0</v>
      </c>
    </row>
    <row r="1083" spans="1:9" x14ac:dyDescent="0.2">
      <c r="A1083" s="2">
        <v>9</v>
      </c>
      <c r="B1083" s="1" t="s">
        <v>165</v>
      </c>
      <c r="C1083" s="4">
        <v>3</v>
      </c>
      <c r="D1083" s="8">
        <v>2.16</v>
      </c>
      <c r="E1083" s="4">
        <v>0</v>
      </c>
      <c r="F1083" s="8">
        <v>0</v>
      </c>
      <c r="G1083" s="4">
        <v>3</v>
      </c>
      <c r="H1083" s="8">
        <v>10.71</v>
      </c>
      <c r="I1083" s="4">
        <v>0</v>
      </c>
    </row>
    <row r="1084" spans="1:9" x14ac:dyDescent="0.2">
      <c r="A1084" s="2">
        <v>9</v>
      </c>
      <c r="B1084" s="1" t="s">
        <v>128</v>
      </c>
      <c r="C1084" s="4">
        <v>3</v>
      </c>
      <c r="D1084" s="8">
        <v>2.16</v>
      </c>
      <c r="E1084" s="4">
        <v>3</v>
      </c>
      <c r="F1084" s="8">
        <v>2.86</v>
      </c>
      <c r="G1084" s="4">
        <v>0</v>
      </c>
      <c r="H1084" s="8">
        <v>0</v>
      </c>
      <c r="I1084" s="4">
        <v>0</v>
      </c>
    </row>
    <row r="1085" spans="1:9" x14ac:dyDescent="0.2">
      <c r="A1085" s="2">
        <v>9</v>
      </c>
      <c r="B1085" s="1" t="s">
        <v>182</v>
      </c>
      <c r="C1085" s="4">
        <v>3</v>
      </c>
      <c r="D1085" s="8">
        <v>2.16</v>
      </c>
      <c r="E1085" s="4">
        <v>1</v>
      </c>
      <c r="F1085" s="8">
        <v>0.95</v>
      </c>
      <c r="G1085" s="4">
        <v>1</v>
      </c>
      <c r="H1085" s="8">
        <v>3.57</v>
      </c>
      <c r="I1085" s="4">
        <v>0</v>
      </c>
    </row>
    <row r="1086" spans="1:9" x14ac:dyDescent="0.2">
      <c r="A1086" s="2">
        <v>13</v>
      </c>
      <c r="B1086" s="1" t="s">
        <v>122</v>
      </c>
      <c r="C1086" s="4">
        <v>2</v>
      </c>
      <c r="D1086" s="8">
        <v>1.44</v>
      </c>
      <c r="E1086" s="4">
        <v>0</v>
      </c>
      <c r="F1086" s="8">
        <v>0</v>
      </c>
      <c r="G1086" s="4">
        <v>2</v>
      </c>
      <c r="H1086" s="8">
        <v>7.14</v>
      </c>
      <c r="I1086" s="4">
        <v>0</v>
      </c>
    </row>
    <row r="1087" spans="1:9" x14ac:dyDescent="0.2">
      <c r="A1087" s="2">
        <v>13</v>
      </c>
      <c r="B1087" s="1" t="s">
        <v>151</v>
      </c>
      <c r="C1087" s="4">
        <v>2</v>
      </c>
      <c r="D1087" s="8">
        <v>1.44</v>
      </c>
      <c r="E1087" s="4">
        <v>1</v>
      </c>
      <c r="F1087" s="8">
        <v>0.95</v>
      </c>
      <c r="G1087" s="4">
        <v>1</v>
      </c>
      <c r="H1087" s="8">
        <v>3.57</v>
      </c>
      <c r="I1087" s="4">
        <v>0</v>
      </c>
    </row>
    <row r="1088" spans="1:9" x14ac:dyDescent="0.2">
      <c r="A1088" s="2">
        <v>13</v>
      </c>
      <c r="B1088" s="1" t="s">
        <v>188</v>
      </c>
      <c r="C1088" s="4">
        <v>2</v>
      </c>
      <c r="D1088" s="8">
        <v>1.44</v>
      </c>
      <c r="E1088" s="4">
        <v>2</v>
      </c>
      <c r="F1088" s="8">
        <v>1.9</v>
      </c>
      <c r="G1088" s="4">
        <v>0</v>
      </c>
      <c r="H1088" s="8">
        <v>0</v>
      </c>
      <c r="I1088" s="4">
        <v>0</v>
      </c>
    </row>
    <row r="1089" spans="1:9" x14ac:dyDescent="0.2">
      <c r="A1089" s="2">
        <v>13</v>
      </c>
      <c r="B1089" s="1" t="s">
        <v>245</v>
      </c>
      <c r="C1089" s="4">
        <v>2</v>
      </c>
      <c r="D1089" s="8">
        <v>1.44</v>
      </c>
      <c r="E1089" s="4">
        <v>1</v>
      </c>
      <c r="F1089" s="8">
        <v>0.95</v>
      </c>
      <c r="G1089" s="4">
        <v>1</v>
      </c>
      <c r="H1089" s="8">
        <v>3.57</v>
      </c>
      <c r="I1089" s="4">
        <v>0</v>
      </c>
    </row>
    <row r="1090" spans="1:9" x14ac:dyDescent="0.2">
      <c r="A1090" s="2">
        <v>13</v>
      </c>
      <c r="B1090" s="1" t="s">
        <v>254</v>
      </c>
      <c r="C1090" s="4">
        <v>2</v>
      </c>
      <c r="D1090" s="8">
        <v>1.44</v>
      </c>
      <c r="E1090" s="4">
        <v>0</v>
      </c>
      <c r="F1090" s="8">
        <v>0</v>
      </c>
      <c r="G1090" s="4">
        <v>2</v>
      </c>
      <c r="H1090" s="8">
        <v>7.14</v>
      </c>
      <c r="I1090" s="4">
        <v>0</v>
      </c>
    </row>
    <row r="1091" spans="1:9" x14ac:dyDescent="0.2">
      <c r="A1091" s="2">
        <v>13</v>
      </c>
      <c r="B1091" s="1" t="s">
        <v>156</v>
      </c>
      <c r="C1091" s="4">
        <v>2</v>
      </c>
      <c r="D1091" s="8">
        <v>1.44</v>
      </c>
      <c r="E1091" s="4">
        <v>2</v>
      </c>
      <c r="F1091" s="8">
        <v>1.9</v>
      </c>
      <c r="G1091" s="4">
        <v>0</v>
      </c>
      <c r="H1091" s="8">
        <v>0</v>
      </c>
      <c r="I1091" s="4">
        <v>0</v>
      </c>
    </row>
    <row r="1092" spans="1:9" x14ac:dyDescent="0.2">
      <c r="A1092" s="2">
        <v>13</v>
      </c>
      <c r="B1092" s="1" t="s">
        <v>199</v>
      </c>
      <c r="C1092" s="4">
        <v>2</v>
      </c>
      <c r="D1092" s="8">
        <v>1.44</v>
      </c>
      <c r="E1092" s="4">
        <v>1</v>
      </c>
      <c r="F1092" s="8">
        <v>0.95</v>
      </c>
      <c r="G1092" s="4">
        <v>1</v>
      </c>
      <c r="H1092" s="8">
        <v>3.57</v>
      </c>
      <c r="I1092" s="4">
        <v>0</v>
      </c>
    </row>
    <row r="1093" spans="1:9" x14ac:dyDescent="0.2">
      <c r="A1093" s="2">
        <v>13</v>
      </c>
      <c r="B1093" s="1" t="s">
        <v>158</v>
      </c>
      <c r="C1093" s="4">
        <v>2</v>
      </c>
      <c r="D1093" s="8">
        <v>1.44</v>
      </c>
      <c r="E1093" s="4">
        <v>2</v>
      </c>
      <c r="F1093" s="8">
        <v>1.9</v>
      </c>
      <c r="G1093" s="4">
        <v>0</v>
      </c>
      <c r="H1093" s="8">
        <v>0</v>
      </c>
      <c r="I1093" s="4">
        <v>0</v>
      </c>
    </row>
    <row r="1094" spans="1:9" x14ac:dyDescent="0.2">
      <c r="A1094" s="2">
        <v>13</v>
      </c>
      <c r="B1094" s="1" t="s">
        <v>144</v>
      </c>
      <c r="C1094" s="4">
        <v>2</v>
      </c>
      <c r="D1094" s="8">
        <v>1.44</v>
      </c>
      <c r="E1094" s="4">
        <v>2</v>
      </c>
      <c r="F1094" s="8">
        <v>1.9</v>
      </c>
      <c r="G1094" s="4">
        <v>0</v>
      </c>
      <c r="H1094" s="8">
        <v>0</v>
      </c>
      <c r="I1094" s="4">
        <v>0</v>
      </c>
    </row>
    <row r="1095" spans="1:9" x14ac:dyDescent="0.2">
      <c r="A1095" s="2">
        <v>13</v>
      </c>
      <c r="B1095" s="1" t="s">
        <v>126</v>
      </c>
      <c r="C1095" s="4">
        <v>2</v>
      </c>
      <c r="D1095" s="8">
        <v>1.44</v>
      </c>
      <c r="E1095" s="4">
        <v>1</v>
      </c>
      <c r="F1095" s="8">
        <v>0.95</v>
      </c>
      <c r="G1095" s="4">
        <v>1</v>
      </c>
      <c r="H1095" s="8">
        <v>3.57</v>
      </c>
      <c r="I1095" s="4">
        <v>0</v>
      </c>
    </row>
    <row r="1096" spans="1:9" x14ac:dyDescent="0.2">
      <c r="A1096" s="2">
        <v>13</v>
      </c>
      <c r="B1096" s="1" t="s">
        <v>133</v>
      </c>
      <c r="C1096" s="4">
        <v>2</v>
      </c>
      <c r="D1096" s="8">
        <v>1.44</v>
      </c>
      <c r="E1096" s="4">
        <v>2</v>
      </c>
      <c r="F1096" s="8">
        <v>1.9</v>
      </c>
      <c r="G1096" s="4">
        <v>0</v>
      </c>
      <c r="H1096" s="8">
        <v>0</v>
      </c>
      <c r="I1096" s="4">
        <v>0</v>
      </c>
    </row>
    <row r="1097" spans="1:9" x14ac:dyDescent="0.2">
      <c r="A1097" s="2">
        <v>13</v>
      </c>
      <c r="B1097" s="1" t="s">
        <v>134</v>
      </c>
      <c r="C1097" s="4">
        <v>2</v>
      </c>
      <c r="D1097" s="8">
        <v>1.44</v>
      </c>
      <c r="E1097" s="4">
        <v>2</v>
      </c>
      <c r="F1097" s="8">
        <v>1.9</v>
      </c>
      <c r="G1097" s="4">
        <v>0</v>
      </c>
      <c r="H1097" s="8">
        <v>0</v>
      </c>
      <c r="I1097" s="4">
        <v>0</v>
      </c>
    </row>
    <row r="1098" spans="1:9" x14ac:dyDescent="0.2">
      <c r="A1098" s="2">
        <v>13</v>
      </c>
      <c r="B1098" s="1" t="s">
        <v>136</v>
      </c>
      <c r="C1098" s="4">
        <v>2</v>
      </c>
      <c r="D1098" s="8">
        <v>1.44</v>
      </c>
      <c r="E1098" s="4">
        <v>2</v>
      </c>
      <c r="F1098" s="8">
        <v>1.9</v>
      </c>
      <c r="G1098" s="4">
        <v>0</v>
      </c>
      <c r="H1098" s="8">
        <v>0</v>
      </c>
      <c r="I1098" s="4">
        <v>0</v>
      </c>
    </row>
    <row r="1099" spans="1:9" x14ac:dyDescent="0.2">
      <c r="A1099" s="2">
        <v>13</v>
      </c>
      <c r="B1099" s="1" t="s">
        <v>139</v>
      </c>
      <c r="C1099" s="4">
        <v>2</v>
      </c>
      <c r="D1099" s="8">
        <v>1.44</v>
      </c>
      <c r="E1099" s="4">
        <v>2</v>
      </c>
      <c r="F1099" s="8">
        <v>1.9</v>
      </c>
      <c r="G1099" s="4">
        <v>0</v>
      </c>
      <c r="H1099" s="8">
        <v>0</v>
      </c>
      <c r="I1099" s="4">
        <v>0</v>
      </c>
    </row>
    <row r="1100" spans="1:9" x14ac:dyDescent="0.2">
      <c r="A1100" s="1"/>
      <c r="C1100" s="4"/>
      <c r="D1100" s="8"/>
      <c r="E1100" s="4"/>
      <c r="F1100" s="8"/>
      <c r="G1100" s="4"/>
      <c r="H1100" s="8"/>
      <c r="I1100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4D7FA-62F0-4948-9670-18DEFBCCBAB1}">
  <sheetPr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298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4</v>
      </c>
      <c r="D6" s="8">
        <v>7.55</v>
      </c>
      <c r="E6" s="12">
        <v>1</v>
      </c>
      <c r="F6" s="8">
        <v>3.03</v>
      </c>
      <c r="G6" s="12">
        <v>3</v>
      </c>
      <c r="H6" s="8">
        <v>20</v>
      </c>
      <c r="I6" s="12">
        <v>0</v>
      </c>
    </row>
    <row r="7" spans="2:9" ht="15" customHeight="1" x14ac:dyDescent="0.2">
      <c r="B7" t="s">
        <v>44</v>
      </c>
      <c r="C7" s="12">
        <v>9</v>
      </c>
      <c r="D7" s="8">
        <v>16.98</v>
      </c>
      <c r="E7" s="12">
        <v>4</v>
      </c>
      <c r="F7" s="8">
        <v>12.12</v>
      </c>
      <c r="G7" s="12">
        <v>4</v>
      </c>
      <c r="H7" s="8">
        <v>26.67</v>
      </c>
      <c r="I7" s="12">
        <v>1</v>
      </c>
    </row>
    <row r="8" spans="2:9" ht="15" customHeight="1" x14ac:dyDescent="0.2">
      <c r="B8" t="s">
        <v>45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47</v>
      </c>
      <c r="C10" s="12">
        <v>2</v>
      </c>
      <c r="D10" s="8">
        <v>3.77</v>
      </c>
      <c r="E10" s="12">
        <v>1</v>
      </c>
      <c r="F10" s="8">
        <v>3.03</v>
      </c>
      <c r="G10" s="12">
        <v>1</v>
      </c>
      <c r="H10" s="8">
        <v>6.67</v>
      </c>
      <c r="I10" s="12">
        <v>0</v>
      </c>
    </row>
    <row r="11" spans="2:9" ht="15" customHeight="1" x14ac:dyDescent="0.2">
      <c r="B11" t="s">
        <v>48</v>
      </c>
      <c r="C11" s="12">
        <v>17</v>
      </c>
      <c r="D11" s="8">
        <v>32.08</v>
      </c>
      <c r="E11" s="12">
        <v>11</v>
      </c>
      <c r="F11" s="8">
        <v>33.33</v>
      </c>
      <c r="G11" s="12">
        <v>6</v>
      </c>
      <c r="H11" s="8">
        <v>40</v>
      </c>
      <c r="I11" s="12">
        <v>0</v>
      </c>
    </row>
    <row r="12" spans="2:9" ht="15" customHeight="1" x14ac:dyDescent="0.2">
      <c r="B12" t="s">
        <v>49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50</v>
      </c>
      <c r="C13" s="12">
        <v>1</v>
      </c>
      <c r="D13" s="8">
        <v>1.89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51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52</v>
      </c>
      <c r="C15" s="12">
        <v>12</v>
      </c>
      <c r="D15" s="8">
        <v>22.64</v>
      </c>
      <c r="E15" s="12">
        <v>12</v>
      </c>
      <c r="F15" s="8">
        <v>36.36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53</v>
      </c>
      <c r="C16" s="12">
        <v>3</v>
      </c>
      <c r="D16" s="8">
        <v>5.66</v>
      </c>
      <c r="E16" s="12">
        <v>3</v>
      </c>
      <c r="F16" s="8">
        <v>9.09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54</v>
      </c>
      <c r="C17" s="12">
        <v>1</v>
      </c>
      <c r="D17" s="8">
        <v>1.89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55</v>
      </c>
      <c r="C18" s="12">
        <v>1</v>
      </c>
      <c r="D18" s="8">
        <v>1.89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56</v>
      </c>
      <c r="C19" s="12">
        <v>3</v>
      </c>
      <c r="D19" s="8">
        <v>5.66</v>
      </c>
      <c r="E19" s="12">
        <v>1</v>
      </c>
      <c r="F19" s="8">
        <v>3.03</v>
      </c>
      <c r="G19" s="12">
        <v>1</v>
      </c>
      <c r="H19" s="8">
        <v>6.67</v>
      </c>
      <c r="I19" s="12">
        <v>0</v>
      </c>
    </row>
    <row r="20" spans="2:9" ht="15" customHeight="1" x14ac:dyDescent="0.2">
      <c r="B20" s="9" t="s">
        <v>260</v>
      </c>
      <c r="C20" s="12">
        <f>SUM(LTBL_47359[総数／事業所数])</f>
        <v>53</v>
      </c>
      <c r="E20" s="12">
        <f>SUBTOTAL(109,LTBL_47359[個人／事業所数])</f>
        <v>33</v>
      </c>
      <c r="G20" s="12">
        <f>SUBTOTAL(109,LTBL_47359[法人／事業所数])</f>
        <v>15</v>
      </c>
      <c r="I20" s="12">
        <f>SUBTOTAL(109,LTBL_47359[法人以外の団体／事業所数])</f>
        <v>1</v>
      </c>
    </row>
    <row r="21" spans="2:9" ht="15" customHeight="1" x14ac:dyDescent="0.2">
      <c r="E21" s="11">
        <f>LTBL_47359[[#Totals],[個人／事業所数]]/LTBL_47359[[#Totals],[総数／事業所数]]</f>
        <v>0.62264150943396224</v>
      </c>
      <c r="G21" s="11">
        <f>LTBL_47359[[#Totals],[法人／事業所数]]/LTBL_47359[[#Totals],[総数／事業所数]]</f>
        <v>0.28301886792452829</v>
      </c>
      <c r="I21" s="11">
        <f>LTBL_47359[[#Totals],[法人以外の団体／事業所数]]/LTBL_47359[[#Totals],[総数／事業所数]]</f>
        <v>1.8867924528301886E-2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69</v>
      </c>
      <c r="C24" s="12">
        <v>14</v>
      </c>
      <c r="D24" s="8">
        <v>26.42</v>
      </c>
      <c r="E24" s="12">
        <v>10</v>
      </c>
      <c r="F24" s="8">
        <v>30.3</v>
      </c>
      <c r="G24" s="12">
        <v>4</v>
      </c>
      <c r="H24" s="8">
        <v>26.67</v>
      </c>
      <c r="I24" s="12">
        <v>0</v>
      </c>
    </row>
    <row r="25" spans="2:9" ht="15" customHeight="1" x14ac:dyDescent="0.2">
      <c r="B25" t="s">
        <v>77</v>
      </c>
      <c r="C25" s="12">
        <v>9</v>
      </c>
      <c r="D25" s="8">
        <v>16.98</v>
      </c>
      <c r="E25" s="12">
        <v>9</v>
      </c>
      <c r="F25" s="8">
        <v>27.27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88</v>
      </c>
      <c r="C26" s="12">
        <v>4</v>
      </c>
      <c r="D26" s="8">
        <v>7.55</v>
      </c>
      <c r="E26" s="12">
        <v>1</v>
      </c>
      <c r="F26" s="8">
        <v>3.03</v>
      </c>
      <c r="G26" s="12">
        <v>2</v>
      </c>
      <c r="H26" s="8">
        <v>13.33</v>
      </c>
      <c r="I26" s="12">
        <v>1</v>
      </c>
    </row>
    <row r="27" spans="2:9" ht="15" customHeight="1" x14ac:dyDescent="0.2">
      <c r="B27" t="s">
        <v>65</v>
      </c>
      <c r="C27" s="12">
        <v>3</v>
      </c>
      <c r="D27" s="8">
        <v>5.66</v>
      </c>
      <c r="E27" s="12">
        <v>0</v>
      </c>
      <c r="F27" s="8">
        <v>0</v>
      </c>
      <c r="G27" s="12">
        <v>3</v>
      </c>
      <c r="H27" s="8">
        <v>20</v>
      </c>
      <c r="I27" s="12">
        <v>0</v>
      </c>
    </row>
    <row r="28" spans="2:9" ht="15" customHeight="1" x14ac:dyDescent="0.2">
      <c r="B28" t="s">
        <v>76</v>
      </c>
      <c r="C28" s="12">
        <v>3</v>
      </c>
      <c r="D28" s="8">
        <v>5.66</v>
      </c>
      <c r="E28" s="12">
        <v>3</v>
      </c>
      <c r="F28" s="8">
        <v>9.09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97</v>
      </c>
      <c r="C29" s="12">
        <v>2</v>
      </c>
      <c r="D29" s="8">
        <v>3.77</v>
      </c>
      <c r="E29" s="12">
        <v>1</v>
      </c>
      <c r="F29" s="8">
        <v>3.03</v>
      </c>
      <c r="G29" s="12">
        <v>1</v>
      </c>
      <c r="H29" s="8">
        <v>6.67</v>
      </c>
      <c r="I29" s="12">
        <v>0</v>
      </c>
    </row>
    <row r="30" spans="2:9" ht="15" customHeight="1" x14ac:dyDescent="0.2">
      <c r="B30" t="s">
        <v>95</v>
      </c>
      <c r="C30" s="12">
        <v>2</v>
      </c>
      <c r="D30" s="8">
        <v>3.77</v>
      </c>
      <c r="E30" s="12">
        <v>1</v>
      </c>
      <c r="F30" s="8">
        <v>3.03</v>
      </c>
      <c r="G30" s="12">
        <v>1</v>
      </c>
      <c r="H30" s="8">
        <v>6.67</v>
      </c>
      <c r="I30" s="12">
        <v>0</v>
      </c>
    </row>
    <row r="31" spans="2:9" ht="15" customHeight="1" x14ac:dyDescent="0.2">
      <c r="B31" t="s">
        <v>71</v>
      </c>
      <c r="C31" s="12">
        <v>2</v>
      </c>
      <c r="D31" s="8">
        <v>3.77</v>
      </c>
      <c r="E31" s="12">
        <v>1</v>
      </c>
      <c r="F31" s="8">
        <v>3.03</v>
      </c>
      <c r="G31" s="12">
        <v>1</v>
      </c>
      <c r="H31" s="8">
        <v>6.67</v>
      </c>
      <c r="I31" s="12">
        <v>0</v>
      </c>
    </row>
    <row r="32" spans="2:9" ht="15" customHeight="1" x14ac:dyDescent="0.2">
      <c r="B32" t="s">
        <v>78</v>
      </c>
      <c r="C32" s="12">
        <v>2</v>
      </c>
      <c r="D32" s="8">
        <v>3.77</v>
      </c>
      <c r="E32" s="12">
        <v>2</v>
      </c>
      <c r="F32" s="8">
        <v>6.06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67</v>
      </c>
      <c r="C33" s="12">
        <v>1</v>
      </c>
      <c r="D33" s="8">
        <v>1.89</v>
      </c>
      <c r="E33" s="12">
        <v>1</v>
      </c>
      <c r="F33" s="8">
        <v>3.03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100</v>
      </c>
      <c r="C34" s="12">
        <v>1</v>
      </c>
      <c r="D34" s="8">
        <v>1.89</v>
      </c>
      <c r="E34" s="12">
        <v>1</v>
      </c>
      <c r="F34" s="8">
        <v>3.03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103</v>
      </c>
      <c r="C35" s="12">
        <v>1</v>
      </c>
      <c r="D35" s="8">
        <v>1.89</v>
      </c>
      <c r="E35" s="12">
        <v>0</v>
      </c>
      <c r="F35" s="8">
        <v>0</v>
      </c>
      <c r="G35" s="12">
        <v>1</v>
      </c>
      <c r="H35" s="8">
        <v>6.67</v>
      </c>
      <c r="I35" s="12">
        <v>0</v>
      </c>
    </row>
    <row r="36" spans="2:9" ht="15" customHeight="1" x14ac:dyDescent="0.2">
      <c r="B36" t="s">
        <v>114</v>
      </c>
      <c r="C36" s="12">
        <v>1</v>
      </c>
      <c r="D36" s="8">
        <v>1.89</v>
      </c>
      <c r="E36" s="12">
        <v>1</v>
      </c>
      <c r="F36" s="8">
        <v>3.03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90</v>
      </c>
      <c r="C37" s="12">
        <v>1</v>
      </c>
      <c r="D37" s="8">
        <v>1.89</v>
      </c>
      <c r="E37" s="12">
        <v>0</v>
      </c>
      <c r="F37" s="8">
        <v>0</v>
      </c>
      <c r="G37" s="12">
        <v>1</v>
      </c>
      <c r="H37" s="8">
        <v>6.67</v>
      </c>
      <c r="I37" s="12">
        <v>0</v>
      </c>
    </row>
    <row r="38" spans="2:9" ht="15" customHeight="1" x14ac:dyDescent="0.2">
      <c r="B38" t="s">
        <v>73</v>
      </c>
      <c r="C38" s="12">
        <v>1</v>
      </c>
      <c r="D38" s="8">
        <v>1.89</v>
      </c>
      <c r="E38" s="12">
        <v>0</v>
      </c>
      <c r="F38" s="8">
        <v>0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80</v>
      </c>
      <c r="C39" s="12">
        <v>1</v>
      </c>
      <c r="D39" s="8">
        <v>1.89</v>
      </c>
      <c r="E39" s="12">
        <v>1</v>
      </c>
      <c r="F39" s="8">
        <v>3.03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81</v>
      </c>
      <c r="C40" s="12">
        <v>1</v>
      </c>
      <c r="D40" s="8">
        <v>1.89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82</v>
      </c>
      <c r="C41" s="12">
        <v>1</v>
      </c>
      <c r="D41" s="8">
        <v>1.89</v>
      </c>
      <c r="E41" s="12">
        <v>0</v>
      </c>
      <c r="F41" s="8">
        <v>0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104</v>
      </c>
      <c r="C42" s="12">
        <v>1</v>
      </c>
      <c r="D42" s="8">
        <v>1.89</v>
      </c>
      <c r="E42" s="12">
        <v>0</v>
      </c>
      <c r="F42" s="8">
        <v>0</v>
      </c>
      <c r="G42" s="12">
        <v>1</v>
      </c>
      <c r="H42" s="8">
        <v>6.67</v>
      </c>
      <c r="I42" s="12">
        <v>0</v>
      </c>
    </row>
    <row r="43" spans="2:9" ht="15" customHeight="1" x14ac:dyDescent="0.2">
      <c r="B43" t="s">
        <v>84</v>
      </c>
      <c r="C43" s="12">
        <v>1</v>
      </c>
      <c r="D43" s="8">
        <v>1.89</v>
      </c>
      <c r="E43" s="12">
        <v>1</v>
      </c>
      <c r="F43" s="8">
        <v>3.03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102</v>
      </c>
      <c r="C44" s="12">
        <v>1</v>
      </c>
      <c r="D44" s="8">
        <v>1.89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262</v>
      </c>
      <c r="C47" s="10" t="s">
        <v>58</v>
      </c>
      <c r="D47" s="10" t="s">
        <v>59</v>
      </c>
      <c r="E47" s="10" t="s">
        <v>60</v>
      </c>
      <c r="F47" s="10" t="s">
        <v>61</v>
      </c>
      <c r="G47" s="10" t="s">
        <v>62</v>
      </c>
      <c r="H47" s="10" t="s">
        <v>63</v>
      </c>
      <c r="I47" s="10" t="s">
        <v>64</v>
      </c>
    </row>
    <row r="48" spans="2:9" ht="15" customHeight="1" x14ac:dyDescent="0.2">
      <c r="B48" t="s">
        <v>123</v>
      </c>
      <c r="C48" s="12">
        <v>7</v>
      </c>
      <c r="D48" s="8">
        <v>13.21</v>
      </c>
      <c r="E48" s="12">
        <v>4</v>
      </c>
      <c r="F48" s="8">
        <v>12.12</v>
      </c>
      <c r="G48" s="12">
        <v>3</v>
      </c>
      <c r="H48" s="8">
        <v>20</v>
      </c>
      <c r="I48" s="12">
        <v>0</v>
      </c>
    </row>
    <row r="49" spans="2:9" ht="15" customHeight="1" x14ac:dyDescent="0.2">
      <c r="B49" t="s">
        <v>133</v>
      </c>
      <c r="C49" s="12">
        <v>4</v>
      </c>
      <c r="D49" s="8">
        <v>7.55</v>
      </c>
      <c r="E49" s="12">
        <v>4</v>
      </c>
      <c r="F49" s="8">
        <v>12.12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122</v>
      </c>
      <c r="C50" s="12">
        <v>3</v>
      </c>
      <c r="D50" s="8">
        <v>5.66</v>
      </c>
      <c r="E50" s="12">
        <v>0</v>
      </c>
      <c r="F50" s="8">
        <v>0</v>
      </c>
      <c r="G50" s="12">
        <v>3</v>
      </c>
      <c r="H50" s="8">
        <v>20</v>
      </c>
      <c r="I50" s="12">
        <v>0</v>
      </c>
    </row>
    <row r="51" spans="2:9" ht="15" customHeight="1" x14ac:dyDescent="0.2">
      <c r="B51" t="s">
        <v>156</v>
      </c>
      <c r="C51" s="12">
        <v>3</v>
      </c>
      <c r="D51" s="8">
        <v>5.66</v>
      </c>
      <c r="E51" s="12">
        <v>2</v>
      </c>
      <c r="F51" s="8">
        <v>6.06</v>
      </c>
      <c r="G51" s="12">
        <v>1</v>
      </c>
      <c r="H51" s="8">
        <v>6.67</v>
      </c>
      <c r="I51" s="12">
        <v>0</v>
      </c>
    </row>
    <row r="52" spans="2:9" ht="15" customHeight="1" x14ac:dyDescent="0.2">
      <c r="B52" t="s">
        <v>158</v>
      </c>
      <c r="C52" s="12">
        <v>3</v>
      </c>
      <c r="D52" s="8">
        <v>5.66</v>
      </c>
      <c r="E52" s="12">
        <v>3</v>
      </c>
      <c r="F52" s="8">
        <v>9.09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130</v>
      </c>
      <c r="C53" s="12">
        <v>3</v>
      </c>
      <c r="D53" s="8">
        <v>5.66</v>
      </c>
      <c r="E53" s="12">
        <v>3</v>
      </c>
      <c r="F53" s="8">
        <v>9.09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132</v>
      </c>
      <c r="C54" s="12">
        <v>3</v>
      </c>
      <c r="D54" s="8">
        <v>5.66</v>
      </c>
      <c r="E54" s="12">
        <v>3</v>
      </c>
      <c r="F54" s="8">
        <v>9.09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214</v>
      </c>
      <c r="C55" s="12">
        <v>2</v>
      </c>
      <c r="D55" s="8">
        <v>3.77</v>
      </c>
      <c r="E55" s="12">
        <v>1</v>
      </c>
      <c r="F55" s="8">
        <v>3.03</v>
      </c>
      <c r="G55" s="12">
        <v>1</v>
      </c>
      <c r="H55" s="8">
        <v>6.67</v>
      </c>
      <c r="I55" s="12">
        <v>0</v>
      </c>
    </row>
    <row r="56" spans="2:9" ht="15" customHeight="1" x14ac:dyDescent="0.2">
      <c r="B56" t="s">
        <v>146</v>
      </c>
      <c r="C56" s="12">
        <v>1</v>
      </c>
      <c r="D56" s="8">
        <v>1.89</v>
      </c>
      <c r="E56" s="12">
        <v>1</v>
      </c>
      <c r="F56" s="8">
        <v>3.03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234</v>
      </c>
      <c r="C57" s="12">
        <v>1</v>
      </c>
      <c r="D57" s="8">
        <v>1.89</v>
      </c>
      <c r="E57" s="12">
        <v>0</v>
      </c>
      <c r="F57" s="8">
        <v>0</v>
      </c>
      <c r="G57" s="12">
        <v>1</v>
      </c>
      <c r="H57" s="8">
        <v>6.67</v>
      </c>
      <c r="I57" s="12">
        <v>0</v>
      </c>
    </row>
    <row r="58" spans="2:9" ht="15" customHeight="1" x14ac:dyDescent="0.2">
      <c r="B58" t="s">
        <v>230</v>
      </c>
      <c r="C58" s="12">
        <v>1</v>
      </c>
      <c r="D58" s="8">
        <v>1.89</v>
      </c>
      <c r="E58" s="12">
        <v>0</v>
      </c>
      <c r="F58" s="8">
        <v>0</v>
      </c>
      <c r="G58" s="12">
        <v>1</v>
      </c>
      <c r="H58" s="8">
        <v>6.67</v>
      </c>
      <c r="I58" s="12">
        <v>0</v>
      </c>
    </row>
    <row r="59" spans="2:9" ht="15" customHeight="1" x14ac:dyDescent="0.2">
      <c r="B59" t="s">
        <v>163</v>
      </c>
      <c r="C59" s="12">
        <v>1</v>
      </c>
      <c r="D59" s="8">
        <v>1.89</v>
      </c>
      <c r="E59" s="12">
        <v>1</v>
      </c>
      <c r="F59" s="8">
        <v>3.03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198</v>
      </c>
      <c r="C60" s="12">
        <v>1</v>
      </c>
      <c r="D60" s="8">
        <v>1.89</v>
      </c>
      <c r="E60" s="12">
        <v>0</v>
      </c>
      <c r="F60" s="8">
        <v>0</v>
      </c>
      <c r="G60" s="12">
        <v>0</v>
      </c>
      <c r="H60" s="8">
        <v>0</v>
      </c>
      <c r="I60" s="12">
        <v>1</v>
      </c>
    </row>
    <row r="61" spans="2:9" ht="15" customHeight="1" x14ac:dyDescent="0.2">
      <c r="B61" t="s">
        <v>165</v>
      </c>
      <c r="C61" s="12">
        <v>1</v>
      </c>
      <c r="D61" s="8">
        <v>1.89</v>
      </c>
      <c r="E61" s="12">
        <v>1</v>
      </c>
      <c r="F61" s="8">
        <v>3.03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244</v>
      </c>
      <c r="C62" s="12">
        <v>1</v>
      </c>
      <c r="D62" s="8">
        <v>1.89</v>
      </c>
      <c r="E62" s="12">
        <v>0</v>
      </c>
      <c r="F62" s="8">
        <v>0</v>
      </c>
      <c r="G62" s="12">
        <v>1</v>
      </c>
      <c r="H62" s="8">
        <v>6.67</v>
      </c>
      <c r="I62" s="12">
        <v>0</v>
      </c>
    </row>
    <row r="63" spans="2:9" ht="15" customHeight="1" x14ac:dyDescent="0.2">
      <c r="B63" t="s">
        <v>245</v>
      </c>
      <c r="C63" s="12">
        <v>1</v>
      </c>
      <c r="D63" s="8">
        <v>1.89</v>
      </c>
      <c r="E63" s="12">
        <v>1</v>
      </c>
      <c r="F63" s="8">
        <v>3.03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246</v>
      </c>
      <c r="C64" s="12">
        <v>1</v>
      </c>
      <c r="D64" s="8">
        <v>1.89</v>
      </c>
      <c r="E64" s="12">
        <v>0</v>
      </c>
      <c r="F64" s="8">
        <v>0</v>
      </c>
      <c r="G64" s="12">
        <v>1</v>
      </c>
      <c r="H64" s="8">
        <v>6.67</v>
      </c>
      <c r="I64" s="12">
        <v>0</v>
      </c>
    </row>
    <row r="65" spans="2:9" ht="15" customHeight="1" x14ac:dyDescent="0.2">
      <c r="B65" t="s">
        <v>232</v>
      </c>
      <c r="C65" s="12">
        <v>1</v>
      </c>
      <c r="D65" s="8">
        <v>1.89</v>
      </c>
      <c r="E65" s="12">
        <v>1</v>
      </c>
      <c r="F65" s="8">
        <v>3.03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247</v>
      </c>
      <c r="C66" s="12">
        <v>1</v>
      </c>
      <c r="D66" s="8">
        <v>1.89</v>
      </c>
      <c r="E66" s="12">
        <v>0</v>
      </c>
      <c r="F66" s="8">
        <v>0</v>
      </c>
      <c r="G66" s="12">
        <v>1</v>
      </c>
      <c r="H66" s="8">
        <v>6.67</v>
      </c>
      <c r="I66" s="12">
        <v>0</v>
      </c>
    </row>
    <row r="67" spans="2:9" ht="15" customHeight="1" x14ac:dyDescent="0.2">
      <c r="B67" t="s">
        <v>199</v>
      </c>
      <c r="C67" s="12">
        <v>1</v>
      </c>
      <c r="D67" s="8">
        <v>1.89</v>
      </c>
      <c r="E67" s="12">
        <v>1</v>
      </c>
      <c r="F67" s="8">
        <v>3.03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159</v>
      </c>
      <c r="C68" s="12">
        <v>1</v>
      </c>
      <c r="D68" s="8">
        <v>1.89</v>
      </c>
      <c r="E68" s="12">
        <v>1</v>
      </c>
      <c r="F68" s="8">
        <v>3.03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160</v>
      </c>
      <c r="C69" s="12">
        <v>1</v>
      </c>
      <c r="D69" s="8">
        <v>1.89</v>
      </c>
      <c r="E69" s="12">
        <v>0</v>
      </c>
      <c r="F69" s="8">
        <v>0</v>
      </c>
      <c r="G69" s="12">
        <v>1</v>
      </c>
      <c r="H69" s="8">
        <v>6.67</v>
      </c>
      <c r="I69" s="12">
        <v>0</v>
      </c>
    </row>
    <row r="70" spans="2:9" ht="15" customHeight="1" x14ac:dyDescent="0.2">
      <c r="B70" t="s">
        <v>128</v>
      </c>
      <c r="C70" s="12">
        <v>1</v>
      </c>
      <c r="D70" s="8">
        <v>1.89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149</v>
      </c>
      <c r="C71" s="12">
        <v>1</v>
      </c>
      <c r="D71" s="8">
        <v>1.89</v>
      </c>
      <c r="E71" s="12">
        <v>1</v>
      </c>
      <c r="F71" s="8">
        <v>3.03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161</v>
      </c>
      <c r="C72" s="12">
        <v>1</v>
      </c>
      <c r="D72" s="8">
        <v>1.89</v>
      </c>
      <c r="E72" s="12">
        <v>1</v>
      </c>
      <c r="F72" s="8">
        <v>3.03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135</v>
      </c>
      <c r="C73" s="12">
        <v>1</v>
      </c>
      <c r="D73" s="8">
        <v>1.89</v>
      </c>
      <c r="E73" s="12">
        <v>1</v>
      </c>
      <c r="F73" s="8">
        <v>3.03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136</v>
      </c>
      <c r="C74" s="12">
        <v>1</v>
      </c>
      <c r="D74" s="8">
        <v>1.89</v>
      </c>
      <c r="E74" s="12">
        <v>1</v>
      </c>
      <c r="F74" s="8">
        <v>3.03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150</v>
      </c>
      <c r="C75" s="12">
        <v>1</v>
      </c>
      <c r="D75" s="8">
        <v>1.89</v>
      </c>
      <c r="E75" s="12">
        <v>1</v>
      </c>
      <c r="F75" s="8">
        <v>3.03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182</v>
      </c>
      <c r="C76" s="12">
        <v>1</v>
      </c>
      <c r="D76" s="8">
        <v>1.89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196</v>
      </c>
      <c r="C77" s="12">
        <v>1</v>
      </c>
      <c r="D77" s="8">
        <v>1.89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203</v>
      </c>
      <c r="C78" s="12">
        <v>1</v>
      </c>
      <c r="D78" s="8">
        <v>1.89</v>
      </c>
      <c r="E78" s="12">
        <v>0</v>
      </c>
      <c r="F78" s="8">
        <v>0</v>
      </c>
      <c r="G78" s="12">
        <v>1</v>
      </c>
      <c r="H78" s="8">
        <v>6.67</v>
      </c>
      <c r="I78" s="12">
        <v>0</v>
      </c>
    </row>
    <row r="79" spans="2:9" ht="15" customHeight="1" x14ac:dyDescent="0.2">
      <c r="B79" t="s">
        <v>141</v>
      </c>
      <c r="C79" s="12">
        <v>1</v>
      </c>
      <c r="D79" s="8">
        <v>1.89</v>
      </c>
      <c r="E79" s="12">
        <v>1</v>
      </c>
      <c r="F79" s="8">
        <v>3.03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185</v>
      </c>
      <c r="C80" s="12">
        <v>1</v>
      </c>
      <c r="D80" s="8">
        <v>1.89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2" spans="2:2" ht="15" customHeight="1" x14ac:dyDescent="0.2">
      <c r="B82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BC04F-E3A8-429C-B76A-21B3DD3D978F}">
  <sheetPr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299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12</v>
      </c>
      <c r="D6" s="8">
        <v>19.670000000000002</v>
      </c>
      <c r="E6" s="12">
        <v>1</v>
      </c>
      <c r="F6" s="8">
        <v>2.86</v>
      </c>
      <c r="G6" s="12">
        <v>11</v>
      </c>
      <c r="H6" s="8">
        <v>55</v>
      </c>
      <c r="I6" s="12">
        <v>0</v>
      </c>
    </row>
    <row r="7" spans="2:9" ht="15" customHeight="1" x14ac:dyDescent="0.2">
      <c r="B7" t="s">
        <v>44</v>
      </c>
      <c r="C7" s="12">
        <v>3</v>
      </c>
      <c r="D7" s="8">
        <v>4.92</v>
      </c>
      <c r="E7" s="12">
        <v>0</v>
      </c>
      <c r="F7" s="8">
        <v>0</v>
      </c>
      <c r="G7" s="12">
        <v>3</v>
      </c>
      <c r="H7" s="8">
        <v>15</v>
      </c>
      <c r="I7" s="12">
        <v>0</v>
      </c>
    </row>
    <row r="8" spans="2:9" ht="15" customHeight="1" x14ac:dyDescent="0.2">
      <c r="B8" t="s">
        <v>45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47</v>
      </c>
      <c r="C10" s="12">
        <v>1</v>
      </c>
      <c r="D10" s="8">
        <v>1.64</v>
      </c>
      <c r="E10" s="12">
        <v>0</v>
      </c>
      <c r="F10" s="8">
        <v>0</v>
      </c>
      <c r="G10" s="12">
        <v>1</v>
      </c>
      <c r="H10" s="8">
        <v>5</v>
      </c>
      <c r="I10" s="12">
        <v>0</v>
      </c>
    </row>
    <row r="11" spans="2:9" ht="15" customHeight="1" x14ac:dyDescent="0.2">
      <c r="B11" t="s">
        <v>48</v>
      </c>
      <c r="C11" s="12">
        <v>18</v>
      </c>
      <c r="D11" s="8">
        <v>29.51</v>
      </c>
      <c r="E11" s="12">
        <v>14</v>
      </c>
      <c r="F11" s="8">
        <v>40</v>
      </c>
      <c r="G11" s="12">
        <v>3</v>
      </c>
      <c r="H11" s="8">
        <v>15</v>
      </c>
      <c r="I11" s="12">
        <v>1</v>
      </c>
    </row>
    <row r="12" spans="2:9" ht="15" customHeight="1" x14ac:dyDescent="0.2">
      <c r="B12" t="s">
        <v>49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50</v>
      </c>
      <c r="C13" s="12">
        <v>2</v>
      </c>
      <c r="D13" s="8">
        <v>3.28</v>
      </c>
      <c r="E13" s="12">
        <v>1</v>
      </c>
      <c r="F13" s="8">
        <v>2.86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51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52</v>
      </c>
      <c r="C15" s="12">
        <v>15</v>
      </c>
      <c r="D15" s="8">
        <v>24.59</v>
      </c>
      <c r="E15" s="12">
        <v>14</v>
      </c>
      <c r="F15" s="8">
        <v>40</v>
      </c>
      <c r="G15" s="12">
        <v>1</v>
      </c>
      <c r="H15" s="8">
        <v>5</v>
      </c>
      <c r="I15" s="12">
        <v>0</v>
      </c>
    </row>
    <row r="16" spans="2:9" ht="15" customHeight="1" x14ac:dyDescent="0.2">
      <c r="B16" t="s">
        <v>53</v>
      </c>
      <c r="C16" s="12">
        <v>6</v>
      </c>
      <c r="D16" s="8">
        <v>9.84</v>
      </c>
      <c r="E16" s="12">
        <v>5</v>
      </c>
      <c r="F16" s="8">
        <v>14.29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54</v>
      </c>
      <c r="C17" s="12">
        <v>1</v>
      </c>
      <c r="D17" s="8">
        <v>1.64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55</v>
      </c>
      <c r="C18" s="12">
        <v>1</v>
      </c>
      <c r="D18" s="8">
        <v>1.64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56</v>
      </c>
      <c r="C19" s="12">
        <v>2</v>
      </c>
      <c r="D19" s="8">
        <v>3.28</v>
      </c>
      <c r="E19" s="12">
        <v>0</v>
      </c>
      <c r="F19" s="8">
        <v>0</v>
      </c>
      <c r="G19" s="12">
        <v>1</v>
      </c>
      <c r="H19" s="8">
        <v>5</v>
      </c>
      <c r="I19" s="12">
        <v>0</v>
      </c>
    </row>
    <row r="20" spans="2:9" ht="15" customHeight="1" x14ac:dyDescent="0.2">
      <c r="B20" s="9" t="s">
        <v>260</v>
      </c>
      <c r="C20" s="12">
        <f>SUM(LTBL_47360[総数／事業所数])</f>
        <v>61</v>
      </c>
      <c r="E20" s="12">
        <f>SUBTOTAL(109,LTBL_47360[個人／事業所数])</f>
        <v>35</v>
      </c>
      <c r="G20" s="12">
        <f>SUBTOTAL(109,LTBL_47360[法人／事業所数])</f>
        <v>20</v>
      </c>
      <c r="I20" s="12">
        <f>SUBTOTAL(109,LTBL_47360[法人以外の団体／事業所数])</f>
        <v>1</v>
      </c>
    </row>
    <row r="21" spans="2:9" ht="15" customHeight="1" x14ac:dyDescent="0.2">
      <c r="E21" s="11">
        <f>LTBL_47360[[#Totals],[個人／事業所数]]/LTBL_47360[[#Totals],[総数／事業所数]]</f>
        <v>0.57377049180327866</v>
      </c>
      <c r="G21" s="11">
        <f>LTBL_47360[[#Totals],[法人／事業所数]]/LTBL_47360[[#Totals],[総数／事業所数]]</f>
        <v>0.32786885245901637</v>
      </c>
      <c r="I21" s="11">
        <f>LTBL_47360[[#Totals],[法人以外の団体／事業所数]]/LTBL_47360[[#Totals],[総数／事業所数]]</f>
        <v>1.6393442622950821E-2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65</v>
      </c>
      <c r="C24" s="12">
        <v>11</v>
      </c>
      <c r="D24" s="8">
        <v>18.03</v>
      </c>
      <c r="E24" s="12">
        <v>1</v>
      </c>
      <c r="F24" s="8">
        <v>2.86</v>
      </c>
      <c r="G24" s="12">
        <v>10</v>
      </c>
      <c r="H24" s="8">
        <v>50</v>
      </c>
      <c r="I24" s="12">
        <v>0</v>
      </c>
    </row>
    <row r="25" spans="2:9" ht="15" customHeight="1" x14ac:dyDescent="0.2">
      <c r="B25" t="s">
        <v>69</v>
      </c>
      <c r="C25" s="12">
        <v>11</v>
      </c>
      <c r="D25" s="8">
        <v>18.03</v>
      </c>
      <c r="E25" s="12">
        <v>9</v>
      </c>
      <c r="F25" s="8">
        <v>25.71</v>
      </c>
      <c r="G25" s="12">
        <v>1</v>
      </c>
      <c r="H25" s="8">
        <v>5</v>
      </c>
      <c r="I25" s="12">
        <v>1</v>
      </c>
    </row>
    <row r="26" spans="2:9" ht="15" customHeight="1" x14ac:dyDescent="0.2">
      <c r="B26" t="s">
        <v>77</v>
      </c>
      <c r="C26" s="12">
        <v>8</v>
      </c>
      <c r="D26" s="8">
        <v>13.11</v>
      </c>
      <c r="E26" s="12">
        <v>7</v>
      </c>
      <c r="F26" s="8">
        <v>20</v>
      </c>
      <c r="G26" s="12">
        <v>1</v>
      </c>
      <c r="H26" s="8">
        <v>5</v>
      </c>
      <c r="I26" s="12">
        <v>0</v>
      </c>
    </row>
    <row r="27" spans="2:9" ht="15" customHeight="1" x14ac:dyDescent="0.2">
      <c r="B27" t="s">
        <v>76</v>
      </c>
      <c r="C27" s="12">
        <v>7</v>
      </c>
      <c r="D27" s="8">
        <v>11.48</v>
      </c>
      <c r="E27" s="12">
        <v>7</v>
      </c>
      <c r="F27" s="8">
        <v>20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78</v>
      </c>
      <c r="C28" s="12">
        <v>4</v>
      </c>
      <c r="D28" s="8">
        <v>6.56</v>
      </c>
      <c r="E28" s="12">
        <v>4</v>
      </c>
      <c r="F28" s="8">
        <v>11.43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86</v>
      </c>
      <c r="C29" s="12">
        <v>2</v>
      </c>
      <c r="D29" s="8">
        <v>3.28</v>
      </c>
      <c r="E29" s="12">
        <v>1</v>
      </c>
      <c r="F29" s="8">
        <v>2.86</v>
      </c>
      <c r="G29" s="12">
        <v>1</v>
      </c>
      <c r="H29" s="8">
        <v>5</v>
      </c>
      <c r="I29" s="12">
        <v>0</v>
      </c>
    </row>
    <row r="30" spans="2:9" ht="15" customHeight="1" x14ac:dyDescent="0.2">
      <c r="B30" t="s">
        <v>70</v>
      </c>
      <c r="C30" s="12">
        <v>2</v>
      </c>
      <c r="D30" s="8">
        <v>3.28</v>
      </c>
      <c r="E30" s="12">
        <v>2</v>
      </c>
      <c r="F30" s="8">
        <v>5.71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71</v>
      </c>
      <c r="C31" s="12">
        <v>2</v>
      </c>
      <c r="D31" s="8">
        <v>3.28</v>
      </c>
      <c r="E31" s="12">
        <v>1</v>
      </c>
      <c r="F31" s="8">
        <v>2.86</v>
      </c>
      <c r="G31" s="12">
        <v>1</v>
      </c>
      <c r="H31" s="8">
        <v>5</v>
      </c>
      <c r="I31" s="12">
        <v>0</v>
      </c>
    </row>
    <row r="32" spans="2:9" ht="15" customHeight="1" x14ac:dyDescent="0.2">
      <c r="B32" t="s">
        <v>67</v>
      </c>
      <c r="C32" s="12">
        <v>1</v>
      </c>
      <c r="D32" s="8">
        <v>1.64</v>
      </c>
      <c r="E32" s="12">
        <v>0</v>
      </c>
      <c r="F32" s="8">
        <v>0</v>
      </c>
      <c r="G32" s="12">
        <v>1</v>
      </c>
      <c r="H32" s="8">
        <v>5</v>
      </c>
      <c r="I32" s="12">
        <v>0</v>
      </c>
    </row>
    <row r="33" spans="2:9" ht="15" customHeight="1" x14ac:dyDescent="0.2">
      <c r="B33" t="s">
        <v>88</v>
      </c>
      <c r="C33" s="12">
        <v>1</v>
      </c>
      <c r="D33" s="8">
        <v>1.64</v>
      </c>
      <c r="E33" s="12">
        <v>0</v>
      </c>
      <c r="F33" s="8">
        <v>0</v>
      </c>
      <c r="G33" s="12">
        <v>1</v>
      </c>
      <c r="H33" s="8">
        <v>5</v>
      </c>
      <c r="I33" s="12">
        <v>0</v>
      </c>
    </row>
    <row r="34" spans="2:9" ht="15" customHeight="1" x14ac:dyDescent="0.2">
      <c r="B34" t="s">
        <v>97</v>
      </c>
      <c r="C34" s="12">
        <v>1</v>
      </c>
      <c r="D34" s="8">
        <v>1.64</v>
      </c>
      <c r="E34" s="12">
        <v>0</v>
      </c>
      <c r="F34" s="8">
        <v>0</v>
      </c>
      <c r="G34" s="12">
        <v>1</v>
      </c>
      <c r="H34" s="8">
        <v>5</v>
      </c>
      <c r="I34" s="12">
        <v>0</v>
      </c>
    </row>
    <row r="35" spans="2:9" ht="15" customHeight="1" x14ac:dyDescent="0.2">
      <c r="B35" t="s">
        <v>95</v>
      </c>
      <c r="C35" s="12">
        <v>1</v>
      </c>
      <c r="D35" s="8">
        <v>1.64</v>
      </c>
      <c r="E35" s="12">
        <v>0</v>
      </c>
      <c r="F35" s="8">
        <v>0</v>
      </c>
      <c r="G35" s="12">
        <v>1</v>
      </c>
      <c r="H35" s="8">
        <v>5</v>
      </c>
      <c r="I35" s="12">
        <v>0</v>
      </c>
    </row>
    <row r="36" spans="2:9" ht="15" customHeight="1" x14ac:dyDescent="0.2">
      <c r="B36" t="s">
        <v>93</v>
      </c>
      <c r="C36" s="12">
        <v>1</v>
      </c>
      <c r="D36" s="8">
        <v>1.64</v>
      </c>
      <c r="E36" s="12">
        <v>0</v>
      </c>
      <c r="F36" s="8">
        <v>0</v>
      </c>
      <c r="G36" s="12">
        <v>1</v>
      </c>
      <c r="H36" s="8">
        <v>5</v>
      </c>
      <c r="I36" s="12">
        <v>0</v>
      </c>
    </row>
    <row r="37" spans="2:9" ht="15" customHeight="1" x14ac:dyDescent="0.2">
      <c r="B37" t="s">
        <v>89</v>
      </c>
      <c r="C37" s="12">
        <v>1</v>
      </c>
      <c r="D37" s="8">
        <v>1.64</v>
      </c>
      <c r="E37" s="12">
        <v>1</v>
      </c>
      <c r="F37" s="8">
        <v>2.86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73</v>
      </c>
      <c r="C38" s="12">
        <v>1</v>
      </c>
      <c r="D38" s="8">
        <v>1.64</v>
      </c>
      <c r="E38" s="12">
        <v>0</v>
      </c>
      <c r="F38" s="8">
        <v>0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94</v>
      </c>
      <c r="C39" s="12">
        <v>1</v>
      </c>
      <c r="D39" s="8">
        <v>1.64</v>
      </c>
      <c r="E39" s="12">
        <v>1</v>
      </c>
      <c r="F39" s="8">
        <v>2.86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79</v>
      </c>
      <c r="C40" s="12">
        <v>1</v>
      </c>
      <c r="D40" s="8">
        <v>1.64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80</v>
      </c>
      <c r="C41" s="12">
        <v>1</v>
      </c>
      <c r="D41" s="8">
        <v>1.64</v>
      </c>
      <c r="E41" s="12">
        <v>1</v>
      </c>
      <c r="F41" s="8">
        <v>2.86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81</v>
      </c>
      <c r="C42" s="12">
        <v>1</v>
      </c>
      <c r="D42" s="8">
        <v>1.64</v>
      </c>
      <c r="E42" s="12">
        <v>0</v>
      </c>
      <c r="F42" s="8">
        <v>0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82</v>
      </c>
      <c r="C43" s="12">
        <v>1</v>
      </c>
      <c r="D43" s="8">
        <v>1.64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104</v>
      </c>
      <c r="C44" s="12">
        <v>1</v>
      </c>
      <c r="D44" s="8">
        <v>1.64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110</v>
      </c>
      <c r="C45" s="12">
        <v>1</v>
      </c>
      <c r="D45" s="8">
        <v>1.64</v>
      </c>
      <c r="E45" s="12">
        <v>0</v>
      </c>
      <c r="F45" s="8">
        <v>0</v>
      </c>
      <c r="G45" s="12">
        <v>1</v>
      </c>
      <c r="H45" s="8">
        <v>5</v>
      </c>
      <c r="I45" s="12">
        <v>0</v>
      </c>
    </row>
    <row r="48" spans="2:9" ht="33" customHeight="1" x14ac:dyDescent="0.2">
      <c r="B48" t="s">
        <v>262</v>
      </c>
      <c r="C48" s="10" t="s">
        <v>58</v>
      </c>
      <c r="D48" s="10" t="s">
        <v>59</v>
      </c>
      <c r="E48" s="10" t="s">
        <v>60</v>
      </c>
      <c r="F48" s="10" t="s">
        <v>61</v>
      </c>
      <c r="G48" s="10" t="s">
        <v>62</v>
      </c>
      <c r="H48" s="10" t="s">
        <v>63</v>
      </c>
      <c r="I48" s="10" t="s">
        <v>64</v>
      </c>
    </row>
    <row r="49" spans="2:9" ht="15" customHeight="1" x14ac:dyDescent="0.2">
      <c r="B49" t="s">
        <v>122</v>
      </c>
      <c r="C49" s="12">
        <v>11</v>
      </c>
      <c r="D49" s="8">
        <v>18.03</v>
      </c>
      <c r="E49" s="12">
        <v>1</v>
      </c>
      <c r="F49" s="8">
        <v>2.86</v>
      </c>
      <c r="G49" s="12">
        <v>10</v>
      </c>
      <c r="H49" s="8">
        <v>50</v>
      </c>
      <c r="I49" s="12">
        <v>0</v>
      </c>
    </row>
    <row r="50" spans="2:9" ht="15" customHeight="1" x14ac:dyDescent="0.2">
      <c r="B50" t="s">
        <v>130</v>
      </c>
      <c r="C50" s="12">
        <v>7</v>
      </c>
      <c r="D50" s="8">
        <v>11.48</v>
      </c>
      <c r="E50" s="12">
        <v>7</v>
      </c>
      <c r="F50" s="8">
        <v>20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123</v>
      </c>
      <c r="C51" s="12">
        <v>5</v>
      </c>
      <c r="D51" s="8">
        <v>8.1999999999999993</v>
      </c>
      <c r="E51" s="12">
        <v>5</v>
      </c>
      <c r="F51" s="8">
        <v>14.29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156</v>
      </c>
      <c r="C52" s="12">
        <v>3</v>
      </c>
      <c r="D52" s="8">
        <v>4.92</v>
      </c>
      <c r="E52" s="12">
        <v>1</v>
      </c>
      <c r="F52" s="8">
        <v>2.86</v>
      </c>
      <c r="G52" s="12">
        <v>1</v>
      </c>
      <c r="H52" s="8">
        <v>5</v>
      </c>
      <c r="I52" s="12">
        <v>1</v>
      </c>
    </row>
    <row r="53" spans="2:9" ht="15" customHeight="1" x14ac:dyDescent="0.2">
      <c r="B53" t="s">
        <v>191</v>
      </c>
      <c r="C53" s="12">
        <v>2</v>
      </c>
      <c r="D53" s="8">
        <v>3.28</v>
      </c>
      <c r="E53" s="12">
        <v>1</v>
      </c>
      <c r="F53" s="8">
        <v>2.86</v>
      </c>
      <c r="G53" s="12">
        <v>1</v>
      </c>
      <c r="H53" s="8">
        <v>5</v>
      </c>
      <c r="I53" s="12">
        <v>0</v>
      </c>
    </row>
    <row r="54" spans="2:9" ht="15" customHeight="1" x14ac:dyDescent="0.2">
      <c r="B54" t="s">
        <v>175</v>
      </c>
      <c r="C54" s="12">
        <v>2</v>
      </c>
      <c r="D54" s="8">
        <v>3.28</v>
      </c>
      <c r="E54" s="12">
        <v>2</v>
      </c>
      <c r="F54" s="8">
        <v>5.71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149</v>
      </c>
      <c r="C55" s="12">
        <v>2</v>
      </c>
      <c r="D55" s="8">
        <v>3.28</v>
      </c>
      <c r="E55" s="12">
        <v>1</v>
      </c>
      <c r="F55" s="8">
        <v>2.86</v>
      </c>
      <c r="G55" s="12">
        <v>1</v>
      </c>
      <c r="H55" s="8">
        <v>5</v>
      </c>
      <c r="I55" s="12">
        <v>0</v>
      </c>
    </row>
    <row r="56" spans="2:9" ht="15" customHeight="1" x14ac:dyDescent="0.2">
      <c r="B56" t="s">
        <v>132</v>
      </c>
      <c r="C56" s="12">
        <v>2</v>
      </c>
      <c r="D56" s="8">
        <v>3.28</v>
      </c>
      <c r="E56" s="12">
        <v>2</v>
      </c>
      <c r="F56" s="8">
        <v>5.71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133</v>
      </c>
      <c r="C57" s="12">
        <v>2</v>
      </c>
      <c r="D57" s="8">
        <v>3.28</v>
      </c>
      <c r="E57" s="12">
        <v>2</v>
      </c>
      <c r="F57" s="8">
        <v>5.71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135</v>
      </c>
      <c r="C58" s="12">
        <v>2</v>
      </c>
      <c r="D58" s="8">
        <v>3.28</v>
      </c>
      <c r="E58" s="12">
        <v>2</v>
      </c>
      <c r="F58" s="8">
        <v>5.71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136</v>
      </c>
      <c r="C59" s="12">
        <v>2</v>
      </c>
      <c r="D59" s="8">
        <v>3.28</v>
      </c>
      <c r="E59" s="12">
        <v>2</v>
      </c>
      <c r="F59" s="8">
        <v>5.71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146</v>
      </c>
      <c r="C60" s="12">
        <v>1</v>
      </c>
      <c r="D60" s="8">
        <v>1.64</v>
      </c>
      <c r="E60" s="12">
        <v>0</v>
      </c>
      <c r="F60" s="8">
        <v>0</v>
      </c>
      <c r="G60" s="12">
        <v>1</v>
      </c>
      <c r="H60" s="8">
        <v>5</v>
      </c>
      <c r="I60" s="12">
        <v>0</v>
      </c>
    </row>
    <row r="61" spans="2:9" ht="15" customHeight="1" x14ac:dyDescent="0.2">
      <c r="B61" t="s">
        <v>198</v>
      </c>
      <c r="C61" s="12">
        <v>1</v>
      </c>
      <c r="D61" s="8">
        <v>1.64</v>
      </c>
      <c r="E61" s="12">
        <v>0</v>
      </c>
      <c r="F61" s="8">
        <v>0</v>
      </c>
      <c r="G61" s="12">
        <v>1</v>
      </c>
      <c r="H61" s="8">
        <v>5</v>
      </c>
      <c r="I61" s="12">
        <v>0</v>
      </c>
    </row>
    <row r="62" spans="2:9" ht="15" customHeight="1" x14ac:dyDescent="0.2">
      <c r="B62" t="s">
        <v>165</v>
      </c>
      <c r="C62" s="12">
        <v>1</v>
      </c>
      <c r="D62" s="8">
        <v>1.64</v>
      </c>
      <c r="E62" s="12">
        <v>0</v>
      </c>
      <c r="F62" s="8">
        <v>0</v>
      </c>
      <c r="G62" s="12">
        <v>1</v>
      </c>
      <c r="H62" s="8">
        <v>5</v>
      </c>
      <c r="I62" s="12">
        <v>0</v>
      </c>
    </row>
    <row r="63" spans="2:9" ht="15" customHeight="1" x14ac:dyDescent="0.2">
      <c r="B63" t="s">
        <v>214</v>
      </c>
      <c r="C63" s="12">
        <v>1</v>
      </c>
      <c r="D63" s="8">
        <v>1.64</v>
      </c>
      <c r="E63" s="12">
        <v>0</v>
      </c>
      <c r="F63" s="8">
        <v>0</v>
      </c>
      <c r="G63" s="12">
        <v>1</v>
      </c>
      <c r="H63" s="8">
        <v>5</v>
      </c>
      <c r="I63" s="12">
        <v>0</v>
      </c>
    </row>
    <row r="64" spans="2:9" ht="15" customHeight="1" x14ac:dyDescent="0.2">
      <c r="B64" t="s">
        <v>155</v>
      </c>
      <c r="C64" s="12">
        <v>1</v>
      </c>
      <c r="D64" s="8">
        <v>1.64</v>
      </c>
      <c r="E64" s="12">
        <v>0</v>
      </c>
      <c r="F64" s="8">
        <v>0</v>
      </c>
      <c r="G64" s="12">
        <v>1</v>
      </c>
      <c r="H64" s="8">
        <v>5</v>
      </c>
      <c r="I64" s="12">
        <v>0</v>
      </c>
    </row>
    <row r="65" spans="2:9" ht="15" customHeight="1" x14ac:dyDescent="0.2">
      <c r="B65" t="s">
        <v>173</v>
      </c>
      <c r="C65" s="12">
        <v>1</v>
      </c>
      <c r="D65" s="8">
        <v>1.64</v>
      </c>
      <c r="E65" s="12">
        <v>1</v>
      </c>
      <c r="F65" s="8">
        <v>2.86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199</v>
      </c>
      <c r="C66" s="12">
        <v>1</v>
      </c>
      <c r="D66" s="8">
        <v>1.64</v>
      </c>
      <c r="E66" s="12">
        <v>1</v>
      </c>
      <c r="F66" s="8">
        <v>2.86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158</v>
      </c>
      <c r="C67" s="12">
        <v>1</v>
      </c>
      <c r="D67" s="8">
        <v>1.64</v>
      </c>
      <c r="E67" s="12">
        <v>1</v>
      </c>
      <c r="F67" s="8">
        <v>2.86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144</v>
      </c>
      <c r="C68" s="12">
        <v>1</v>
      </c>
      <c r="D68" s="8">
        <v>1.64</v>
      </c>
      <c r="E68" s="12">
        <v>1</v>
      </c>
      <c r="F68" s="8">
        <v>2.86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160</v>
      </c>
      <c r="C69" s="12">
        <v>1</v>
      </c>
      <c r="D69" s="8">
        <v>1.64</v>
      </c>
      <c r="E69" s="12">
        <v>0</v>
      </c>
      <c r="F69" s="8">
        <v>0</v>
      </c>
      <c r="G69" s="12">
        <v>1</v>
      </c>
      <c r="H69" s="8">
        <v>5</v>
      </c>
      <c r="I69" s="12">
        <v>0</v>
      </c>
    </row>
    <row r="70" spans="2:9" ht="15" customHeight="1" x14ac:dyDescent="0.2">
      <c r="B70" t="s">
        <v>153</v>
      </c>
      <c r="C70" s="12">
        <v>1</v>
      </c>
      <c r="D70" s="8">
        <v>1.64</v>
      </c>
      <c r="E70" s="12">
        <v>1</v>
      </c>
      <c r="F70" s="8">
        <v>2.86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128</v>
      </c>
      <c r="C71" s="12">
        <v>1</v>
      </c>
      <c r="D71" s="8">
        <v>1.64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217</v>
      </c>
      <c r="C72" s="12">
        <v>1</v>
      </c>
      <c r="D72" s="8">
        <v>1.64</v>
      </c>
      <c r="E72" s="12">
        <v>1</v>
      </c>
      <c r="F72" s="8">
        <v>2.86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131</v>
      </c>
      <c r="C73" s="12">
        <v>1</v>
      </c>
      <c r="D73" s="8">
        <v>1.64</v>
      </c>
      <c r="E73" s="12">
        <v>1</v>
      </c>
      <c r="F73" s="8">
        <v>2.86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134</v>
      </c>
      <c r="C74" s="12">
        <v>1</v>
      </c>
      <c r="D74" s="8">
        <v>1.64</v>
      </c>
      <c r="E74" s="12">
        <v>1</v>
      </c>
      <c r="F74" s="8">
        <v>2.86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248</v>
      </c>
      <c r="C75" s="12">
        <v>1</v>
      </c>
      <c r="D75" s="8">
        <v>1.64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150</v>
      </c>
      <c r="C76" s="12">
        <v>1</v>
      </c>
      <c r="D76" s="8">
        <v>1.64</v>
      </c>
      <c r="E76" s="12">
        <v>1</v>
      </c>
      <c r="F76" s="8">
        <v>2.86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182</v>
      </c>
      <c r="C77" s="12">
        <v>1</v>
      </c>
      <c r="D77" s="8">
        <v>1.64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196</v>
      </c>
      <c r="C78" s="12">
        <v>1</v>
      </c>
      <c r="D78" s="8">
        <v>1.64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203</v>
      </c>
      <c r="C79" s="12">
        <v>1</v>
      </c>
      <c r="D79" s="8">
        <v>1.64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249</v>
      </c>
      <c r="C80" s="12">
        <v>1</v>
      </c>
      <c r="D80" s="8">
        <v>1.64</v>
      </c>
      <c r="E80" s="12">
        <v>0</v>
      </c>
      <c r="F80" s="8">
        <v>0</v>
      </c>
      <c r="G80" s="12">
        <v>1</v>
      </c>
      <c r="H80" s="8">
        <v>5</v>
      </c>
      <c r="I80" s="12">
        <v>0</v>
      </c>
    </row>
    <row r="82" spans="2:2" ht="15" customHeight="1" x14ac:dyDescent="0.2">
      <c r="B82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C1DBC-C627-4547-94D1-F17DA8D68ABD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300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12</v>
      </c>
      <c r="D6" s="8">
        <v>3.15</v>
      </c>
      <c r="E6" s="12">
        <v>6</v>
      </c>
      <c r="F6" s="8">
        <v>1.93</v>
      </c>
      <c r="G6" s="12">
        <v>6</v>
      </c>
      <c r="H6" s="8">
        <v>9.23</v>
      </c>
      <c r="I6" s="12">
        <v>0</v>
      </c>
    </row>
    <row r="7" spans="2:9" ht="15" customHeight="1" x14ac:dyDescent="0.2">
      <c r="B7" t="s">
        <v>44</v>
      </c>
      <c r="C7" s="12">
        <v>83</v>
      </c>
      <c r="D7" s="8">
        <v>21.78</v>
      </c>
      <c r="E7" s="12">
        <v>71</v>
      </c>
      <c r="F7" s="8">
        <v>22.83</v>
      </c>
      <c r="G7" s="12">
        <v>12</v>
      </c>
      <c r="H7" s="8">
        <v>18.46</v>
      </c>
      <c r="I7" s="12">
        <v>0</v>
      </c>
    </row>
    <row r="8" spans="2:9" ht="15" customHeight="1" x14ac:dyDescent="0.2">
      <c r="B8" t="s">
        <v>45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47</v>
      </c>
      <c r="C10" s="12">
        <v>5</v>
      </c>
      <c r="D10" s="8">
        <v>1.31</v>
      </c>
      <c r="E10" s="12">
        <v>1</v>
      </c>
      <c r="F10" s="8">
        <v>0.32</v>
      </c>
      <c r="G10" s="12">
        <v>4</v>
      </c>
      <c r="H10" s="8">
        <v>6.15</v>
      </c>
      <c r="I10" s="12">
        <v>0</v>
      </c>
    </row>
    <row r="11" spans="2:9" ht="15" customHeight="1" x14ac:dyDescent="0.2">
      <c r="B11" t="s">
        <v>48</v>
      </c>
      <c r="C11" s="12">
        <v>80</v>
      </c>
      <c r="D11" s="8">
        <v>21</v>
      </c>
      <c r="E11" s="12">
        <v>63</v>
      </c>
      <c r="F11" s="8">
        <v>20.260000000000002</v>
      </c>
      <c r="G11" s="12">
        <v>17</v>
      </c>
      <c r="H11" s="8">
        <v>26.15</v>
      </c>
      <c r="I11" s="12">
        <v>0</v>
      </c>
    </row>
    <row r="12" spans="2:9" ht="15" customHeight="1" x14ac:dyDescent="0.2">
      <c r="B12" t="s">
        <v>49</v>
      </c>
      <c r="C12" s="12">
        <v>3</v>
      </c>
      <c r="D12" s="8">
        <v>0.79</v>
      </c>
      <c r="E12" s="12">
        <v>1</v>
      </c>
      <c r="F12" s="8">
        <v>0.32</v>
      </c>
      <c r="G12" s="12">
        <v>2</v>
      </c>
      <c r="H12" s="8">
        <v>3.08</v>
      </c>
      <c r="I12" s="12">
        <v>0</v>
      </c>
    </row>
    <row r="13" spans="2:9" ht="15" customHeight="1" x14ac:dyDescent="0.2">
      <c r="B13" t="s">
        <v>50</v>
      </c>
      <c r="C13" s="12">
        <v>41</v>
      </c>
      <c r="D13" s="8">
        <v>10.76</v>
      </c>
      <c r="E13" s="12">
        <v>34</v>
      </c>
      <c r="F13" s="8">
        <v>10.93</v>
      </c>
      <c r="G13" s="12">
        <v>6</v>
      </c>
      <c r="H13" s="8">
        <v>9.23</v>
      </c>
      <c r="I13" s="12">
        <v>0</v>
      </c>
    </row>
    <row r="14" spans="2:9" ht="15" customHeight="1" x14ac:dyDescent="0.2">
      <c r="B14" t="s">
        <v>51</v>
      </c>
      <c r="C14" s="12">
        <v>7</v>
      </c>
      <c r="D14" s="8">
        <v>1.84</v>
      </c>
      <c r="E14" s="12">
        <v>4</v>
      </c>
      <c r="F14" s="8">
        <v>1.29</v>
      </c>
      <c r="G14" s="12">
        <v>2</v>
      </c>
      <c r="H14" s="8">
        <v>3.08</v>
      </c>
      <c r="I14" s="12">
        <v>0</v>
      </c>
    </row>
    <row r="15" spans="2:9" ht="15" customHeight="1" x14ac:dyDescent="0.2">
      <c r="B15" t="s">
        <v>52</v>
      </c>
      <c r="C15" s="12">
        <v>73</v>
      </c>
      <c r="D15" s="8">
        <v>19.16</v>
      </c>
      <c r="E15" s="12">
        <v>68</v>
      </c>
      <c r="F15" s="8">
        <v>21.86</v>
      </c>
      <c r="G15" s="12">
        <v>4</v>
      </c>
      <c r="H15" s="8">
        <v>6.15</v>
      </c>
      <c r="I15" s="12">
        <v>0</v>
      </c>
    </row>
    <row r="16" spans="2:9" ht="15" customHeight="1" x14ac:dyDescent="0.2">
      <c r="B16" t="s">
        <v>53</v>
      </c>
      <c r="C16" s="12">
        <v>44</v>
      </c>
      <c r="D16" s="8">
        <v>11.55</v>
      </c>
      <c r="E16" s="12">
        <v>40</v>
      </c>
      <c r="F16" s="8">
        <v>12.86</v>
      </c>
      <c r="G16" s="12">
        <v>3</v>
      </c>
      <c r="H16" s="8">
        <v>4.62</v>
      </c>
      <c r="I16" s="12">
        <v>0</v>
      </c>
    </row>
    <row r="17" spans="2:9" ht="15" customHeight="1" x14ac:dyDescent="0.2">
      <c r="B17" t="s">
        <v>54</v>
      </c>
      <c r="C17" s="12">
        <v>10</v>
      </c>
      <c r="D17" s="8">
        <v>2.62</v>
      </c>
      <c r="E17" s="12">
        <v>9</v>
      </c>
      <c r="F17" s="8">
        <v>2.89</v>
      </c>
      <c r="G17" s="12">
        <v>1</v>
      </c>
      <c r="H17" s="8">
        <v>1.54</v>
      </c>
      <c r="I17" s="12">
        <v>0</v>
      </c>
    </row>
    <row r="18" spans="2:9" ht="15" customHeight="1" x14ac:dyDescent="0.2">
      <c r="B18" t="s">
        <v>55</v>
      </c>
      <c r="C18" s="12">
        <v>12</v>
      </c>
      <c r="D18" s="8">
        <v>3.15</v>
      </c>
      <c r="E18" s="12">
        <v>6</v>
      </c>
      <c r="F18" s="8">
        <v>1.93</v>
      </c>
      <c r="G18" s="12">
        <v>6</v>
      </c>
      <c r="H18" s="8">
        <v>9.23</v>
      </c>
      <c r="I18" s="12">
        <v>0</v>
      </c>
    </row>
    <row r="19" spans="2:9" ht="15" customHeight="1" x14ac:dyDescent="0.2">
      <c r="B19" t="s">
        <v>56</v>
      </c>
      <c r="C19" s="12">
        <v>11</v>
      </c>
      <c r="D19" s="8">
        <v>2.89</v>
      </c>
      <c r="E19" s="12">
        <v>8</v>
      </c>
      <c r="F19" s="8">
        <v>2.57</v>
      </c>
      <c r="G19" s="12">
        <v>2</v>
      </c>
      <c r="H19" s="8">
        <v>3.08</v>
      </c>
      <c r="I19" s="12">
        <v>0</v>
      </c>
    </row>
    <row r="20" spans="2:9" ht="15" customHeight="1" x14ac:dyDescent="0.2">
      <c r="B20" s="9" t="s">
        <v>260</v>
      </c>
      <c r="C20" s="12">
        <f>SUM(LTBL_47361[総数／事業所数])</f>
        <v>381</v>
      </c>
      <c r="E20" s="12">
        <f>SUBTOTAL(109,LTBL_47361[個人／事業所数])</f>
        <v>311</v>
      </c>
      <c r="G20" s="12">
        <f>SUBTOTAL(109,LTBL_47361[法人／事業所数])</f>
        <v>65</v>
      </c>
      <c r="I20" s="12">
        <f>SUBTOTAL(109,LTBL_47361[法人以外の団体／事業所数])</f>
        <v>0</v>
      </c>
    </row>
    <row r="21" spans="2:9" ht="15" customHeight="1" x14ac:dyDescent="0.2">
      <c r="E21" s="11">
        <f>LTBL_47361[[#Totals],[個人／事業所数]]/LTBL_47361[[#Totals],[総数／事業所数]]</f>
        <v>0.81627296587926512</v>
      </c>
      <c r="G21" s="11">
        <f>LTBL_47361[[#Totals],[法人／事業所数]]/LTBL_47361[[#Totals],[総数／事業所数]]</f>
        <v>0.17060367454068243</v>
      </c>
      <c r="I21" s="11">
        <f>LTBL_47361[[#Totals],[法人以外の団体／事業所数]]/LTBL_47361[[#Totals],[総数／事業所数]]</f>
        <v>0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98</v>
      </c>
      <c r="C24" s="12">
        <v>55</v>
      </c>
      <c r="D24" s="8">
        <v>14.44</v>
      </c>
      <c r="E24" s="12">
        <v>54</v>
      </c>
      <c r="F24" s="8">
        <v>17.36</v>
      </c>
      <c r="G24" s="12">
        <v>1</v>
      </c>
      <c r="H24" s="8">
        <v>1.54</v>
      </c>
      <c r="I24" s="12">
        <v>0</v>
      </c>
    </row>
    <row r="25" spans="2:9" ht="15" customHeight="1" x14ac:dyDescent="0.2">
      <c r="B25" t="s">
        <v>77</v>
      </c>
      <c r="C25" s="12">
        <v>53</v>
      </c>
      <c r="D25" s="8">
        <v>13.91</v>
      </c>
      <c r="E25" s="12">
        <v>51</v>
      </c>
      <c r="F25" s="8">
        <v>16.399999999999999</v>
      </c>
      <c r="G25" s="12">
        <v>2</v>
      </c>
      <c r="H25" s="8">
        <v>3.08</v>
      </c>
      <c r="I25" s="12">
        <v>0</v>
      </c>
    </row>
    <row r="26" spans="2:9" ht="15" customHeight="1" x14ac:dyDescent="0.2">
      <c r="B26" t="s">
        <v>69</v>
      </c>
      <c r="C26" s="12">
        <v>34</v>
      </c>
      <c r="D26" s="8">
        <v>8.92</v>
      </c>
      <c r="E26" s="12">
        <v>34</v>
      </c>
      <c r="F26" s="8">
        <v>10.93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73</v>
      </c>
      <c r="C27" s="12">
        <v>34</v>
      </c>
      <c r="D27" s="8">
        <v>8.92</v>
      </c>
      <c r="E27" s="12">
        <v>30</v>
      </c>
      <c r="F27" s="8">
        <v>9.65</v>
      </c>
      <c r="G27" s="12">
        <v>3</v>
      </c>
      <c r="H27" s="8">
        <v>4.62</v>
      </c>
      <c r="I27" s="12">
        <v>0</v>
      </c>
    </row>
    <row r="28" spans="2:9" ht="15" customHeight="1" x14ac:dyDescent="0.2">
      <c r="B28" t="s">
        <v>78</v>
      </c>
      <c r="C28" s="12">
        <v>29</v>
      </c>
      <c r="D28" s="8">
        <v>7.61</v>
      </c>
      <c r="E28" s="12">
        <v>29</v>
      </c>
      <c r="F28" s="8">
        <v>9.32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71</v>
      </c>
      <c r="C29" s="12">
        <v>21</v>
      </c>
      <c r="D29" s="8">
        <v>5.51</v>
      </c>
      <c r="E29" s="12">
        <v>15</v>
      </c>
      <c r="F29" s="8">
        <v>4.82</v>
      </c>
      <c r="G29" s="12">
        <v>6</v>
      </c>
      <c r="H29" s="8">
        <v>9.23</v>
      </c>
      <c r="I29" s="12">
        <v>0</v>
      </c>
    </row>
    <row r="30" spans="2:9" ht="15" customHeight="1" x14ac:dyDescent="0.2">
      <c r="B30" t="s">
        <v>88</v>
      </c>
      <c r="C30" s="12">
        <v>19</v>
      </c>
      <c r="D30" s="8">
        <v>4.99</v>
      </c>
      <c r="E30" s="12">
        <v>10</v>
      </c>
      <c r="F30" s="8">
        <v>3.22</v>
      </c>
      <c r="G30" s="12">
        <v>9</v>
      </c>
      <c r="H30" s="8">
        <v>13.85</v>
      </c>
      <c r="I30" s="12">
        <v>0</v>
      </c>
    </row>
    <row r="31" spans="2:9" ht="15" customHeight="1" x14ac:dyDescent="0.2">
      <c r="B31" t="s">
        <v>76</v>
      </c>
      <c r="C31" s="12">
        <v>17</v>
      </c>
      <c r="D31" s="8">
        <v>4.46</v>
      </c>
      <c r="E31" s="12">
        <v>15</v>
      </c>
      <c r="F31" s="8">
        <v>4.82</v>
      </c>
      <c r="G31" s="12">
        <v>1</v>
      </c>
      <c r="H31" s="8">
        <v>1.54</v>
      </c>
      <c r="I31" s="12">
        <v>0</v>
      </c>
    </row>
    <row r="32" spans="2:9" ht="15" customHeight="1" x14ac:dyDescent="0.2">
      <c r="B32" t="s">
        <v>80</v>
      </c>
      <c r="C32" s="12">
        <v>12</v>
      </c>
      <c r="D32" s="8">
        <v>3.15</v>
      </c>
      <c r="E32" s="12">
        <v>9</v>
      </c>
      <c r="F32" s="8">
        <v>2.89</v>
      </c>
      <c r="G32" s="12">
        <v>2</v>
      </c>
      <c r="H32" s="8">
        <v>3.08</v>
      </c>
      <c r="I32" s="12">
        <v>0</v>
      </c>
    </row>
    <row r="33" spans="2:9" ht="15" customHeight="1" x14ac:dyDescent="0.2">
      <c r="B33" t="s">
        <v>81</v>
      </c>
      <c r="C33" s="12">
        <v>10</v>
      </c>
      <c r="D33" s="8">
        <v>2.62</v>
      </c>
      <c r="E33" s="12">
        <v>9</v>
      </c>
      <c r="F33" s="8">
        <v>2.89</v>
      </c>
      <c r="G33" s="12">
        <v>1</v>
      </c>
      <c r="H33" s="8">
        <v>1.54</v>
      </c>
      <c r="I33" s="12">
        <v>0</v>
      </c>
    </row>
    <row r="34" spans="2:9" ht="15" customHeight="1" x14ac:dyDescent="0.2">
      <c r="B34" t="s">
        <v>67</v>
      </c>
      <c r="C34" s="12">
        <v>6</v>
      </c>
      <c r="D34" s="8">
        <v>1.57</v>
      </c>
      <c r="E34" s="12">
        <v>4</v>
      </c>
      <c r="F34" s="8">
        <v>1.29</v>
      </c>
      <c r="G34" s="12">
        <v>2</v>
      </c>
      <c r="H34" s="8">
        <v>3.08</v>
      </c>
      <c r="I34" s="12">
        <v>0</v>
      </c>
    </row>
    <row r="35" spans="2:9" ht="15" customHeight="1" x14ac:dyDescent="0.2">
      <c r="B35" t="s">
        <v>70</v>
      </c>
      <c r="C35" s="12">
        <v>6</v>
      </c>
      <c r="D35" s="8">
        <v>1.57</v>
      </c>
      <c r="E35" s="12">
        <v>6</v>
      </c>
      <c r="F35" s="8">
        <v>1.93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94</v>
      </c>
      <c r="C36" s="12">
        <v>6</v>
      </c>
      <c r="D36" s="8">
        <v>1.57</v>
      </c>
      <c r="E36" s="12">
        <v>4</v>
      </c>
      <c r="F36" s="8">
        <v>1.29</v>
      </c>
      <c r="G36" s="12">
        <v>2</v>
      </c>
      <c r="H36" s="8">
        <v>3.08</v>
      </c>
      <c r="I36" s="12">
        <v>0</v>
      </c>
    </row>
    <row r="37" spans="2:9" ht="15" customHeight="1" x14ac:dyDescent="0.2">
      <c r="B37" t="s">
        <v>82</v>
      </c>
      <c r="C37" s="12">
        <v>6</v>
      </c>
      <c r="D37" s="8">
        <v>1.57</v>
      </c>
      <c r="E37" s="12">
        <v>6</v>
      </c>
      <c r="F37" s="8">
        <v>1.93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83</v>
      </c>
      <c r="C38" s="12">
        <v>6</v>
      </c>
      <c r="D38" s="8">
        <v>1.57</v>
      </c>
      <c r="E38" s="12">
        <v>0</v>
      </c>
      <c r="F38" s="8">
        <v>0</v>
      </c>
      <c r="G38" s="12">
        <v>6</v>
      </c>
      <c r="H38" s="8">
        <v>9.23</v>
      </c>
      <c r="I38" s="12">
        <v>0</v>
      </c>
    </row>
    <row r="39" spans="2:9" ht="15" customHeight="1" x14ac:dyDescent="0.2">
      <c r="B39" t="s">
        <v>89</v>
      </c>
      <c r="C39" s="12">
        <v>5</v>
      </c>
      <c r="D39" s="8">
        <v>1.31</v>
      </c>
      <c r="E39" s="12">
        <v>2</v>
      </c>
      <c r="F39" s="8">
        <v>0.64</v>
      </c>
      <c r="G39" s="12">
        <v>3</v>
      </c>
      <c r="H39" s="8">
        <v>4.62</v>
      </c>
      <c r="I39" s="12">
        <v>0</v>
      </c>
    </row>
    <row r="40" spans="2:9" ht="15" customHeight="1" x14ac:dyDescent="0.2">
      <c r="B40" t="s">
        <v>75</v>
      </c>
      <c r="C40" s="12">
        <v>5</v>
      </c>
      <c r="D40" s="8">
        <v>1.31</v>
      </c>
      <c r="E40" s="12">
        <v>2</v>
      </c>
      <c r="F40" s="8">
        <v>0.64</v>
      </c>
      <c r="G40" s="12">
        <v>2</v>
      </c>
      <c r="H40" s="8">
        <v>3.08</v>
      </c>
      <c r="I40" s="12">
        <v>0</v>
      </c>
    </row>
    <row r="41" spans="2:9" ht="15" customHeight="1" x14ac:dyDescent="0.2">
      <c r="B41" t="s">
        <v>65</v>
      </c>
      <c r="C41" s="12">
        <v>4</v>
      </c>
      <c r="D41" s="8">
        <v>1.05</v>
      </c>
      <c r="E41" s="12">
        <v>1</v>
      </c>
      <c r="F41" s="8">
        <v>0.32</v>
      </c>
      <c r="G41" s="12">
        <v>3</v>
      </c>
      <c r="H41" s="8">
        <v>4.62</v>
      </c>
      <c r="I41" s="12">
        <v>0</v>
      </c>
    </row>
    <row r="42" spans="2:9" ht="15" customHeight="1" x14ac:dyDescent="0.2">
      <c r="B42" t="s">
        <v>85</v>
      </c>
      <c r="C42" s="12">
        <v>4</v>
      </c>
      <c r="D42" s="8">
        <v>1.05</v>
      </c>
      <c r="E42" s="12">
        <v>1</v>
      </c>
      <c r="F42" s="8">
        <v>0.32</v>
      </c>
      <c r="G42" s="12">
        <v>3</v>
      </c>
      <c r="H42" s="8">
        <v>4.62</v>
      </c>
      <c r="I42" s="12">
        <v>0</v>
      </c>
    </row>
    <row r="43" spans="2:9" ht="15" customHeight="1" x14ac:dyDescent="0.2">
      <c r="B43" t="s">
        <v>68</v>
      </c>
      <c r="C43" s="12">
        <v>4</v>
      </c>
      <c r="D43" s="8">
        <v>1.05</v>
      </c>
      <c r="E43" s="12">
        <v>4</v>
      </c>
      <c r="F43" s="8">
        <v>1.29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104</v>
      </c>
      <c r="C44" s="12">
        <v>4</v>
      </c>
      <c r="D44" s="8">
        <v>1.05</v>
      </c>
      <c r="E44" s="12">
        <v>3</v>
      </c>
      <c r="F44" s="8">
        <v>0.96</v>
      </c>
      <c r="G44" s="12">
        <v>1</v>
      </c>
      <c r="H44" s="8">
        <v>1.54</v>
      </c>
      <c r="I44" s="12">
        <v>0</v>
      </c>
    </row>
    <row r="47" spans="2:9" ht="33" customHeight="1" x14ac:dyDescent="0.2">
      <c r="B47" t="s">
        <v>262</v>
      </c>
      <c r="C47" s="10" t="s">
        <v>58</v>
      </c>
      <c r="D47" s="10" t="s">
        <v>59</v>
      </c>
      <c r="E47" s="10" t="s">
        <v>60</v>
      </c>
      <c r="F47" s="10" t="s">
        <v>61</v>
      </c>
      <c r="G47" s="10" t="s">
        <v>62</v>
      </c>
      <c r="H47" s="10" t="s">
        <v>63</v>
      </c>
      <c r="I47" s="10" t="s">
        <v>64</v>
      </c>
    </row>
    <row r="48" spans="2:9" ht="15" customHeight="1" x14ac:dyDescent="0.2">
      <c r="B48" t="s">
        <v>167</v>
      </c>
      <c r="C48" s="12">
        <v>52</v>
      </c>
      <c r="D48" s="8">
        <v>13.65</v>
      </c>
      <c r="E48" s="12">
        <v>51</v>
      </c>
      <c r="F48" s="8">
        <v>16.399999999999999</v>
      </c>
      <c r="G48" s="12">
        <v>1</v>
      </c>
      <c r="H48" s="8">
        <v>1.54</v>
      </c>
      <c r="I48" s="12">
        <v>0</v>
      </c>
    </row>
    <row r="49" spans="2:9" ht="15" customHeight="1" x14ac:dyDescent="0.2">
      <c r="B49" t="s">
        <v>128</v>
      </c>
      <c r="C49" s="12">
        <v>31</v>
      </c>
      <c r="D49" s="8">
        <v>8.14</v>
      </c>
      <c r="E49" s="12">
        <v>29</v>
      </c>
      <c r="F49" s="8">
        <v>9.32</v>
      </c>
      <c r="G49" s="12">
        <v>2</v>
      </c>
      <c r="H49" s="8">
        <v>3.08</v>
      </c>
      <c r="I49" s="12">
        <v>0</v>
      </c>
    </row>
    <row r="50" spans="2:9" ht="15" customHeight="1" x14ac:dyDescent="0.2">
      <c r="B50" t="s">
        <v>123</v>
      </c>
      <c r="C50" s="12">
        <v>16</v>
      </c>
      <c r="D50" s="8">
        <v>4.2</v>
      </c>
      <c r="E50" s="12">
        <v>16</v>
      </c>
      <c r="F50" s="8">
        <v>5.14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133</v>
      </c>
      <c r="C51" s="12">
        <v>15</v>
      </c>
      <c r="D51" s="8">
        <v>3.94</v>
      </c>
      <c r="E51" s="12">
        <v>15</v>
      </c>
      <c r="F51" s="8">
        <v>4.82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130</v>
      </c>
      <c r="C52" s="12">
        <v>13</v>
      </c>
      <c r="D52" s="8">
        <v>3.41</v>
      </c>
      <c r="E52" s="12">
        <v>13</v>
      </c>
      <c r="F52" s="8">
        <v>4.18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132</v>
      </c>
      <c r="C53" s="12">
        <v>13</v>
      </c>
      <c r="D53" s="8">
        <v>3.41</v>
      </c>
      <c r="E53" s="12">
        <v>13</v>
      </c>
      <c r="F53" s="8">
        <v>4.18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136</v>
      </c>
      <c r="C54" s="12">
        <v>12</v>
      </c>
      <c r="D54" s="8">
        <v>3.15</v>
      </c>
      <c r="E54" s="12">
        <v>12</v>
      </c>
      <c r="F54" s="8">
        <v>3.86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131</v>
      </c>
      <c r="C55" s="12">
        <v>11</v>
      </c>
      <c r="D55" s="8">
        <v>2.89</v>
      </c>
      <c r="E55" s="12">
        <v>10</v>
      </c>
      <c r="F55" s="8">
        <v>3.22</v>
      </c>
      <c r="G55" s="12">
        <v>1</v>
      </c>
      <c r="H55" s="8">
        <v>1.54</v>
      </c>
      <c r="I55" s="12">
        <v>0</v>
      </c>
    </row>
    <row r="56" spans="2:9" ht="15" customHeight="1" x14ac:dyDescent="0.2">
      <c r="B56" t="s">
        <v>150</v>
      </c>
      <c r="C56" s="12">
        <v>10</v>
      </c>
      <c r="D56" s="8">
        <v>2.62</v>
      </c>
      <c r="E56" s="12">
        <v>8</v>
      </c>
      <c r="F56" s="8">
        <v>2.57</v>
      </c>
      <c r="G56" s="12">
        <v>2</v>
      </c>
      <c r="H56" s="8">
        <v>3.08</v>
      </c>
      <c r="I56" s="12">
        <v>0</v>
      </c>
    </row>
    <row r="57" spans="2:9" ht="15" customHeight="1" x14ac:dyDescent="0.2">
      <c r="B57" t="s">
        <v>139</v>
      </c>
      <c r="C57" s="12">
        <v>9</v>
      </c>
      <c r="D57" s="8">
        <v>2.36</v>
      </c>
      <c r="E57" s="12">
        <v>9</v>
      </c>
      <c r="F57" s="8">
        <v>2.89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137</v>
      </c>
      <c r="C58" s="12">
        <v>8</v>
      </c>
      <c r="D58" s="8">
        <v>2.1</v>
      </c>
      <c r="E58" s="12">
        <v>8</v>
      </c>
      <c r="F58" s="8">
        <v>2.57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198</v>
      </c>
      <c r="C59" s="12">
        <v>7</v>
      </c>
      <c r="D59" s="8">
        <v>1.84</v>
      </c>
      <c r="E59" s="12">
        <v>4</v>
      </c>
      <c r="F59" s="8">
        <v>1.29</v>
      </c>
      <c r="G59" s="12">
        <v>3</v>
      </c>
      <c r="H59" s="8">
        <v>4.62</v>
      </c>
      <c r="I59" s="12">
        <v>0</v>
      </c>
    </row>
    <row r="60" spans="2:9" ht="15" customHeight="1" x14ac:dyDescent="0.2">
      <c r="B60" t="s">
        <v>149</v>
      </c>
      <c r="C60" s="12">
        <v>7</v>
      </c>
      <c r="D60" s="8">
        <v>1.84</v>
      </c>
      <c r="E60" s="12">
        <v>6</v>
      </c>
      <c r="F60" s="8">
        <v>1.93</v>
      </c>
      <c r="G60" s="12">
        <v>1</v>
      </c>
      <c r="H60" s="8">
        <v>1.54</v>
      </c>
      <c r="I60" s="12">
        <v>0</v>
      </c>
    </row>
    <row r="61" spans="2:9" ht="15" customHeight="1" x14ac:dyDescent="0.2">
      <c r="B61" t="s">
        <v>135</v>
      </c>
      <c r="C61" s="12">
        <v>7</v>
      </c>
      <c r="D61" s="8">
        <v>1.84</v>
      </c>
      <c r="E61" s="12">
        <v>7</v>
      </c>
      <c r="F61" s="8">
        <v>2.25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140</v>
      </c>
      <c r="C62" s="12">
        <v>6</v>
      </c>
      <c r="D62" s="8">
        <v>1.57</v>
      </c>
      <c r="E62" s="12">
        <v>6</v>
      </c>
      <c r="F62" s="8">
        <v>1.93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124</v>
      </c>
      <c r="C63" s="12">
        <v>5</v>
      </c>
      <c r="D63" s="8">
        <v>1.31</v>
      </c>
      <c r="E63" s="12">
        <v>5</v>
      </c>
      <c r="F63" s="8">
        <v>1.61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134</v>
      </c>
      <c r="C64" s="12">
        <v>5</v>
      </c>
      <c r="D64" s="8">
        <v>1.31</v>
      </c>
      <c r="E64" s="12">
        <v>5</v>
      </c>
      <c r="F64" s="8">
        <v>1.61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146</v>
      </c>
      <c r="C65" s="12">
        <v>4</v>
      </c>
      <c r="D65" s="8">
        <v>1.05</v>
      </c>
      <c r="E65" s="12">
        <v>3</v>
      </c>
      <c r="F65" s="8">
        <v>0.96</v>
      </c>
      <c r="G65" s="12">
        <v>1</v>
      </c>
      <c r="H65" s="8">
        <v>1.54</v>
      </c>
      <c r="I65" s="12">
        <v>0</v>
      </c>
    </row>
    <row r="66" spans="2:9" ht="15" customHeight="1" x14ac:dyDescent="0.2">
      <c r="B66" t="s">
        <v>188</v>
      </c>
      <c r="C66" s="12">
        <v>4</v>
      </c>
      <c r="D66" s="8">
        <v>1.05</v>
      </c>
      <c r="E66" s="12">
        <v>1</v>
      </c>
      <c r="F66" s="8">
        <v>0.32</v>
      </c>
      <c r="G66" s="12">
        <v>3</v>
      </c>
      <c r="H66" s="8">
        <v>4.62</v>
      </c>
      <c r="I66" s="12">
        <v>0</v>
      </c>
    </row>
    <row r="67" spans="2:9" ht="15" customHeight="1" x14ac:dyDescent="0.2">
      <c r="B67" t="s">
        <v>163</v>
      </c>
      <c r="C67" s="12">
        <v>4</v>
      </c>
      <c r="D67" s="8">
        <v>1.05</v>
      </c>
      <c r="E67" s="12">
        <v>3</v>
      </c>
      <c r="F67" s="8">
        <v>0.96</v>
      </c>
      <c r="G67" s="12">
        <v>1</v>
      </c>
      <c r="H67" s="8">
        <v>1.54</v>
      </c>
      <c r="I67" s="12">
        <v>0</v>
      </c>
    </row>
    <row r="68" spans="2:9" ht="15" customHeight="1" x14ac:dyDescent="0.2">
      <c r="B68" t="s">
        <v>250</v>
      </c>
      <c r="C68" s="12">
        <v>4</v>
      </c>
      <c r="D68" s="8">
        <v>1.05</v>
      </c>
      <c r="E68" s="12">
        <v>1</v>
      </c>
      <c r="F68" s="8">
        <v>0.32</v>
      </c>
      <c r="G68" s="12">
        <v>3</v>
      </c>
      <c r="H68" s="8">
        <v>4.62</v>
      </c>
      <c r="I68" s="12">
        <v>0</v>
      </c>
    </row>
    <row r="69" spans="2:9" ht="15" customHeight="1" x14ac:dyDescent="0.2">
      <c r="B69" t="s">
        <v>156</v>
      </c>
      <c r="C69" s="12">
        <v>4</v>
      </c>
      <c r="D69" s="8">
        <v>1.05</v>
      </c>
      <c r="E69" s="12">
        <v>4</v>
      </c>
      <c r="F69" s="8">
        <v>1.29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199</v>
      </c>
      <c r="C70" s="12">
        <v>4</v>
      </c>
      <c r="D70" s="8">
        <v>1.05</v>
      </c>
      <c r="E70" s="12">
        <v>4</v>
      </c>
      <c r="F70" s="8">
        <v>1.29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144</v>
      </c>
      <c r="C71" s="12">
        <v>4</v>
      </c>
      <c r="D71" s="8">
        <v>1.05</v>
      </c>
      <c r="E71" s="12">
        <v>4</v>
      </c>
      <c r="F71" s="8">
        <v>1.29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159</v>
      </c>
      <c r="C72" s="12">
        <v>4</v>
      </c>
      <c r="D72" s="8">
        <v>1.05</v>
      </c>
      <c r="E72" s="12">
        <v>4</v>
      </c>
      <c r="F72" s="8">
        <v>1.29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153</v>
      </c>
      <c r="C73" s="12">
        <v>4</v>
      </c>
      <c r="D73" s="8">
        <v>1.05</v>
      </c>
      <c r="E73" s="12">
        <v>3</v>
      </c>
      <c r="F73" s="8">
        <v>0.96</v>
      </c>
      <c r="G73" s="12">
        <v>1</v>
      </c>
      <c r="H73" s="8">
        <v>1.54</v>
      </c>
      <c r="I73" s="12">
        <v>0</v>
      </c>
    </row>
    <row r="74" spans="2:9" ht="15" customHeight="1" x14ac:dyDescent="0.2">
      <c r="B74" t="s">
        <v>126</v>
      </c>
      <c r="C74" s="12">
        <v>4</v>
      </c>
      <c r="D74" s="8">
        <v>1.05</v>
      </c>
      <c r="E74" s="12">
        <v>3</v>
      </c>
      <c r="F74" s="8">
        <v>0.96</v>
      </c>
      <c r="G74" s="12">
        <v>1</v>
      </c>
      <c r="H74" s="8">
        <v>1.54</v>
      </c>
      <c r="I74" s="12">
        <v>0</v>
      </c>
    </row>
    <row r="75" spans="2:9" ht="15" customHeight="1" x14ac:dyDescent="0.2">
      <c r="B75" t="s">
        <v>203</v>
      </c>
      <c r="C75" s="12">
        <v>4</v>
      </c>
      <c r="D75" s="8">
        <v>1.05</v>
      </c>
      <c r="E75" s="12">
        <v>3</v>
      </c>
      <c r="F75" s="8">
        <v>0.96</v>
      </c>
      <c r="G75" s="12">
        <v>1</v>
      </c>
      <c r="H75" s="8">
        <v>1.54</v>
      </c>
      <c r="I75" s="12">
        <v>0</v>
      </c>
    </row>
    <row r="77" spans="2:9" ht="15" customHeight="1" x14ac:dyDescent="0.2">
      <c r="B77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2D6EF-2109-4D5D-BE33-F985A614328B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301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84</v>
      </c>
      <c r="D6" s="8">
        <v>16.059999999999999</v>
      </c>
      <c r="E6" s="12">
        <v>30</v>
      </c>
      <c r="F6" s="8">
        <v>8.85</v>
      </c>
      <c r="G6" s="12">
        <v>54</v>
      </c>
      <c r="H6" s="8">
        <v>30.17</v>
      </c>
      <c r="I6" s="12">
        <v>0</v>
      </c>
    </row>
    <row r="7" spans="2:9" ht="15" customHeight="1" x14ac:dyDescent="0.2">
      <c r="B7" t="s">
        <v>44</v>
      </c>
      <c r="C7" s="12">
        <v>39</v>
      </c>
      <c r="D7" s="8">
        <v>7.46</v>
      </c>
      <c r="E7" s="12">
        <v>20</v>
      </c>
      <c r="F7" s="8">
        <v>5.9</v>
      </c>
      <c r="G7" s="12">
        <v>18</v>
      </c>
      <c r="H7" s="8">
        <v>10.06</v>
      </c>
      <c r="I7" s="12">
        <v>1</v>
      </c>
    </row>
    <row r="8" spans="2:9" ht="15" customHeight="1" x14ac:dyDescent="0.2">
      <c r="B8" t="s">
        <v>45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46</v>
      </c>
      <c r="C9" s="12">
        <v>2</v>
      </c>
      <c r="D9" s="8">
        <v>0.38</v>
      </c>
      <c r="E9" s="12">
        <v>1</v>
      </c>
      <c r="F9" s="8">
        <v>0.28999999999999998</v>
      </c>
      <c r="G9" s="12">
        <v>1</v>
      </c>
      <c r="H9" s="8">
        <v>0.56000000000000005</v>
      </c>
      <c r="I9" s="12">
        <v>0</v>
      </c>
    </row>
    <row r="10" spans="2:9" ht="15" customHeight="1" x14ac:dyDescent="0.2">
      <c r="B10" t="s">
        <v>47</v>
      </c>
      <c r="C10" s="12">
        <v>10</v>
      </c>
      <c r="D10" s="8">
        <v>1.91</v>
      </c>
      <c r="E10" s="12">
        <v>10</v>
      </c>
      <c r="F10" s="8">
        <v>2.95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48</v>
      </c>
      <c r="C11" s="12">
        <v>127</v>
      </c>
      <c r="D11" s="8">
        <v>24.28</v>
      </c>
      <c r="E11" s="12">
        <v>89</v>
      </c>
      <c r="F11" s="8">
        <v>26.25</v>
      </c>
      <c r="G11" s="12">
        <v>38</v>
      </c>
      <c r="H11" s="8">
        <v>21.23</v>
      </c>
      <c r="I11" s="12">
        <v>0</v>
      </c>
    </row>
    <row r="12" spans="2:9" ht="15" customHeight="1" x14ac:dyDescent="0.2">
      <c r="B12" t="s">
        <v>49</v>
      </c>
      <c r="C12" s="12">
        <v>1</v>
      </c>
      <c r="D12" s="8">
        <v>0.19</v>
      </c>
      <c r="E12" s="12">
        <v>0</v>
      </c>
      <c r="F12" s="8">
        <v>0</v>
      </c>
      <c r="G12" s="12">
        <v>1</v>
      </c>
      <c r="H12" s="8">
        <v>0.56000000000000005</v>
      </c>
      <c r="I12" s="12">
        <v>0</v>
      </c>
    </row>
    <row r="13" spans="2:9" ht="15" customHeight="1" x14ac:dyDescent="0.2">
      <c r="B13" t="s">
        <v>50</v>
      </c>
      <c r="C13" s="12">
        <v>46</v>
      </c>
      <c r="D13" s="8">
        <v>8.8000000000000007</v>
      </c>
      <c r="E13" s="12">
        <v>24</v>
      </c>
      <c r="F13" s="8">
        <v>7.08</v>
      </c>
      <c r="G13" s="12">
        <v>22</v>
      </c>
      <c r="H13" s="8">
        <v>12.29</v>
      </c>
      <c r="I13" s="12">
        <v>0</v>
      </c>
    </row>
    <row r="14" spans="2:9" ht="15" customHeight="1" x14ac:dyDescent="0.2">
      <c r="B14" t="s">
        <v>51</v>
      </c>
      <c r="C14" s="12">
        <v>22</v>
      </c>
      <c r="D14" s="8">
        <v>4.21</v>
      </c>
      <c r="E14" s="12">
        <v>13</v>
      </c>
      <c r="F14" s="8">
        <v>3.83</v>
      </c>
      <c r="G14" s="12">
        <v>9</v>
      </c>
      <c r="H14" s="8">
        <v>5.03</v>
      </c>
      <c r="I14" s="12">
        <v>0</v>
      </c>
    </row>
    <row r="15" spans="2:9" ht="15" customHeight="1" x14ac:dyDescent="0.2">
      <c r="B15" t="s">
        <v>52</v>
      </c>
      <c r="C15" s="12">
        <v>46</v>
      </c>
      <c r="D15" s="8">
        <v>8.8000000000000007</v>
      </c>
      <c r="E15" s="12">
        <v>44</v>
      </c>
      <c r="F15" s="8">
        <v>12.98</v>
      </c>
      <c r="G15" s="12">
        <v>2</v>
      </c>
      <c r="H15" s="8">
        <v>1.1200000000000001</v>
      </c>
      <c r="I15" s="12">
        <v>0</v>
      </c>
    </row>
    <row r="16" spans="2:9" ht="15" customHeight="1" x14ac:dyDescent="0.2">
      <c r="B16" t="s">
        <v>53</v>
      </c>
      <c r="C16" s="12">
        <v>71</v>
      </c>
      <c r="D16" s="8">
        <v>13.58</v>
      </c>
      <c r="E16" s="12">
        <v>59</v>
      </c>
      <c r="F16" s="8">
        <v>17.399999999999999</v>
      </c>
      <c r="G16" s="12">
        <v>11</v>
      </c>
      <c r="H16" s="8">
        <v>6.15</v>
      </c>
      <c r="I16" s="12">
        <v>0</v>
      </c>
    </row>
    <row r="17" spans="2:9" ht="15" customHeight="1" x14ac:dyDescent="0.2">
      <c r="B17" t="s">
        <v>54</v>
      </c>
      <c r="C17" s="12">
        <v>26</v>
      </c>
      <c r="D17" s="8">
        <v>4.97</v>
      </c>
      <c r="E17" s="12">
        <v>23</v>
      </c>
      <c r="F17" s="8">
        <v>6.78</v>
      </c>
      <c r="G17" s="12">
        <v>3</v>
      </c>
      <c r="H17" s="8">
        <v>1.68</v>
      </c>
      <c r="I17" s="12">
        <v>0</v>
      </c>
    </row>
    <row r="18" spans="2:9" ht="15" customHeight="1" x14ac:dyDescent="0.2">
      <c r="B18" t="s">
        <v>55</v>
      </c>
      <c r="C18" s="12">
        <v>25</v>
      </c>
      <c r="D18" s="8">
        <v>4.78</v>
      </c>
      <c r="E18" s="12">
        <v>11</v>
      </c>
      <c r="F18" s="8">
        <v>3.24</v>
      </c>
      <c r="G18" s="12">
        <v>12</v>
      </c>
      <c r="H18" s="8">
        <v>6.7</v>
      </c>
      <c r="I18" s="12">
        <v>0</v>
      </c>
    </row>
    <row r="19" spans="2:9" ht="15" customHeight="1" x14ac:dyDescent="0.2">
      <c r="B19" t="s">
        <v>56</v>
      </c>
      <c r="C19" s="12">
        <v>24</v>
      </c>
      <c r="D19" s="8">
        <v>4.59</v>
      </c>
      <c r="E19" s="12">
        <v>15</v>
      </c>
      <c r="F19" s="8">
        <v>4.42</v>
      </c>
      <c r="G19" s="12">
        <v>8</v>
      </c>
      <c r="H19" s="8">
        <v>4.47</v>
      </c>
      <c r="I19" s="12">
        <v>1</v>
      </c>
    </row>
    <row r="20" spans="2:9" ht="15" customHeight="1" x14ac:dyDescent="0.2">
      <c r="B20" s="9" t="s">
        <v>260</v>
      </c>
      <c r="C20" s="12">
        <f>SUM(LTBL_47362[総数／事業所数])</f>
        <v>523</v>
      </c>
      <c r="E20" s="12">
        <f>SUBTOTAL(109,LTBL_47362[個人／事業所数])</f>
        <v>339</v>
      </c>
      <c r="G20" s="12">
        <f>SUBTOTAL(109,LTBL_47362[法人／事業所数])</f>
        <v>179</v>
      </c>
      <c r="I20" s="12">
        <f>SUBTOTAL(109,LTBL_47362[法人以外の団体／事業所数])</f>
        <v>2</v>
      </c>
    </row>
    <row r="21" spans="2:9" ht="15" customHeight="1" x14ac:dyDescent="0.2">
      <c r="E21" s="11">
        <f>LTBL_47362[[#Totals],[個人／事業所数]]/LTBL_47362[[#Totals],[総数／事業所数]]</f>
        <v>0.64818355640535374</v>
      </c>
      <c r="G21" s="11">
        <f>LTBL_47362[[#Totals],[法人／事業所数]]/LTBL_47362[[#Totals],[総数／事業所数]]</f>
        <v>0.34225621414913959</v>
      </c>
      <c r="I21" s="11">
        <f>LTBL_47362[[#Totals],[法人以外の団体／事業所数]]/LTBL_47362[[#Totals],[総数／事業所数]]</f>
        <v>3.8240917782026767E-3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78</v>
      </c>
      <c r="C24" s="12">
        <v>61</v>
      </c>
      <c r="D24" s="8">
        <v>11.66</v>
      </c>
      <c r="E24" s="12">
        <v>54</v>
      </c>
      <c r="F24" s="8">
        <v>15.93</v>
      </c>
      <c r="G24" s="12">
        <v>7</v>
      </c>
      <c r="H24" s="8">
        <v>3.91</v>
      </c>
      <c r="I24" s="12">
        <v>0</v>
      </c>
    </row>
    <row r="25" spans="2:9" ht="15" customHeight="1" x14ac:dyDescent="0.2">
      <c r="B25" t="s">
        <v>71</v>
      </c>
      <c r="C25" s="12">
        <v>42</v>
      </c>
      <c r="D25" s="8">
        <v>8.0299999999999994</v>
      </c>
      <c r="E25" s="12">
        <v>32</v>
      </c>
      <c r="F25" s="8">
        <v>9.44</v>
      </c>
      <c r="G25" s="12">
        <v>10</v>
      </c>
      <c r="H25" s="8">
        <v>5.59</v>
      </c>
      <c r="I25" s="12">
        <v>0</v>
      </c>
    </row>
    <row r="26" spans="2:9" ht="15" customHeight="1" x14ac:dyDescent="0.2">
      <c r="B26" t="s">
        <v>65</v>
      </c>
      <c r="C26" s="12">
        <v>41</v>
      </c>
      <c r="D26" s="8">
        <v>7.84</v>
      </c>
      <c r="E26" s="12">
        <v>8</v>
      </c>
      <c r="F26" s="8">
        <v>2.36</v>
      </c>
      <c r="G26" s="12">
        <v>33</v>
      </c>
      <c r="H26" s="8">
        <v>18.440000000000001</v>
      </c>
      <c r="I26" s="12">
        <v>0</v>
      </c>
    </row>
    <row r="27" spans="2:9" ht="15" customHeight="1" x14ac:dyDescent="0.2">
      <c r="B27" t="s">
        <v>69</v>
      </c>
      <c r="C27" s="12">
        <v>40</v>
      </c>
      <c r="D27" s="8">
        <v>7.65</v>
      </c>
      <c r="E27" s="12">
        <v>36</v>
      </c>
      <c r="F27" s="8">
        <v>10.62</v>
      </c>
      <c r="G27" s="12">
        <v>4</v>
      </c>
      <c r="H27" s="8">
        <v>2.23</v>
      </c>
      <c r="I27" s="12">
        <v>0</v>
      </c>
    </row>
    <row r="28" spans="2:9" ht="15" customHeight="1" x14ac:dyDescent="0.2">
      <c r="B28" t="s">
        <v>73</v>
      </c>
      <c r="C28" s="12">
        <v>40</v>
      </c>
      <c r="D28" s="8">
        <v>7.65</v>
      </c>
      <c r="E28" s="12">
        <v>23</v>
      </c>
      <c r="F28" s="8">
        <v>6.78</v>
      </c>
      <c r="G28" s="12">
        <v>17</v>
      </c>
      <c r="H28" s="8">
        <v>9.5</v>
      </c>
      <c r="I28" s="12">
        <v>0</v>
      </c>
    </row>
    <row r="29" spans="2:9" ht="15" customHeight="1" x14ac:dyDescent="0.2">
      <c r="B29" t="s">
        <v>77</v>
      </c>
      <c r="C29" s="12">
        <v>40</v>
      </c>
      <c r="D29" s="8">
        <v>7.65</v>
      </c>
      <c r="E29" s="12">
        <v>39</v>
      </c>
      <c r="F29" s="8">
        <v>11.5</v>
      </c>
      <c r="G29" s="12">
        <v>1</v>
      </c>
      <c r="H29" s="8">
        <v>0.56000000000000005</v>
      </c>
      <c r="I29" s="12">
        <v>0</v>
      </c>
    </row>
    <row r="30" spans="2:9" ht="15" customHeight="1" x14ac:dyDescent="0.2">
      <c r="B30" t="s">
        <v>66</v>
      </c>
      <c r="C30" s="12">
        <v>28</v>
      </c>
      <c r="D30" s="8">
        <v>5.35</v>
      </c>
      <c r="E30" s="12">
        <v>17</v>
      </c>
      <c r="F30" s="8">
        <v>5.01</v>
      </c>
      <c r="G30" s="12">
        <v>11</v>
      </c>
      <c r="H30" s="8">
        <v>6.15</v>
      </c>
      <c r="I30" s="12">
        <v>0</v>
      </c>
    </row>
    <row r="31" spans="2:9" ht="15" customHeight="1" x14ac:dyDescent="0.2">
      <c r="B31" t="s">
        <v>81</v>
      </c>
      <c r="C31" s="12">
        <v>26</v>
      </c>
      <c r="D31" s="8">
        <v>4.97</v>
      </c>
      <c r="E31" s="12">
        <v>23</v>
      </c>
      <c r="F31" s="8">
        <v>6.78</v>
      </c>
      <c r="G31" s="12">
        <v>3</v>
      </c>
      <c r="H31" s="8">
        <v>1.68</v>
      </c>
      <c r="I31" s="12">
        <v>0</v>
      </c>
    </row>
    <row r="32" spans="2:9" ht="15" customHeight="1" x14ac:dyDescent="0.2">
      <c r="B32" t="s">
        <v>67</v>
      </c>
      <c r="C32" s="12">
        <v>15</v>
      </c>
      <c r="D32" s="8">
        <v>2.87</v>
      </c>
      <c r="E32" s="12">
        <v>5</v>
      </c>
      <c r="F32" s="8">
        <v>1.47</v>
      </c>
      <c r="G32" s="12">
        <v>10</v>
      </c>
      <c r="H32" s="8">
        <v>5.59</v>
      </c>
      <c r="I32" s="12">
        <v>0</v>
      </c>
    </row>
    <row r="33" spans="2:9" ht="15" customHeight="1" x14ac:dyDescent="0.2">
      <c r="B33" t="s">
        <v>70</v>
      </c>
      <c r="C33" s="12">
        <v>15</v>
      </c>
      <c r="D33" s="8">
        <v>2.87</v>
      </c>
      <c r="E33" s="12">
        <v>14</v>
      </c>
      <c r="F33" s="8">
        <v>4.13</v>
      </c>
      <c r="G33" s="12">
        <v>1</v>
      </c>
      <c r="H33" s="8">
        <v>0.56000000000000005</v>
      </c>
      <c r="I33" s="12">
        <v>0</v>
      </c>
    </row>
    <row r="34" spans="2:9" ht="15" customHeight="1" x14ac:dyDescent="0.2">
      <c r="B34" t="s">
        <v>75</v>
      </c>
      <c r="C34" s="12">
        <v>14</v>
      </c>
      <c r="D34" s="8">
        <v>2.68</v>
      </c>
      <c r="E34" s="12">
        <v>8</v>
      </c>
      <c r="F34" s="8">
        <v>2.36</v>
      </c>
      <c r="G34" s="12">
        <v>6</v>
      </c>
      <c r="H34" s="8">
        <v>3.35</v>
      </c>
      <c r="I34" s="12">
        <v>0</v>
      </c>
    </row>
    <row r="35" spans="2:9" ht="15" customHeight="1" x14ac:dyDescent="0.2">
      <c r="B35" t="s">
        <v>83</v>
      </c>
      <c r="C35" s="12">
        <v>14</v>
      </c>
      <c r="D35" s="8">
        <v>2.68</v>
      </c>
      <c r="E35" s="12">
        <v>3</v>
      </c>
      <c r="F35" s="8">
        <v>0.88</v>
      </c>
      <c r="G35" s="12">
        <v>9</v>
      </c>
      <c r="H35" s="8">
        <v>5.03</v>
      </c>
      <c r="I35" s="12">
        <v>0</v>
      </c>
    </row>
    <row r="36" spans="2:9" ht="15" customHeight="1" x14ac:dyDescent="0.2">
      <c r="B36" t="s">
        <v>84</v>
      </c>
      <c r="C36" s="12">
        <v>12</v>
      </c>
      <c r="D36" s="8">
        <v>2.29</v>
      </c>
      <c r="E36" s="12">
        <v>11</v>
      </c>
      <c r="F36" s="8">
        <v>3.24</v>
      </c>
      <c r="G36" s="12">
        <v>1</v>
      </c>
      <c r="H36" s="8">
        <v>0.56000000000000005</v>
      </c>
      <c r="I36" s="12">
        <v>0</v>
      </c>
    </row>
    <row r="37" spans="2:9" ht="15" customHeight="1" x14ac:dyDescent="0.2">
      <c r="B37" t="s">
        <v>82</v>
      </c>
      <c r="C37" s="12">
        <v>11</v>
      </c>
      <c r="D37" s="8">
        <v>2.1</v>
      </c>
      <c r="E37" s="12">
        <v>8</v>
      </c>
      <c r="F37" s="8">
        <v>2.36</v>
      </c>
      <c r="G37" s="12">
        <v>3</v>
      </c>
      <c r="H37" s="8">
        <v>1.68</v>
      </c>
      <c r="I37" s="12">
        <v>0</v>
      </c>
    </row>
    <row r="38" spans="2:9" ht="15" customHeight="1" x14ac:dyDescent="0.2">
      <c r="B38" t="s">
        <v>74</v>
      </c>
      <c r="C38" s="12">
        <v>8</v>
      </c>
      <c r="D38" s="8">
        <v>1.53</v>
      </c>
      <c r="E38" s="12">
        <v>5</v>
      </c>
      <c r="F38" s="8">
        <v>1.47</v>
      </c>
      <c r="G38" s="12">
        <v>3</v>
      </c>
      <c r="H38" s="8">
        <v>1.68</v>
      </c>
      <c r="I38" s="12">
        <v>0</v>
      </c>
    </row>
    <row r="39" spans="2:9" ht="15" customHeight="1" x14ac:dyDescent="0.2">
      <c r="B39" t="s">
        <v>88</v>
      </c>
      <c r="C39" s="12">
        <v>7</v>
      </c>
      <c r="D39" s="8">
        <v>1.34</v>
      </c>
      <c r="E39" s="12">
        <v>3</v>
      </c>
      <c r="F39" s="8">
        <v>0.88</v>
      </c>
      <c r="G39" s="12">
        <v>4</v>
      </c>
      <c r="H39" s="8">
        <v>2.23</v>
      </c>
      <c r="I39" s="12">
        <v>0</v>
      </c>
    </row>
    <row r="40" spans="2:9" ht="15" customHeight="1" x14ac:dyDescent="0.2">
      <c r="B40" t="s">
        <v>89</v>
      </c>
      <c r="C40" s="12">
        <v>7</v>
      </c>
      <c r="D40" s="8">
        <v>1.34</v>
      </c>
      <c r="E40" s="12">
        <v>2</v>
      </c>
      <c r="F40" s="8">
        <v>0.59</v>
      </c>
      <c r="G40" s="12">
        <v>5</v>
      </c>
      <c r="H40" s="8">
        <v>2.79</v>
      </c>
      <c r="I40" s="12">
        <v>0</v>
      </c>
    </row>
    <row r="41" spans="2:9" ht="15" customHeight="1" x14ac:dyDescent="0.2">
      <c r="B41" t="s">
        <v>90</v>
      </c>
      <c r="C41" s="12">
        <v>7</v>
      </c>
      <c r="D41" s="8">
        <v>1.34</v>
      </c>
      <c r="E41" s="12">
        <v>0</v>
      </c>
      <c r="F41" s="8">
        <v>0</v>
      </c>
      <c r="G41" s="12">
        <v>7</v>
      </c>
      <c r="H41" s="8">
        <v>3.91</v>
      </c>
      <c r="I41" s="12">
        <v>0</v>
      </c>
    </row>
    <row r="42" spans="2:9" ht="15" customHeight="1" x14ac:dyDescent="0.2">
      <c r="B42" t="s">
        <v>79</v>
      </c>
      <c r="C42" s="12">
        <v>7</v>
      </c>
      <c r="D42" s="8">
        <v>1.34</v>
      </c>
      <c r="E42" s="12">
        <v>4</v>
      </c>
      <c r="F42" s="8">
        <v>1.18</v>
      </c>
      <c r="G42" s="12">
        <v>3</v>
      </c>
      <c r="H42" s="8">
        <v>1.68</v>
      </c>
      <c r="I42" s="12">
        <v>0</v>
      </c>
    </row>
    <row r="43" spans="2:9" ht="15" customHeight="1" x14ac:dyDescent="0.2">
      <c r="B43" t="s">
        <v>117</v>
      </c>
      <c r="C43" s="12">
        <v>6</v>
      </c>
      <c r="D43" s="8">
        <v>1.1499999999999999</v>
      </c>
      <c r="E43" s="12">
        <v>4</v>
      </c>
      <c r="F43" s="8">
        <v>1.18</v>
      </c>
      <c r="G43" s="12">
        <v>1</v>
      </c>
      <c r="H43" s="8">
        <v>0.56000000000000005</v>
      </c>
      <c r="I43" s="12">
        <v>1</v>
      </c>
    </row>
    <row r="44" spans="2:9" ht="15" customHeight="1" x14ac:dyDescent="0.2">
      <c r="B44" t="s">
        <v>93</v>
      </c>
      <c r="C44" s="12">
        <v>6</v>
      </c>
      <c r="D44" s="8">
        <v>1.1499999999999999</v>
      </c>
      <c r="E44" s="12">
        <v>6</v>
      </c>
      <c r="F44" s="8">
        <v>1.77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85</v>
      </c>
      <c r="C45" s="12">
        <v>6</v>
      </c>
      <c r="D45" s="8">
        <v>1.1499999999999999</v>
      </c>
      <c r="E45" s="12">
        <v>1</v>
      </c>
      <c r="F45" s="8">
        <v>0.28999999999999998</v>
      </c>
      <c r="G45" s="12">
        <v>5</v>
      </c>
      <c r="H45" s="8">
        <v>2.79</v>
      </c>
      <c r="I45" s="12">
        <v>0</v>
      </c>
    </row>
    <row r="46" spans="2:9" ht="15" customHeight="1" x14ac:dyDescent="0.2">
      <c r="B46" t="s">
        <v>87</v>
      </c>
      <c r="C46" s="12">
        <v>6</v>
      </c>
      <c r="D46" s="8">
        <v>1.1499999999999999</v>
      </c>
      <c r="E46" s="12">
        <v>2</v>
      </c>
      <c r="F46" s="8">
        <v>0.59</v>
      </c>
      <c r="G46" s="12">
        <v>4</v>
      </c>
      <c r="H46" s="8">
        <v>2.23</v>
      </c>
      <c r="I46" s="12">
        <v>0</v>
      </c>
    </row>
    <row r="49" spans="2:9" ht="33" customHeight="1" x14ac:dyDescent="0.2">
      <c r="B49" t="s">
        <v>262</v>
      </c>
      <c r="C49" s="10" t="s">
        <v>58</v>
      </c>
      <c r="D49" s="10" t="s">
        <v>59</v>
      </c>
      <c r="E49" s="10" t="s">
        <v>60</v>
      </c>
      <c r="F49" s="10" t="s">
        <v>61</v>
      </c>
      <c r="G49" s="10" t="s">
        <v>62</v>
      </c>
      <c r="H49" s="10" t="s">
        <v>63</v>
      </c>
      <c r="I49" s="10" t="s">
        <v>64</v>
      </c>
    </row>
    <row r="50" spans="2:9" ht="15" customHeight="1" x14ac:dyDescent="0.2">
      <c r="B50" t="s">
        <v>136</v>
      </c>
      <c r="C50" s="12">
        <v>37</v>
      </c>
      <c r="D50" s="8">
        <v>7.07</v>
      </c>
      <c r="E50" s="12">
        <v>35</v>
      </c>
      <c r="F50" s="8">
        <v>10.32</v>
      </c>
      <c r="G50" s="12">
        <v>2</v>
      </c>
      <c r="H50" s="8">
        <v>1.1200000000000001</v>
      </c>
      <c r="I50" s="12">
        <v>0</v>
      </c>
    </row>
    <row r="51" spans="2:9" ht="15" customHeight="1" x14ac:dyDescent="0.2">
      <c r="B51" t="s">
        <v>128</v>
      </c>
      <c r="C51" s="12">
        <v>34</v>
      </c>
      <c r="D51" s="8">
        <v>6.5</v>
      </c>
      <c r="E51" s="12">
        <v>22</v>
      </c>
      <c r="F51" s="8">
        <v>6.49</v>
      </c>
      <c r="G51" s="12">
        <v>12</v>
      </c>
      <c r="H51" s="8">
        <v>6.7</v>
      </c>
      <c r="I51" s="12">
        <v>0</v>
      </c>
    </row>
    <row r="52" spans="2:9" ht="15" customHeight="1" x14ac:dyDescent="0.2">
      <c r="B52" t="s">
        <v>153</v>
      </c>
      <c r="C52" s="12">
        <v>19</v>
      </c>
      <c r="D52" s="8">
        <v>3.63</v>
      </c>
      <c r="E52" s="12">
        <v>18</v>
      </c>
      <c r="F52" s="8">
        <v>5.31</v>
      </c>
      <c r="G52" s="12">
        <v>1</v>
      </c>
      <c r="H52" s="8">
        <v>0.56000000000000005</v>
      </c>
      <c r="I52" s="12">
        <v>0</v>
      </c>
    </row>
    <row r="53" spans="2:9" ht="15" customHeight="1" x14ac:dyDescent="0.2">
      <c r="B53" t="s">
        <v>123</v>
      </c>
      <c r="C53" s="12">
        <v>17</v>
      </c>
      <c r="D53" s="8">
        <v>3.25</v>
      </c>
      <c r="E53" s="12">
        <v>14</v>
      </c>
      <c r="F53" s="8">
        <v>4.13</v>
      </c>
      <c r="G53" s="12">
        <v>3</v>
      </c>
      <c r="H53" s="8">
        <v>1.68</v>
      </c>
      <c r="I53" s="12">
        <v>0</v>
      </c>
    </row>
    <row r="54" spans="2:9" ht="15" customHeight="1" x14ac:dyDescent="0.2">
      <c r="B54" t="s">
        <v>122</v>
      </c>
      <c r="C54" s="12">
        <v>15</v>
      </c>
      <c r="D54" s="8">
        <v>2.87</v>
      </c>
      <c r="E54" s="12">
        <v>1</v>
      </c>
      <c r="F54" s="8">
        <v>0.28999999999999998</v>
      </c>
      <c r="G54" s="12">
        <v>14</v>
      </c>
      <c r="H54" s="8">
        <v>7.82</v>
      </c>
      <c r="I54" s="12">
        <v>0</v>
      </c>
    </row>
    <row r="55" spans="2:9" ht="15" customHeight="1" x14ac:dyDescent="0.2">
      <c r="B55" t="s">
        <v>139</v>
      </c>
      <c r="C55" s="12">
        <v>15</v>
      </c>
      <c r="D55" s="8">
        <v>2.87</v>
      </c>
      <c r="E55" s="12">
        <v>14</v>
      </c>
      <c r="F55" s="8">
        <v>4.13</v>
      </c>
      <c r="G55" s="12">
        <v>1</v>
      </c>
      <c r="H55" s="8">
        <v>0.56000000000000005</v>
      </c>
      <c r="I55" s="12">
        <v>0</v>
      </c>
    </row>
    <row r="56" spans="2:9" ht="15" customHeight="1" x14ac:dyDescent="0.2">
      <c r="B56" t="s">
        <v>124</v>
      </c>
      <c r="C56" s="12">
        <v>14</v>
      </c>
      <c r="D56" s="8">
        <v>2.68</v>
      </c>
      <c r="E56" s="12">
        <v>14</v>
      </c>
      <c r="F56" s="8">
        <v>4.13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135</v>
      </c>
      <c r="C57" s="12">
        <v>14</v>
      </c>
      <c r="D57" s="8">
        <v>2.68</v>
      </c>
      <c r="E57" s="12">
        <v>13</v>
      </c>
      <c r="F57" s="8">
        <v>3.83</v>
      </c>
      <c r="G57" s="12">
        <v>1</v>
      </c>
      <c r="H57" s="8">
        <v>0.56000000000000005</v>
      </c>
      <c r="I57" s="12">
        <v>0</v>
      </c>
    </row>
    <row r="58" spans="2:9" ht="15" customHeight="1" x14ac:dyDescent="0.2">
      <c r="B58" t="s">
        <v>141</v>
      </c>
      <c r="C58" s="12">
        <v>12</v>
      </c>
      <c r="D58" s="8">
        <v>2.29</v>
      </c>
      <c r="E58" s="12">
        <v>11</v>
      </c>
      <c r="F58" s="8">
        <v>3.24</v>
      </c>
      <c r="G58" s="12">
        <v>1</v>
      </c>
      <c r="H58" s="8">
        <v>0.56000000000000005</v>
      </c>
      <c r="I58" s="12">
        <v>0</v>
      </c>
    </row>
    <row r="59" spans="2:9" ht="15" customHeight="1" x14ac:dyDescent="0.2">
      <c r="B59" t="s">
        <v>151</v>
      </c>
      <c r="C59" s="12">
        <v>11</v>
      </c>
      <c r="D59" s="8">
        <v>2.1</v>
      </c>
      <c r="E59" s="12">
        <v>2</v>
      </c>
      <c r="F59" s="8">
        <v>0.59</v>
      </c>
      <c r="G59" s="12">
        <v>9</v>
      </c>
      <c r="H59" s="8">
        <v>5.03</v>
      </c>
      <c r="I59" s="12">
        <v>0</v>
      </c>
    </row>
    <row r="60" spans="2:9" ht="15" customHeight="1" x14ac:dyDescent="0.2">
      <c r="B60" t="s">
        <v>146</v>
      </c>
      <c r="C60" s="12">
        <v>11</v>
      </c>
      <c r="D60" s="8">
        <v>2.1</v>
      </c>
      <c r="E60" s="12">
        <v>5</v>
      </c>
      <c r="F60" s="8">
        <v>1.47</v>
      </c>
      <c r="G60" s="12">
        <v>6</v>
      </c>
      <c r="H60" s="8">
        <v>3.35</v>
      </c>
      <c r="I60" s="12">
        <v>0</v>
      </c>
    </row>
    <row r="61" spans="2:9" ht="15" customHeight="1" x14ac:dyDescent="0.2">
      <c r="B61" t="s">
        <v>131</v>
      </c>
      <c r="C61" s="12">
        <v>11</v>
      </c>
      <c r="D61" s="8">
        <v>2.1</v>
      </c>
      <c r="E61" s="12">
        <v>10</v>
      </c>
      <c r="F61" s="8">
        <v>2.95</v>
      </c>
      <c r="G61" s="12">
        <v>1</v>
      </c>
      <c r="H61" s="8">
        <v>0.56000000000000005</v>
      </c>
      <c r="I61" s="12">
        <v>0</v>
      </c>
    </row>
    <row r="62" spans="2:9" ht="15" customHeight="1" x14ac:dyDescent="0.2">
      <c r="B62" t="s">
        <v>138</v>
      </c>
      <c r="C62" s="12">
        <v>11</v>
      </c>
      <c r="D62" s="8">
        <v>2.1</v>
      </c>
      <c r="E62" s="12">
        <v>9</v>
      </c>
      <c r="F62" s="8">
        <v>2.65</v>
      </c>
      <c r="G62" s="12">
        <v>2</v>
      </c>
      <c r="H62" s="8">
        <v>1.1200000000000001</v>
      </c>
      <c r="I62" s="12">
        <v>0</v>
      </c>
    </row>
    <row r="63" spans="2:9" ht="15" customHeight="1" x14ac:dyDescent="0.2">
      <c r="B63" t="s">
        <v>129</v>
      </c>
      <c r="C63" s="12">
        <v>10</v>
      </c>
      <c r="D63" s="8">
        <v>1.91</v>
      </c>
      <c r="E63" s="12">
        <v>5</v>
      </c>
      <c r="F63" s="8">
        <v>1.47</v>
      </c>
      <c r="G63" s="12">
        <v>5</v>
      </c>
      <c r="H63" s="8">
        <v>2.79</v>
      </c>
      <c r="I63" s="12">
        <v>0</v>
      </c>
    </row>
    <row r="64" spans="2:9" ht="15" customHeight="1" x14ac:dyDescent="0.2">
      <c r="B64" t="s">
        <v>140</v>
      </c>
      <c r="C64" s="12">
        <v>10</v>
      </c>
      <c r="D64" s="8">
        <v>1.91</v>
      </c>
      <c r="E64" s="12">
        <v>8</v>
      </c>
      <c r="F64" s="8">
        <v>2.36</v>
      </c>
      <c r="G64" s="12">
        <v>2</v>
      </c>
      <c r="H64" s="8">
        <v>1.1200000000000001</v>
      </c>
      <c r="I64" s="12">
        <v>0</v>
      </c>
    </row>
    <row r="65" spans="2:9" ht="15" customHeight="1" x14ac:dyDescent="0.2">
      <c r="B65" t="s">
        <v>162</v>
      </c>
      <c r="C65" s="12">
        <v>9</v>
      </c>
      <c r="D65" s="8">
        <v>1.72</v>
      </c>
      <c r="E65" s="12">
        <v>5</v>
      </c>
      <c r="F65" s="8">
        <v>1.47</v>
      </c>
      <c r="G65" s="12">
        <v>4</v>
      </c>
      <c r="H65" s="8">
        <v>2.23</v>
      </c>
      <c r="I65" s="12">
        <v>0</v>
      </c>
    </row>
    <row r="66" spans="2:9" ht="15" customHeight="1" x14ac:dyDescent="0.2">
      <c r="B66" t="s">
        <v>132</v>
      </c>
      <c r="C66" s="12">
        <v>9</v>
      </c>
      <c r="D66" s="8">
        <v>1.72</v>
      </c>
      <c r="E66" s="12">
        <v>9</v>
      </c>
      <c r="F66" s="8">
        <v>2.65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144</v>
      </c>
      <c r="C67" s="12">
        <v>8</v>
      </c>
      <c r="D67" s="8">
        <v>1.53</v>
      </c>
      <c r="E67" s="12">
        <v>8</v>
      </c>
      <c r="F67" s="8">
        <v>2.36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222</v>
      </c>
      <c r="C68" s="12">
        <v>7</v>
      </c>
      <c r="D68" s="8">
        <v>1.34</v>
      </c>
      <c r="E68" s="12">
        <v>3</v>
      </c>
      <c r="F68" s="8">
        <v>0.88</v>
      </c>
      <c r="G68" s="12">
        <v>4</v>
      </c>
      <c r="H68" s="8">
        <v>2.23</v>
      </c>
      <c r="I68" s="12">
        <v>0</v>
      </c>
    </row>
    <row r="69" spans="2:9" ht="15" customHeight="1" x14ac:dyDescent="0.2">
      <c r="B69" t="s">
        <v>212</v>
      </c>
      <c r="C69" s="12">
        <v>7</v>
      </c>
      <c r="D69" s="8">
        <v>1.34</v>
      </c>
      <c r="E69" s="12">
        <v>3</v>
      </c>
      <c r="F69" s="8">
        <v>0.88</v>
      </c>
      <c r="G69" s="12">
        <v>4</v>
      </c>
      <c r="H69" s="8">
        <v>2.23</v>
      </c>
      <c r="I69" s="12">
        <v>0</v>
      </c>
    </row>
    <row r="70" spans="2:9" ht="15" customHeight="1" x14ac:dyDescent="0.2">
      <c r="B70" t="s">
        <v>199</v>
      </c>
      <c r="C70" s="12">
        <v>7</v>
      </c>
      <c r="D70" s="8">
        <v>1.34</v>
      </c>
      <c r="E70" s="12">
        <v>6</v>
      </c>
      <c r="F70" s="8">
        <v>1.77</v>
      </c>
      <c r="G70" s="12">
        <v>1</v>
      </c>
      <c r="H70" s="8">
        <v>0.56000000000000005</v>
      </c>
      <c r="I70" s="12">
        <v>0</v>
      </c>
    </row>
    <row r="71" spans="2:9" ht="15" customHeight="1" x14ac:dyDescent="0.2">
      <c r="B71" t="s">
        <v>125</v>
      </c>
      <c r="C71" s="12">
        <v>7</v>
      </c>
      <c r="D71" s="8">
        <v>1.34</v>
      </c>
      <c r="E71" s="12">
        <v>4</v>
      </c>
      <c r="F71" s="8">
        <v>1.18</v>
      </c>
      <c r="G71" s="12">
        <v>3</v>
      </c>
      <c r="H71" s="8">
        <v>1.68</v>
      </c>
      <c r="I71" s="12">
        <v>0</v>
      </c>
    </row>
    <row r="73" spans="2:9" ht="15" customHeight="1" x14ac:dyDescent="0.2">
      <c r="B73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38A70-D9D4-4F7F-9E16-31F8155DD1F9}">
  <sheetPr>
    <pageSetUpPr fitToPage="1"/>
  </sheetPr>
  <dimension ref="B2:I8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302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7</v>
      </c>
      <c r="D6" s="8">
        <v>12.96</v>
      </c>
      <c r="E6" s="12">
        <v>1</v>
      </c>
      <c r="F6" s="8">
        <v>3.13</v>
      </c>
      <c r="G6" s="12">
        <v>6</v>
      </c>
      <c r="H6" s="8">
        <v>35.29</v>
      </c>
      <c r="I6" s="12">
        <v>0</v>
      </c>
    </row>
    <row r="7" spans="2:9" ht="15" customHeight="1" x14ac:dyDescent="0.2">
      <c r="B7" t="s">
        <v>44</v>
      </c>
      <c r="C7" s="12">
        <v>5</v>
      </c>
      <c r="D7" s="8">
        <v>9.26</v>
      </c>
      <c r="E7" s="12">
        <v>1</v>
      </c>
      <c r="F7" s="8">
        <v>3.13</v>
      </c>
      <c r="G7" s="12">
        <v>4</v>
      </c>
      <c r="H7" s="8">
        <v>23.53</v>
      </c>
      <c r="I7" s="12">
        <v>0</v>
      </c>
    </row>
    <row r="8" spans="2:9" ht="15" customHeight="1" x14ac:dyDescent="0.2">
      <c r="B8" t="s">
        <v>45</v>
      </c>
      <c r="C8" s="12">
        <v>2</v>
      </c>
      <c r="D8" s="8">
        <v>3.7</v>
      </c>
      <c r="E8" s="12">
        <v>0</v>
      </c>
      <c r="F8" s="8">
        <v>0</v>
      </c>
      <c r="G8" s="12">
        <v>1</v>
      </c>
      <c r="H8" s="8">
        <v>5.88</v>
      </c>
      <c r="I8" s="12">
        <v>0</v>
      </c>
    </row>
    <row r="9" spans="2:9" ht="15" customHeight="1" x14ac:dyDescent="0.2">
      <c r="B9" t="s">
        <v>46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47</v>
      </c>
      <c r="C10" s="12">
        <v>1</v>
      </c>
      <c r="D10" s="8">
        <v>1.85</v>
      </c>
      <c r="E10" s="12">
        <v>1</v>
      </c>
      <c r="F10" s="8">
        <v>3.13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48</v>
      </c>
      <c r="C11" s="12">
        <v>14</v>
      </c>
      <c r="D11" s="8">
        <v>25.93</v>
      </c>
      <c r="E11" s="12">
        <v>10</v>
      </c>
      <c r="F11" s="8">
        <v>31.25</v>
      </c>
      <c r="G11" s="12">
        <v>4</v>
      </c>
      <c r="H11" s="8">
        <v>23.53</v>
      </c>
      <c r="I11" s="12">
        <v>0</v>
      </c>
    </row>
    <row r="12" spans="2:9" ht="15" customHeight="1" x14ac:dyDescent="0.2">
      <c r="B12" t="s">
        <v>49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50</v>
      </c>
      <c r="C13" s="12">
        <v>1</v>
      </c>
      <c r="D13" s="8">
        <v>1.85</v>
      </c>
      <c r="E13" s="12">
        <v>1</v>
      </c>
      <c r="F13" s="8">
        <v>3.13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51</v>
      </c>
      <c r="C14" s="12">
        <v>1</v>
      </c>
      <c r="D14" s="8">
        <v>1.85</v>
      </c>
      <c r="E14" s="12">
        <v>0</v>
      </c>
      <c r="F14" s="8">
        <v>0</v>
      </c>
      <c r="G14" s="12">
        <v>1</v>
      </c>
      <c r="H14" s="8">
        <v>5.88</v>
      </c>
      <c r="I14" s="12">
        <v>0</v>
      </c>
    </row>
    <row r="15" spans="2:9" ht="15" customHeight="1" x14ac:dyDescent="0.2">
      <c r="B15" t="s">
        <v>52</v>
      </c>
      <c r="C15" s="12">
        <v>11</v>
      </c>
      <c r="D15" s="8">
        <v>20.37</v>
      </c>
      <c r="E15" s="12">
        <v>10</v>
      </c>
      <c r="F15" s="8">
        <v>31.25</v>
      </c>
      <c r="G15" s="12">
        <v>1</v>
      </c>
      <c r="H15" s="8">
        <v>5.88</v>
      </c>
      <c r="I15" s="12">
        <v>0</v>
      </c>
    </row>
    <row r="16" spans="2:9" ht="15" customHeight="1" x14ac:dyDescent="0.2">
      <c r="B16" t="s">
        <v>53</v>
      </c>
      <c r="C16" s="12">
        <v>5</v>
      </c>
      <c r="D16" s="8">
        <v>9.26</v>
      </c>
      <c r="E16" s="12">
        <v>5</v>
      </c>
      <c r="F16" s="8">
        <v>15.63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54</v>
      </c>
      <c r="C17" s="12">
        <v>3</v>
      </c>
      <c r="D17" s="8">
        <v>5.56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55</v>
      </c>
      <c r="C18" s="12">
        <v>2</v>
      </c>
      <c r="D18" s="8">
        <v>3.7</v>
      </c>
      <c r="E18" s="12">
        <v>1</v>
      </c>
      <c r="F18" s="8">
        <v>3.13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56</v>
      </c>
      <c r="C19" s="12">
        <v>2</v>
      </c>
      <c r="D19" s="8">
        <v>3.7</v>
      </c>
      <c r="E19" s="12">
        <v>2</v>
      </c>
      <c r="F19" s="8">
        <v>6.25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260</v>
      </c>
      <c r="C20" s="12">
        <f>SUM(LTBL_47375[総数／事業所数])</f>
        <v>54</v>
      </c>
      <c r="E20" s="12">
        <f>SUBTOTAL(109,LTBL_47375[個人／事業所数])</f>
        <v>32</v>
      </c>
      <c r="G20" s="12">
        <f>SUBTOTAL(109,LTBL_47375[法人／事業所数])</f>
        <v>17</v>
      </c>
      <c r="I20" s="12">
        <f>SUBTOTAL(109,LTBL_47375[法人以外の団体／事業所数])</f>
        <v>0</v>
      </c>
    </row>
    <row r="21" spans="2:9" ht="15" customHeight="1" x14ac:dyDescent="0.2">
      <c r="E21" s="11">
        <f>LTBL_47375[[#Totals],[個人／事業所数]]/LTBL_47375[[#Totals],[総数／事業所数]]</f>
        <v>0.59259259259259256</v>
      </c>
      <c r="G21" s="11">
        <f>LTBL_47375[[#Totals],[法人／事業所数]]/LTBL_47375[[#Totals],[総数／事業所数]]</f>
        <v>0.31481481481481483</v>
      </c>
      <c r="I21" s="11">
        <f>LTBL_47375[[#Totals],[法人以外の団体／事業所数]]/LTBL_47375[[#Totals],[総数／事業所数]]</f>
        <v>0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69</v>
      </c>
      <c r="C24" s="12">
        <v>9</v>
      </c>
      <c r="D24" s="8">
        <v>16.670000000000002</v>
      </c>
      <c r="E24" s="12">
        <v>7</v>
      </c>
      <c r="F24" s="8">
        <v>21.88</v>
      </c>
      <c r="G24" s="12">
        <v>2</v>
      </c>
      <c r="H24" s="8">
        <v>11.76</v>
      </c>
      <c r="I24" s="12">
        <v>0</v>
      </c>
    </row>
    <row r="25" spans="2:9" ht="15" customHeight="1" x14ac:dyDescent="0.2">
      <c r="B25" t="s">
        <v>76</v>
      </c>
      <c r="C25" s="12">
        <v>5</v>
      </c>
      <c r="D25" s="8">
        <v>9.26</v>
      </c>
      <c r="E25" s="12">
        <v>4</v>
      </c>
      <c r="F25" s="8">
        <v>12.5</v>
      </c>
      <c r="G25" s="12">
        <v>1</v>
      </c>
      <c r="H25" s="8">
        <v>5.88</v>
      </c>
      <c r="I25" s="12">
        <v>0</v>
      </c>
    </row>
    <row r="26" spans="2:9" ht="15" customHeight="1" x14ac:dyDescent="0.2">
      <c r="B26" t="s">
        <v>77</v>
      </c>
      <c r="C26" s="12">
        <v>5</v>
      </c>
      <c r="D26" s="8">
        <v>9.26</v>
      </c>
      <c r="E26" s="12">
        <v>5</v>
      </c>
      <c r="F26" s="8">
        <v>15.63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65</v>
      </c>
      <c r="C27" s="12">
        <v>4</v>
      </c>
      <c r="D27" s="8">
        <v>7.41</v>
      </c>
      <c r="E27" s="12">
        <v>0</v>
      </c>
      <c r="F27" s="8">
        <v>0</v>
      </c>
      <c r="G27" s="12">
        <v>4</v>
      </c>
      <c r="H27" s="8">
        <v>23.53</v>
      </c>
      <c r="I27" s="12">
        <v>0</v>
      </c>
    </row>
    <row r="28" spans="2:9" ht="15" customHeight="1" x14ac:dyDescent="0.2">
      <c r="B28" t="s">
        <v>78</v>
      </c>
      <c r="C28" s="12">
        <v>4</v>
      </c>
      <c r="D28" s="8">
        <v>7.41</v>
      </c>
      <c r="E28" s="12">
        <v>4</v>
      </c>
      <c r="F28" s="8">
        <v>12.5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88</v>
      </c>
      <c r="C29" s="12">
        <v>3</v>
      </c>
      <c r="D29" s="8">
        <v>5.56</v>
      </c>
      <c r="E29" s="12">
        <v>1</v>
      </c>
      <c r="F29" s="8">
        <v>3.13</v>
      </c>
      <c r="G29" s="12">
        <v>2</v>
      </c>
      <c r="H29" s="8">
        <v>11.76</v>
      </c>
      <c r="I29" s="12">
        <v>0</v>
      </c>
    </row>
    <row r="30" spans="2:9" ht="15" customHeight="1" x14ac:dyDescent="0.2">
      <c r="B30" t="s">
        <v>81</v>
      </c>
      <c r="C30" s="12">
        <v>3</v>
      </c>
      <c r="D30" s="8">
        <v>5.56</v>
      </c>
      <c r="E30" s="12">
        <v>0</v>
      </c>
      <c r="F30" s="8">
        <v>0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67</v>
      </c>
      <c r="C31" s="12">
        <v>2</v>
      </c>
      <c r="D31" s="8">
        <v>3.7</v>
      </c>
      <c r="E31" s="12">
        <v>1</v>
      </c>
      <c r="F31" s="8">
        <v>3.13</v>
      </c>
      <c r="G31" s="12">
        <v>1</v>
      </c>
      <c r="H31" s="8">
        <v>5.88</v>
      </c>
      <c r="I31" s="12">
        <v>0</v>
      </c>
    </row>
    <row r="32" spans="2:9" ht="15" customHeight="1" x14ac:dyDescent="0.2">
      <c r="B32" t="s">
        <v>70</v>
      </c>
      <c r="C32" s="12">
        <v>2</v>
      </c>
      <c r="D32" s="8">
        <v>3.7</v>
      </c>
      <c r="E32" s="12">
        <v>2</v>
      </c>
      <c r="F32" s="8">
        <v>6.25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71</v>
      </c>
      <c r="C33" s="12">
        <v>2</v>
      </c>
      <c r="D33" s="8">
        <v>3.7</v>
      </c>
      <c r="E33" s="12">
        <v>1</v>
      </c>
      <c r="F33" s="8">
        <v>3.13</v>
      </c>
      <c r="G33" s="12">
        <v>1</v>
      </c>
      <c r="H33" s="8">
        <v>5.88</v>
      </c>
      <c r="I33" s="12">
        <v>0</v>
      </c>
    </row>
    <row r="34" spans="2:9" ht="15" customHeight="1" x14ac:dyDescent="0.2">
      <c r="B34" t="s">
        <v>84</v>
      </c>
      <c r="C34" s="12">
        <v>2</v>
      </c>
      <c r="D34" s="8">
        <v>3.7</v>
      </c>
      <c r="E34" s="12">
        <v>2</v>
      </c>
      <c r="F34" s="8">
        <v>6.25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66</v>
      </c>
      <c r="C35" s="12">
        <v>1</v>
      </c>
      <c r="D35" s="8">
        <v>1.85</v>
      </c>
      <c r="E35" s="12">
        <v>0</v>
      </c>
      <c r="F35" s="8">
        <v>0</v>
      </c>
      <c r="G35" s="12">
        <v>1</v>
      </c>
      <c r="H35" s="8">
        <v>5.88</v>
      </c>
      <c r="I35" s="12">
        <v>0</v>
      </c>
    </row>
    <row r="36" spans="2:9" ht="15" customHeight="1" x14ac:dyDescent="0.2">
      <c r="B36" t="s">
        <v>118</v>
      </c>
      <c r="C36" s="12">
        <v>1</v>
      </c>
      <c r="D36" s="8">
        <v>1.85</v>
      </c>
      <c r="E36" s="12">
        <v>0</v>
      </c>
      <c r="F36" s="8">
        <v>0</v>
      </c>
      <c r="G36" s="12">
        <v>1</v>
      </c>
      <c r="H36" s="8">
        <v>5.88</v>
      </c>
      <c r="I36" s="12">
        <v>0</v>
      </c>
    </row>
    <row r="37" spans="2:9" ht="15" customHeight="1" x14ac:dyDescent="0.2">
      <c r="B37" t="s">
        <v>95</v>
      </c>
      <c r="C37" s="12">
        <v>1</v>
      </c>
      <c r="D37" s="8">
        <v>1.85</v>
      </c>
      <c r="E37" s="12">
        <v>0</v>
      </c>
      <c r="F37" s="8">
        <v>0</v>
      </c>
      <c r="G37" s="12">
        <v>1</v>
      </c>
      <c r="H37" s="8">
        <v>5.88</v>
      </c>
      <c r="I37" s="12">
        <v>0</v>
      </c>
    </row>
    <row r="38" spans="2:9" ht="15" customHeight="1" x14ac:dyDescent="0.2">
      <c r="B38" t="s">
        <v>113</v>
      </c>
      <c r="C38" s="12">
        <v>1</v>
      </c>
      <c r="D38" s="8">
        <v>1.85</v>
      </c>
      <c r="E38" s="12">
        <v>0</v>
      </c>
      <c r="F38" s="8">
        <v>0</v>
      </c>
      <c r="G38" s="12">
        <v>1</v>
      </c>
      <c r="H38" s="8">
        <v>5.88</v>
      </c>
      <c r="I38" s="12">
        <v>0</v>
      </c>
    </row>
    <row r="39" spans="2:9" ht="15" customHeight="1" x14ac:dyDescent="0.2">
      <c r="B39" t="s">
        <v>101</v>
      </c>
      <c r="C39" s="12">
        <v>1</v>
      </c>
      <c r="D39" s="8">
        <v>1.85</v>
      </c>
      <c r="E39" s="12">
        <v>0</v>
      </c>
      <c r="F39" s="8">
        <v>0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93</v>
      </c>
      <c r="C40" s="12">
        <v>1</v>
      </c>
      <c r="D40" s="8">
        <v>1.85</v>
      </c>
      <c r="E40" s="12">
        <v>1</v>
      </c>
      <c r="F40" s="8">
        <v>3.13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86</v>
      </c>
      <c r="C41" s="12">
        <v>1</v>
      </c>
      <c r="D41" s="8">
        <v>1.85</v>
      </c>
      <c r="E41" s="12">
        <v>0</v>
      </c>
      <c r="F41" s="8">
        <v>0</v>
      </c>
      <c r="G41" s="12">
        <v>1</v>
      </c>
      <c r="H41" s="8">
        <v>5.88</v>
      </c>
      <c r="I41" s="12">
        <v>0</v>
      </c>
    </row>
    <row r="42" spans="2:9" ht="15" customHeight="1" x14ac:dyDescent="0.2">
      <c r="B42" t="s">
        <v>94</v>
      </c>
      <c r="C42" s="12">
        <v>1</v>
      </c>
      <c r="D42" s="8">
        <v>1.85</v>
      </c>
      <c r="E42" s="12">
        <v>1</v>
      </c>
      <c r="F42" s="8">
        <v>3.13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75</v>
      </c>
      <c r="C43" s="12">
        <v>1</v>
      </c>
      <c r="D43" s="8">
        <v>1.85</v>
      </c>
      <c r="E43" s="12">
        <v>0</v>
      </c>
      <c r="F43" s="8">
        <v>0</v>
      </c>
      <c r="G43" s="12">
        <v>1</v>
      </c>
      <c r="H43" s="8">
        <v>5.88</v>
      </c>
      <c r="I43" s="12">
        <v>0</v>
      </c>
    </row>
    <row r="44" spans="2:9" ht="15" customHeight="1" x14ac:dyDescent="0.2">
      <c r="B44" t="s">
        <v>91</v>
      </c>
      <c r="C44" s="12">
        <v>1</v>
      </c>
      <c r="D44" s="8">
        <v>1.85</v>
      </c>
      <c r="E44" s="12">
        <v>1</v>
      </c>
      <c r="F44" s="8">
        <v>3.13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80</v>
      </c>
      <c r="C45" s="12">
        <v>1</v>
      </c>
      <c r="D45" s="8">
        <v>1.85</v>
      </c>
      <c r="E45" s="12">
        <v>1</v>
      </c>
      <c r="F45" s="8">
        <v>3.13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82</v>
      </c>
      <c r="C46" s="12">
        <v>1</v>
      </c>
      <c r="D46" s="8">
        <v>1.85</v>
      </c>
      <c r="E46" s="12">
        <v>1</v>
      </c>
      <c r="F46" s="8">
        <v>3.13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83</v>
      </c>
      <c r="C47" s="12">
        <v>1</v>
      </c>
      <c r="D47" s="8">
        <v>1.85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50" spans="2:9" ht="33" customHeight="1" x14ac:dyDescent="0.2">
      <c r="B50" t="s">
        <v>262</v>
      </c>
      <c r="C50" s="10" t="s">
        <v>58</v>
      </c>
      <c r="D50" s="10" t="s">
        <v>59</v>
      </c>
      <c r="E50" s="10" t="s">
        <v>60</v>
      </c>
      <c r="F50" s="10" t="s">
        <v>61</v>
      </c>
      <c r="G50" s="10" t="s">
        <v>62</v>
      </c>
      <c r="H50" s="10" t="s">
        <v>63</v>
      </c>
      <c r="I50" s="10" t="s">
        <v>64</v>
      </c>
    </row>
    <row r="51" spans="2:9" ht="15" customHeight="1" x14ac:dyDescent="0.2">
      <c r="B51" t="s">
        <v>122</v>
      </c>
      <c r="C51" s="12">
        <v>4</v>
      </c>
      <c r="D51" s="8">
        <v>7.41</v>
      </c>
      <c r="E51" s="12">
        <v>0</v>
      </c>
      <c r="F51" s="8">
        <v>0</v>
      </c>
      <c r="G51" s="12">
        <v>4</v>
      </c>
      <c r="H51" s="8">
        <v>23.53</v>
      </c>
      <c r="I51" s="12">
        <v>0</v>
      </c>
    </row>
    <row r="52" spans="2:9" ht="15" customHeight="1" x14ac:dyDescent="0.2">
      <c r="B52" t="s">
        <v>123</v>
      </c>
      <c r="C52" s="12">
        <v>4</v>
      </c>
      <c r="D52" s="8">
        <v>7.41</v>
      </c>
      <c r="E52" s="12">
        <v>3</v>
      </c>
      <c r="F52" s="8">
        <v>9.3800000000000008</v>
      </c>
      <c r="G52" s="12">
        <v>1</v>
      </c>
      <c r="H52" s="8">
        <v>5.88</v>
      </c>
      <c r="I52" s="12">
        <v>0</v>
      </c>
    </row>
    <row r="53" spans="2:9" ht="15" customHeight="1" x14ac:dyDescent="0.2">
      <c r="B53" t="s">
        <v>148</v>
      </c>
      <c r="C53" s="12">
        <v>3</v>
      </c>
      <c r="D53" s="8">
        <v>5.56</v>
      </c>
      <c r="E53" s="12">
        <v>2</v>
      </c>
      <c r="F53" s="8">
        <v>6.25</v>
      </c>
      <c r="G53" s="12">
        <v>1</v>
      </c>
      <c r="H53" s="8">
        <v>5.88</v>
      </c>
      <c r="I53" s="12">
        <v>0</v>
      </c>
    </row>
    <row r="54" spans="2:9" ht="15" customHeight="1" x14ac:dyDescent="0.2">
      <c r="B54" t="s">
        <v>132</v>
      </c>
      <c r="C54" s="12">
        <v>3</v>
      </c>
      <c r="D54" s="8">
        <v>5.56</v>
      </c>
      <c r="E54" s="12">
        <v>3</v>
      </c>
      <c r="F54" s="8">
        <v>9.3800000000000008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182</v>
      </c>
      <c r="C55" s="12">
        <v>3</v>
      </c>
      <c r="D55" s="8">
        <v>5.56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158</v>
      </c>
      <c r="C56" s="12">
        <v>2</v>
      </c>
      <c r="D56" s="8">
        <v>3.7</v>
      </c>
      <c r="E56" s="12">
        <v>2</v>
      </c>
      <c r="F56" s="8">
        <v>6.25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144</v>
      </c>
      <c r="C57" s="12">
        <v>2</v>
      </c>
      <c r="D57" s="8">
        <v>3.7</v>
      </c>
      <c r="E57" s="12">
        <v>1</v>
      </c>
      <c r="F57" s="8">
        <v>3.13</v>
      </c>
      <c r="G57" s="12">
        <v>1</v>
      </c>
      <c r="H57" s="8">
        <v>5.88</v>
      </c>
      <c r="I57" s="12">
        <v>0</v>
      </c>
    </row>
    <row r="58" spans="2:9" ht="15" customHeight="1" x14ac:dyDescent="0.2">
      <c r="B58" t="s">
        <v>130</v>
      </c>
      <c r="C58" s="12">
        <v>2</v>
      </c>
      <c r="D58" s="8">
        <v>3.7</v>
      </c>
      <c r="E58" s="12">
        <v>2</v>
      </c>
      <c r="F58" s="8">
        <v>6.25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135</v>
      </c>
      <c r="C59" s="12">
        <v>2</v>
      </c>
      <c r="D59" s="8">
        <v>3.7</v>
      </c>
      <c r="E59" s="12">
        <v>2</v>
      </c>
      <c r="F59" s="8">
        <v>6.25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136</v>
      </c>
      <c r="C60" s="12">
        <v>2</v>
      </c>
      <c r="D60" s="8">
        <v>3.7</v>
      </c>
      <c r="E60" s="12">
        <v>2</v>
      </c>
      <c r="F60" s="8">
        <v>6.25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141</v>
      </c>
      <c r="C61" s="12">
        <v>2</v>
      </c>
      <c r="D61" s="8">
        <v>3.7</v>
      </c>
      <c r="E61" s="12">
        <v>2</v>
      </c>
      <c r="F61" s="8">
        <v>6.25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187</v>
      </c>
      <c r="C62" s="12">
        <v>1</v>
      </c>
      <c r="D62" s="8">
        <v>1.85</v>
      </c>
      <c r="E62" s="12">
        <v>0</v>
      </c>
      <c r="F62" s="8">
        <v>0</v>
      </c>
      <c r="G62" s="12">
        <v>1</v>
      </c>
      <c r="H62" s="8">
        <v>5.88</v>
      </c>
      <c r="I62" s="12">
        <v>0</v>
      </c>
    </row>
    <row r="63" spans="2:9" ht="15" customHeight="1" x14ac:dyDescent="0.2">
      <c r="B63" t="s">
        <v>146</v>
      </c>
      <c r="C63" s="12">
        <v>1</v>
      </c>
      <c r="D63" s="8">
        <v>1.85</v>
      </c>
      <c r="E63" s="12">
        <v>0</v>
      </c>
      <c r="F63" s="8">
        <v>0</v>
      </c>
      <c r="G63" s="12">
        <v>1</v>
      </c>
      <c r="H63" s="8">
        <v>5.88</v>
      </c>
      <c r="I63" s="12">
        <v>0</v>
      </c>
    </row>
    <row r="64" spans="2:9" ht="15" customHeight="1" x14ac:dyDescent="0.2">
      <c r="B64" t="s">
        <v>251</v>
      </c>
      <c r="C64" s="12">
        <v>1</v>
      </c>
      <c r="D64" s="8">
        <v>1.85</v>
      </c>
      <c r="E64" s="12">
        <v>1</v>
      </c>
      <c r="F64" s="8">
        <v>3.13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252</v>
      </c>
      <c r="C65" s="12">
        <v>1</v>
      </c>
      <c r="D65" s="8">
        <v>1.85</v>
      </c>
      <c r="E65" s="12">
        <v>0</v>
      </c>
      <c r="F65" s="8">
        <v>0</v>
      </c>
      <c r="G65" s="12">
        <v>1</v>
      </c>
      <c r="H65" s="8">
        <v>5.88</v>
      </c>
      <c r="I65" s="12">
        <v>0</v>
      </c>
    </row>
    <row r="66" spans="2:9" ht="15" customHeight="1" x14ac:dyDescent="0.2">
      <c r="B66" t="s">
        <v>253</v>
      </c>
      <c r="C66" s="12">
        <v>1</v>
      </c>
      <c r="D66" s="8">
        <v>1.85</v>
      </c>
      <c r="E66" s="12">
        <v>0</v>
      </c>
      <c r="F66" s="8">
        <v>0</v>
      </c>
      <c r="G66" s="12">
        <v>1</v>
      </c>
      <c r="H66" s="8">
        <v>5.88</v>
      </c>
      <c r="I66" s="12">
        <v>0</v>
      </c>
    </row>
    <row r="67" spans="2:9" ht="15" customHeight="1" x14ac:dyDescent="0.2">
      <c r="B67" t="s">
        <v>163</v>
      </c>
      <c r="C67" s="12">
        <v>1</v>
      </c>
      <c r="D67" s="8">
        <v>1.85</v>
      </c>
      <c r="E67" s="12">
        <v>1</v>
      </c>
      <c r="F67" s="8">
        <v>3.13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254</v>
      </c>
      <c r="C68" s="12">
        <v>1</v>
      </c>
      <c r="D68" s="8">
        <v>1.85</v>
      </c>
      <c r="E68" s="12">
        <v>0</v>
      </c>
      <c r="F68" s="8">
        <v>0</v>
      </c>
      <c r="G68" s="12">
        <v>1</v>
      </c>
      <c r="H68" s="8">
        <v>5.88</v>
      </c>
      <c r="I68" s="12">
        <v>0</v>
      </c>
    </row>
    <row r="69" spans="2:9" ht="15" customHeight="1" x14ac:dyDescent="0.2">
      <c r="B69" t="s">
        <v>214</v>
      </c>
      <c r="C69" s="12">
        <v>1</v>
      </c>
      <c r="D69" s="8">
        <v>1.85</v>
      </c>
      <c r="E69" s="12">
        <v>0</v>
      </c>
      <c r="F69" s="8">
        <v>0</v>
      </c>
      <c r="G69" s="12">
        <v>1</v>
      </c>
      <c r="H69" s="8">
        <v>5.88</v>
      </c>
      <c r="I69" s="12">
        <v>0</v>
      </c>
    </row>
    <row r="70" spans="2:9" ht="15" customHeight="1" x14ac:dyDescent="0.2">
      <c r="B70" t="s">
        <v>231</v>
      </c>
      <c r="C70" s="12">
        <v>1</v>
      </c>
      <c r="D70" s="8">
        <v>1.85</v>
      </c>
      <c r="E70" s="12">
        <v>0</v>
      </c>
      <c r="F70" s="8">
        <v>0</v>
      </c>
      <c r="G70" s="12">
        <v>1</v>
      </c>
      <c r="H70" s="8">
        <v>5.88</v>
      </c>
      <c r="I70" s="12">
        <v>0</v>
      </c>
    </row>
    <row r="71" spans="2:9" ht="15" customHeight="1" x14ac:dyDescent="0.2">
      <c r="B71" t="s">
        <v>172</v>
      </c>
      <c r="C71" s="12">
        <v>1</v>
      </c>
      <c r="D71" s="8">
        <v>1.85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155</v>
      </c>
      <c r="C72" s="12">
        <v>1</v>
      </c>
      <c r="D72" s="8">
        <v>1.85</v>
      </c>
      <c r="E72" s="12">
        <v>1</v>
      </c>
      <c r="F72" s="8">
        <v>3.13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191</v>
      </c>
      <c r="C73" s="12">
        <v>1</v>
      </c>
      <c r="D73" s="8">
        <v>1.85</v>
      </c>
      <c r="E73" s="12">
        <v>0</v>
      </c>
      <c r="F73" s="8">
        <v>0</v>
      </c>
      <c r="G73" s="12">
        <v>1</v>
      </c>
      <c r="H73" s="8">
        <v>5.88</v>
      </c>
      <c r="I73" s="12">
        <v>0</v>
      </c>
    </row>
    <row r="74" spans="2:9" ht="15" customHeight="1" x14ac:dyDescent="0.2">
      <c r="B74" t="s">
        <v>255</v>
      </c>
      <c r="C74" s="12">
        <v>1</v>
      </c>
      <c r="D74" s="8">
        <v>1.85</v>
      </c>
      <c r="E74" s="12">
        <v>1</v>
      </c>
      <c r="F74" s="8">
        <v>3.13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256</v>
      </c>
      <c r="C75" s="12">
        <v>1</v>
      </c>
      <c r="D75" s="8">
        <v>1.85</v>
      </c>
      <c r="E75" s="12">
        <v>1</v>
      </c>
      <c r="F75" s="8">
        <v>3.13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175</v>
      </c>
      <c r="C76" s="12">
        <v>1</v>
      </c>
      <c r="D76" s="8">
        <v>1.85</v>
      </c>
      <c r="E76" s="12">
        <v>1</v>
      </c>
      <c r="F76" s="8">
        <v>3.13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159</v>
      </c>
      <c r="C77" s="12">
        <v>1</v>
      </c>
      <c r="D77" s="8">
        <v>1.85</v>
      </c>
      <c r="E77" s="12">
        <v>1</v>
      </c>
      <c r="F77" s="8">
        <v>3.13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160</v>
      </c>
      <c r="C78" s="12">
        <v>1</v>
      </c>
      <c r="D78" s="8">
        <v>1.85</v>
      </c>
      <c r="E78" s="12">
        <v>0</v>
      </c>
      <c r="F78" s="8">
        <v>0</v>
      </c>
      <c r="G78" s="12">
        <v>1</v>
      </c>
      <c r="H78" s="8">
        <v>5.88</v>
      </c>
      <c r="I78" s="12">
        <v>0</v>
      </c>
    </row>
    <row r="79" spans="2:9" ht="15" customHeight="1" x14ac:dyDescent="0.2">
      <c r="B79" t="s">
        <v>217</v>
      </c>
      <c r="C79" s="12">
        <v>1</v>
      </c>
      <c r="D79" s="8">
        <v>1.85</v>
      </c>
      <c r="E79" s="12">
        <v>1</v>
      </c>
      <c r="F79" s="8">
        <v>3.13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129</v>
      </c>
      <c r="C80" s="12">
        <v>1</v>
      </c>
      <c r="D80" s="8">
        <v>1.85</v>
      </c>
      <c r="E80" s="12">
        <v>0</v>
      </c>
      <c r="F80" s="8">
        <v>0</v>
      </c>
      <c r="G80" s="12">
        <v>1</v>
      </c>
      <c r="H80" s="8">
        <v>5.88</v>
      </c>
      <c r="I80" s="12">
        <v>0</v>
      </c>
    </row>
    <row r="81" spans="2:9" ht="15" customHeight="1" x14ac:dyDescent="0.2">
      <c r="B81" t="s">
        <v>149</v>
      </c>
      <c r="C81" s="12">
        <v>1</v>
      </c>
      <c r="D81" s="8">
        <v>1.85</v>
      </c>
      <c r="E81" s="12">
        <v>1</v>
      </c>
      <c r="F81" s="8">
        <v>3.13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133</v>
      </c>
      <c r="C82" s="12">
        <v>1</v>
      </c>
      <c r="D82" s="8">
        <v>1.85</v>
      </c>
      <c r="E82" s="12">
        <v>1</v>
      </c>
      <c r="F82" s="8">
        <v>3.13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206</v>
      </c>
      <c r="C83" s="12">
        <v>1</v>
      </c>
      <c r="D83" s="8">
        <v>1.85</v>
      </c>
      <c r="E83" s="12">
        <v>1</v>
      </c>
      <c r="F83" s="8">
        <v>3.13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150</v>
      </c>
      <c r="C84" s="12">
        <v>1</v>
      </c>
      <c r="D84" s="8">
        <v>1.85</v>
      </c>
      <c r="E84" s="12">
        <v>1</v>
      </c>
      <c r="F84" s="8">
        <v>3.13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196</v>
      </c>
      <c r="C85" s="12">
        <v>1</v>
      </c>
      <c r="D85" s="8">
        <v>1.85</v>
      </c>
      <c r="E85" s="12">
        <v>1</v>
      </c>
      <c r="F85" s="8">
        <v>3.13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183</v>
      </c>
      <c r="C86" s="12">
        <v>1</v>
      </c>
      <c r="D86" s="8">
        <v>1.85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8" spans="2:9" ht="15" customHeight="1" x14ac:dyDescent="0.2">
      <c r="B88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C496-24BA-46B3-ABC3-D008558EA703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303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8</v>
      </c>
      <c r="D6" s="8">
        <v>2.34</v>
      </c>
      <c r="E6" s="12">
        <v>1</v>
      </c>
      <c r="F6" s="8">
        <v>0.38</v>
      </c>
      <c r="G6" s="12">
        <v>7</v>
      </c>
      <c r="H6" s="8">
        <v>9.86</v>
      </c>
      <c r="I6" s="12">
        <v>0</v>
      </c>
    </row>
    <row r="7" spans="2:9" ht="15" customHeight="1" x14ac:dyDescent="0.2">
      <c r="B7" t="s">
        <v>44</v>
      </c>
      <c r="C7" s="12">
        <v>23</v>
      </c>
      <c r="D7" s="8">
        <v>6.73</v>
      </c>
      <c r="E7" s="12">
        <v>11</v>
      </c>
      <c r="F7" s="8">
        <v>4.1500000000000004</v>
      </c>
      <c r="G7" s="12">
        <v>12</v>
      </c>
      <c r="H7" s="8">
        <v>16.899999999999999</v>
      </c>
      <c r="I7" s="12">
        <v>0</v>
      </c>
    </row>
    <row r="8" spans="2:9" ht="15" customHeight="1" x14ac:dyDescent="0.2">
      <c r="B8" t="s">
        <v>45</v>
      </c>
      <c r="C8" s="12">
        <v>1</v>
      </c>
      <c r="D8" s="8">
        <v>0.28999999999999998</v>
      </c>
      <c r="E8" s="12">
        <v>0</v>
      </c>
      <c r="F8" s="8">
        <v>0</v>
      </c>
      <c r="G8" s="12">
        <v>1</v>
      </c>
      <c r="H8" s="8">
        <v>1.41</v>
      </c>
      <c r="I8" s="12">
        <v>0</v>
      </c>
    </row>
    <row r="9" spans="2:9" ht="15" customHeight="1" x14ac:dyDescent="0.2">
      <c r="B9" t="s">
        <v>46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47</v>
      </c>
      <c r="C10" s="12">
        <v>21</v>
      </c>
      <c r="D10" s="8">
        <v>6.14</v>
      </c>
      <c r="E10" s="12">
        <v>12</v>
      </c>
      <c r="F10" s="8">
        <v>4.53</v>
      </c>
      <c r="G10" s="12">
        <v>8</v>
      </c>
      <c r="H10" s="8">
        <v>11.27</v>
      </c>
      <c r="I10" s="12">
        <v>0</v>
      </c>
    </row>
    <row r="11" spans="2:9" ht="15" customHeight="1" x14ac:dyDescent="0.2">
      <c r="B11" t="s">
        <v>48</v>
      </c>
      <c r="C11" s="12">
        <v>46</v>
      </c>
      <c r="D11" s="8">
        <v>13.45</v>
      </c>
      <c r="E11" s="12">
        <v>34</v>
      </c>
      <c r="F11" s="8">
        <v>12.83</v>
      </c>
      <c r="G11" s="12">
        <v>11</v>
      </c>
      <c r="H11" s="8">
        <v>15.49</v>
      </c>
      <c r="I11" s="12">
        <v>1</v>
      </c>
    </row>
    <row r="12" spans="2:9" ht="15" customHeight="1" x14ac:dyDescent="0.2">
      <c r="B12" t="s">
        <v>49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50</v>
      </c>
      <c r="C13" s="12">
        <v>19</v>
      </c>
      <c r="D13" s="8">
        <v>5.56</v>
      </c>
      <c r="E13" s="12">
        <v>12</v>
      </c>
      <c r="F13" s="8">
        <v>4.53</v>
      </c>
      <c r="G13" s="12">
        <v>7</v>
      </c>
      <c r="H13" s="8">
        <v>9.86</v>
      </c>
      <c r="I13" s="12">
        <v>0</v>
      </c>
    </row>
    <row r="14" spans="2:9" ht="15" customHeight="1" x14ac:dyDescent="0.2">
      <c r="B14" t="s">
        <v>51</v>
      </c>
      <c r="C14" s="12">
        <v>6</v>
      </c>
      <c r="D14" s="8">
        <v>1.75</v>
      </c>
      <c r="E14" s="12">
        <v>1</v>
      </c>
      <c r="F14" s="8">
        <v>0.38</v>
      </c>
      <c r="G14" s="12">
        <v>5</v>
      </c>
      <c r="H14" s="8">
        <v>7.04</v>
      </c>
      <c r="I14" s="12">
        <v>0</v>
      </c>
    </row>
    <row r="15" spans="2:9" ht="15" customHeight="1" x14ac:dyDescent="0.2">
      <c r="B15" t="s">
        <v>52</v>
      </c>
      <c r="C15" s="12">
        <v>140</v>
      </c>
      <c r="D15" s="8">
        <v>40.94</v>
      </c>
      <c r="E15" s="12">
        <v>133</v>
      </c>
      <c r="F15" s="8">
        <v>50.19</v>
      </c>
      <c r="G15" s="12">
        <v>6</v>
      </c>
      <c r="H15" s="8">
        <v>8.4499999999999993</v>
      </c>
      <c r="I15" s="12">
        <v>0</v>
      </c>
    </row>
    <row r="16" spans="2:9" ht="15" customHeight="1" x14ac:dyDescent="0.2">
      <c r="B16" t="s">
        <v>53</v>
      </c>
      <c r="C16" s="12">
        <v>68</v>
      </c>
      <c r="D16" s="8">
        <v>19.88</v>
      </c>
      <c r="E16" s="12">
        <v>56</v>
      </c>
      <c r="F16" s="8">
        <v>21.13</v>
      </c>
      <c r="G16" s="12">
        <v>12</v>
      </c>
      <c r="H16" s="8">
        <v>16.899999999999999</v>
      </c>
      <c r="I16" s="12">
        <v>0</v>
      </c>
    </row>
    <row r="17" spans="2:9" ht="15" customHeight="1" x14ac:dyDescent="0.2">
      <c r="B17" t="s">
        <v>54</v>
      </c>
      <c r="C17" s="12">
        <v>3</v>
      </c>
      <c r="D17" s="8">
        <v>0.88</v>
      </c>
      <c r="E17" s="12">
        <v>2</v>
      </c>
      <c r="F17" s="8">
        <v>0.75</v>
      </c>
      <c r="G17" s="12">
        <v>0</v>
      </c>
      <c r="H17" s="8">
        <v>0</v>
      </c>
      <c r="I17" s="12">
        <v>1</v>
      </c>
    </row>
    <row r="18" spans="2:9" ht="15" customHeight="1" x14ac:dyDescent="0.2">
      <c r="B18" t="s">
        <v>55</v>
      </c>
      <c r="C18" s="12">
        <v>4</v>
      </c>
      <c r="D18" s="8">
        <v>1.17</v>
      </c>
      <c r="E18" s="12">
        <v>1</v>
      </c>
      <c r="F18" s="8">
        <v>0.38</v>
      </c>
      <c r="G18" s="12">
        <v>1</v>
      </c>
      <c r="H18" s="8">
        <v>1.41</v>
      </c>
      <c r="I18" s="12">
        <v>0</v>
      </c>
    </row>
    <row r="19" spans="2:9" ht="15" customHeight="1" x14ac:dyDescent="0.2">
      <c r="B19" t="s">
        <v>56</v>
      </c>
      <c r="C19" s="12">
        <v>3</v>
      </c>
      <c r="D19" s="8">
        <v>0.88</v>
      </c>
      <c r="E19" s="12">
        <v>2</v>
      </c>
      <c r="F19" s="8">
        <v>0.75</v>
      </c>
      <c r="G19" s="12">
        <v>1</v>
      </c>
      <c r="H19" s="8">
        <v>1.41</v>
      </c>
      <c r="I19" s="12">
        <v>0</v>
      </c>
    </row>
    <row r="20" spans="2:9" ht="15" customHeight="1" x14ac:dyDescent="0.2">
      <c r="B20" s="9" t="s">
        <v>260</v>
      </c>
      <c r="C20" s="12">
        <f>SUM(LTBL_47381[総数／事業所数])</f>
        <v>342</v>
      </c>
      <c r="E20" s="12">
        <f>SUBTOTAL(109,LTBL_47381[個人／事業所数])</f>
        <v>265</v>
      </c>
      <c r="G20" s="12">
        <f>SUBTOTAL(109,LTBL_47381[法人／事業所数])</f>
        <v>71</v>
      </c>
      <c r="I20" s="12">
        <f>SUBTOTAL(109,LTBL_47381[法人以外の団体／事業所数])</f>
        <v>2</v>
      </c>
    </row>
    <row r="21" spans="2:9" ht="15" customHeight="1" x14ac:dyDescent="0.2">
      <c r="E21" s="11">
        <f>LTBL_47381[[#Totals],[個人／事業所数]]/LTBL_47381[[#Totals],[総数／事業所数]]</f>
        <v>0.77485380116959068</v>
      </c>
      <c r="G21" s="11">
        <f>LTBL_47381[[#Totals],[法人／事業所数]]/LTBL_47381[[#Totals],[総数／事業所数]]</f>
        <v>0.20760233918128654</v>
      </c>
      <c r="I21" s="11">
        <f>LTBL_47381[[#Totals],[法人以外の団体／事業所数]]/LTBL_47381[[#Totals],[総数／事業所数]]</f>
        <v>5.8479532163742687E-3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76</v>
      </c>
      <c r="C24" s="12">
        <v>82</v>
      </c>
      <c r="D24" s="8">
        <v>23.98</v>
      </c>
      <c r="E24" s="12">
        <v>77</v>
      </c>
      <c r="F24" s="8">
        <v>29.06</v>
      </c>
      <c r="G24" s="12">
        <v>4</v>
      </c>
      <c r="H24" s="8">
        <v>5.63</v>
      </c>
      <c r="I24" s="12">
        <v>0</v>
      </c>
    </row>
    <row r="25" spans="2:9" ht="15" customHeight="1" x14ac:dyDescent="0.2">
      <c r="B25" t="s">
        <v>77</v>
      </c>
      <c r="C25" s="12">
        <v>57</v>
      </c>
      <c r="D25" s="8">
        <v>16.670000000000002</v>
      </c>
      <c r="E25" s="12">
        <v>55</v>
      </c>
      <c r="F25" s="8">
        <v>20.75</v>
      </c>
      <c r="G25" s="12">
        <v>2</v>
      </c>
      <c r="H25" s="8">
        <v>2.82</v>
      </c>
      <c r="I25" s="12">
        <v>0</v>
      </c>
    </row>
    <row r="26" spans="2:9" ht="15" customHeight="1" x14ac:dyDescent="0.2">
      <c r="B26" t="s">
        <v>80</v>
      </c>
      <c r="C26" s="12">
        <v>50</v>
      </c>
      <c r="D26" s="8">
        <v>14.62</v>
      </c>
      <c r="E26" s="12">
        <v>41</v>
      </c>
      <c r="F26" s="8">
        <v>15.47</v>
      </c>
      <c r="G26" s="12">
        <v>9</v>
      </c>
      <c r="H26" s="8">
        <v>12.68</v>
      </c>
      <c r="I26" s="12">
        <v>0</v>
      </c>
    </row>
    <row r="27" spans="2:9" ht="15" customHeight="1" x14ac:dyDescent="0.2">
      <c r="B27" t="s">
        <v>71</v>
      </c>
      <c r="C27" s="12">
        <v>24</v>
      </c>
      <c r="D27" s="8">
        <v>7.02</v>
      </c>
      <c r="E27" s="12">
        <v>15</v>
      </c>
      <c r="F27" s="8">
        <v>5.66</v>
      </c>
      <c r="G27" s="12">
        <v>9</v>
      </c>
      <c r="H27" s="8">
        <v>12.68</v>
      </c>
      <c r="I27" s="12">
        <v>0</v>
      </c>
    </row>
    <row r="28" spans="2:9" ht="15" customHeight="1" x14ac:dyDescent="0.2">
      <c r="B28" t="s">
        <v>69</v>
      </c>
      <c r="C28" s="12">
        <v>16</v>
      </c>
      <c r="D28" s="8">
        <v>4.68</v>
      </c>
      <c r="E28" s="12">
        <v>13</v>
      </c>
      <c r="F28" s="8">
        <v>4.91</v>
      </c>
      <c r="G28" s="12">
        <v>2</v>
      </c>
      <c r="H28" s="8">
        <v>2.82</v>
      </c>
      <c r="I28" s="12">
        <v>1</v>
      </c>
    </row>
    <row r="29" spans="2:9" ht="15" customHeight="1" x14ac:dyDescent="0.2">
      <c r="B29" t="s">
        <v>94</v>
      </c>
      <c r="C29" s="12">
        <v>16</v>
      </c>
      <c r="D29" s="8">
        <v>4.68</v>
      </c>
      <c r="E29" s="12">
        <v>9</v>
      </c>
      <c r="F29" s="8">
        <v>3.4</v>
      </c>
      <c r="G29" s="12">
        <v>7</v>
      </c>
      <c r="H29" s="8">
        <v>9.86</v>
      </c>
      <c r="I29" s="12">
        <v>0</v>
      </c>
    </row>
    <row r="30" spans="2:9" ht="15" customHeight="1" x14ac:dyDescent="0.2">
      <c r="B30" t="s">
        <v>79</v>
      </c>
      <c r="C30" s="12">
        <v>14</v>
      </c>
      <c r="D30" s="8">
        <v>4.09</v>
      </c>
      <c r="E30" s="12">
        <v>12</v>
      </c>
      <c r="F30" s="8">
        <v>4.53</v>
      </c>
      <c r="G30" s="12">
        <v>2</v>
      </c>
      <c r="H30" s="8">
        <v>2.82</v>
      </c>
      <c r="I30" s="12">
        <v>0</v>
      </c>
    </row>
    <row r="31" spans="2:9" ht="15" customHeight="1" x14ac:dyDescent="0.2">
      <c r="B31" t="s">
        <v>93</v>
      </c>
      <c r="C31" s="12">
        <v>9</v>
      </c>
      <c r="D31" s="8">
        <v>2.63</v>
      </c>
      <c r="E31" s="12">
        <v>8</v>
      </c>
      <c r="F31" s="8">
        <v>3.02</v>
      </c>
      <c r="G31" s="12">
        <v>1</v>
      </c>
      <c r="H31" s="8">
        <v>1.41</v>
      </c>
      <c r="I31" s="12">
        <v>0</v>
      </c>
    </row>
    <row r="32" spans="2:9" ht="15" customHeight="1" x14ac:dyDescent="0.2">
      <c r="B32" t="s">
        <v>88</v>
      </c>
      <c r="C32" s="12">
        <v>7</v>
      </c>
      <c r="D32" s="8">
        <v>2.0499999999999998</v>
      </c>
      <c r="E32" s="12">
        <v>6</v>
      </c>
      <c r="F32" s="8">
        <v>2.2599999999999998</v>
      </c>
      <c r="G32" s="12">
        <v>1</v>
      </c>
      <c r="H32" s="8">
        <v>1.41</v>
      </c>
      <c r="I32" s="12">
        <v>0</v>
      </c>
    </row>
    <row r="33" spans="2:9" ht="15" customHeight="1" x14ac:dyDescent="0.2">
      <c r="B33" t="s">
        <v>95</v>
      </c>
      <c r="C33" s="12">
        <v>6</v>
      </c>
      <c r="D33" s="8">
        <v>1.75</v>
      </c>
      <c r="E33" s="12">
        <v>2</v>
      </c>
      <c r="F33" s="8">
        <v>0.75</v>
      </c>
      <c r="G33" s="12">
        <v>4</v>
      </c>
      <c r="H33" s="8">
        <v>5.63</v>
      </c>
      <c r="I33" s="12">
        <v>0</v>
      </c>
    </row>
    <row r="34" spans="2:9" ht="15" customHeight="1" x14ac:dyDescent="0.2">
      <c r="B34" t="s">
        <v>68</v>
      </c>
      <c r="C34" s="12">
        <v>6</v>
      </c>
      <c r="D34" s="8">
        <v>1.75</v>
      </c>
      <c r="E34" s="12">
        <v>6</v>
      </c>
      <c r="F34" s="8">
        <v>2.2599999999999998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65</v>
      </c>
      <c r="C35" s="12">
        <v>5</v>
      </c>
      <c r="D35" s="8">
        <v>1.46</v>
      </c>
      <c r="E35" s="12">
        <v>1</v>
      </c>
      <c r="F35" s="8">
        <v>0.38</v>
      </c>
      <c r="G35" s="12">
        <v>4</v>
      </c>
      <c r="H35" s="8">
        <v>5.63</v>
      </c>
      <c r="I35" s="12">
        <v>0</v>
      </c>
    </row>
    <row r="36" spans="2:9" ht="15" customHeight="1" x14ac:dyDescent="0.2">
      <c r="B36" t="s">
        <v>115</v>
      </c>
      <c r="C36" s="12">
        <v>5</v>
      </c>
      <c r="D36" s="8">
        <v>1.46</v>
      </c>
      <c r="E36" s="12">
        <v>0</v>
      </c>
      <c r="F36" s="8">
        <v>0</v>
      </c>
      <c r="G36" s="12">
        <v>5</v>
      </c>
      <c r="H36" s="8">
        <v>7.04</v>
      </c>
      <c r="I36" s="12">
        <v>0</v>
      </c>
    </row>
    <row r="37" spans="2:9" ht="15" customHeight="1" x14ac:dyDescent="0.2">
      <c r="B37" t="s">
        <v>103</v>
      </c>
      <c r="C37" s="12">
        <v>5</v>
      </c>
      <c r="D37" s="8">
        <v>1.46</v>
      </c>
      <c r="E37" s="12">
        <v>3</v>
      </c>
      <c r="F37" s="8">
        <v>1.1299999999999999</v>
      </c>
      <c r="G37" s="12">
        <v>1</v>
      </c>
      <c r="H37" s="8">
        <v>1.41</v>
      </c>
      <c r="I37" s="12">
        <v>0</v>
      </c>
    </row>
    <row r="38" spans="2:9" ht="15" customHeight="1" x14ac:dyDescent="0.2">
      <c r="B38" t="s">
        <v>78</v>
      </c>
      <c r="C38" s="12">
        <v>4</v>
      </c>
      <c r="D38" s="8">
        <v>1.17</v>
      </c>
      <c r="E38" s="12">
        <v>3</v>
      </c>
      <c r="F38" s="8">
        <v>1.1299999999999999</v>
      </c>
      <c r="G38" s="12">
        <v>1</v>
      </c>
      <c r="H38" s="8">
        <v>1.41</v>
      </c>
      <c r="I38" s="12">
        <v>0</v>
      </c>
    </row>
    <row r="39" spans="2:9" ht="15" customHeight="1" x14ac:dyDescent="0.2">
      <c r="B39" t="s">
        <v>67</v>
      </c>
      <c r="C39" s="12">
        <v>3</v>
      </c>
      <c r="D39" s="8">
        <v>0.88</v>
      </c>
      <c r="E39" s="12">
        <v>0</v>
      </c>
      <c r="F39" s="8">
        <v>0</v>
      </c>
      <c r="G39" s="12">
        <v>3</v>
      </c>
      <c r="H39" s="8">
        <v>4.2300000000000004</v>
      </c>
      <c r="I39" s="12">
        <v>0</v>
      </c>
    </row>
    <row r="40" spans="2:9" ht="15" customHeight="1" x14ac:dyDescent="0.2">
      <c r="B40" t="s">
        <v>98</v>
      </c>
      <c r="C40" s="12">
        <v>3</v>
      </c>
      <c r="D40" s="8">
        <v>0.88</v>
      </c>
      <c r="E40" s="12">
        <v>0</v>
      </c>
      <c r="F40" s="8">
        <v>0</v>
      </c>
      <c r="G40" s="12">
        <v>3</v>
      </c>
      <c r="H40" s="8">
        <v>4.2300000000000004</v>
      </c>
      <c r="I40" s="12">
        <v>0</v>
      </c>
    </row>
    <row r="41" spans="2:9" ht="15" customHeight="1" x14ac:dyDescent="0.2">
      <c r="B41" t="s">
        <v>118</v>
      </c>
      <c r="C41" s="12">
        <v>3</v>
      </c>
      <c r="D41" s="8">
        <v>0.88</v>
      </c>
      <c r="E41" s="12">
        <v>0</v>
      </c>
      <c r="F41" s="8">
        <v>0</v>
      </c>
      <c r="G41" s="12">
        <v>3</v>
      </c>
      <c r="H41" s="8">
        <v>4.2300000000000004</v>
      </c>
      <c r="I41" s="12">
        <v>0</v>
      </c>
    </row>
    <row r="42" spans="2:9" ht="15" customHeight="1" x14ac:dyDescent="0.2">
      <c r="B42" t="s">
        <v>73</v>
      </c>
      <c r="C42" s="12">
        <v>3</v>
      </c>
      <c r="D42" s="8">
        <v>0.88</v>
      </c>
      <c r="E42" s="12">
        <v>3</v>
      </c>
      <c r="F42" s="8">
        <v>1.1299999999999999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116</v>
      </c>
      <c r="C43" s="12">
        <v>3</v>
      </c>
      <c r="D43" s="8">
        <v>0.88</v>
      </c>
      <c r="E43" s="12">
        <v>0</v>
      </c>
      <c r="F43" s="8">
        <v>0</v>
      </c>
      <c r="G43" s="12">
        <v>3</v>
      </c>
      <c r="H43" s="8">
        <v>4.2300000000000004</v>
      </c>
      <c r="I43" s="12">
        <v>0</v>
      </c>
    </row>
    <row r="44" spans="2:9" ht="15" customHeight="1" x14ac:dyDescent="0.2">
      <c r="B44" t="s">
        <v>75</v>
      </c>
      <c r="C44" s="12">
        <v>3</v>
      </c>
      <c r="D44" s="8">
        <v>0.88</v>
      </c>
      <c r="E44" s="12">
        <v>1</v>
      </c>
      <c r="F44" s="8">
        <v>0.38</v>
      </c>
      <c r="G44" s="12">
        <v>2</v>
      </c>
      <c r="H44" s="8">
        <v>2.82</v>
      </c>
      <c r="I44" s="12">
        <v>0</v>
      </c>
    </row>
    <row r="45" spans="2:9" ht="15" customHeight="1" x14ac:dyDescent="0.2">
      <c r="B45" t="s">
        <v>81</v>
      </c>
      <c r="C45" s="12">
        <v>3</v>
      </c>
      <c r="D45" s="8">
        <v>0.88</v>
      </c>
      <c r="E45" s="12">
        <v>2</v>
      </c>
      <c r="F45" s="8">
        <v>0.75</v>
      </c>
      <c r="G45" s="12">
        <v>0</v>
      </c>
      <c r="H45" s="8">
        <v>0</v>
      </c>
      <c r="I45" s="12">
        <v>1</v>
      </c>
    </row>
    <row r="48" spans="2:9" ht="33" customHeight="1" x14ac:dyDescent="0.2">
      <c r="B48" t="s">
        <v>262</v>
      </c>
      <c r="C48" s="10" t="s">
        <v>58</v>
      </c>
      <c r="D48" s="10" t="s">
        <v>59</v>
      </c>
      <c r="E48" s="10" t="s">
        <v>60</v>
      </c>
      <c r="F48" s="10" t="s">
        <v>61</v>
      </c>
      <c r="G48" s="10" t="s">
        <v>62</v>
      </c>
      <c r="H48" s="10" t="s">
        <v>63</v>
      </c>
      <c r="I48" s="10" t="s">
        <v>64</v>
      </c>
    </row>
    <row r="49" spans="2:9" ht="15" customHeight="1" x14ac:dyDescent="0.2">
      <c r="B49" t="s">
        <v>130</v>
      </c>
      <c r="C49" s="12">
        <v>74</v>
      </c>
      <c r="D49" s="8">
        <v>21.64</v>
      </c>
      <c r="E49" s="12">
        <v>71</v>
      </c>
      <c r="F49" s="8">
        <v>26.79</v>
      </c>
      <c r="G49" s="12">
        <v>3</v>
      </c>
      <c r="H49" s="8">
        <v>4.2300000000000004</v>
      </c>
      <c r="I49" s="12">
        <v>0</v>
      </c>
    </row>
    <row r="50" spans="2:9" ht="15" customHeight="1" x14ac:dyDescent="0.2">
      <c r="B50" t="s">
        <v>150</v>
      </c>
      <c r="C50" s="12">
        <v>50</v>
      </c>
      <c r="D50" s="8">
        <v>14.62</v>
      </c>
      <c r="E50" s="12">
        <v>41</v>
      </c>
      <c r="F50" s="8">
        <v>15.47</v>
      </c>
      <c r="G50" s="12">
        <v>9</v>
      </c>
      <c r="H50" s="8">
        <v>12.68</v>
      </c>
      <c r="I50" s="12">
        <v>0</v>
      </c>
    </row>
    <row r="51" spans="2:9" ht="15" customHeight="1" x14ac:dyDescent="0.2">
      <c r="B51" t="s">
        <v>134</v>
      </c>
      <c r="C51" s="12">
        <v>14</v>
      </c>
      <c r="D51" s="8">
        <v>4.09</v>
      </c>
      <c r="E51" s="12">
        <v>14</v>
      </c>
      <c r="F51" s="8">
        <v>5.28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194</v>
      </c>
      <c r="C52" s="12">
        <v>14</v>
      </c>
      <c r="D52" s="8">
        <v>4.09</v>
      </c>
      <c r="E52" s="12">
        <v>12</v>
      </c>
      <c r="F52" s="8">
        <v>4.53</v>
      </c>
      <c r="G52" s="12">
        <v>2</v>
      </c>
      <c r="H52" s="8">
        <v>2.82</v>
      </c>
      <c r="I52" s="12">
        <v>0</v>
      </c>
    </row>
    <row r="53" spans="2:9" ht="15" customHeight="1" x14ac:dyDescent="0.2">
      <c r="B53" t="s">
        <v>160</v>
      </c>
      <c r="C53" s="12">
        <v>12</v>
      </c>
      <c r="D53" s="8">
        <v>3.51</v>
      </c>
      <c r="E53" s="12">
        <v>6</v>
      </c>
      <c r="F53" s="8">
        <v>2.2599999999999998</v>
      </c>
      <c r="G53" s="12">
        <v>6</v>
      </c>
      <c r="H53" s="8">
        <v>8.4499999999999993</v>
      </c>
      <c r="I53" s="12">
        <v>0</v>
      </c>
    </row>
    <row r="54" spans="2:9" ht="15" customHeight="1" x14ac:dyDescent="0.2">
      <c r="B54" t="s">
        <v>149</v>
      </c>
      <c r="C54" s="12">
        <v>12</v>
      </c>
      <c r="D54" s="8">
        <v>3.51</v>
      </c>
      <c r="E54" s="12">
        <v>11</v>
      </c>
      <c r="F54" s="8">
        <v>4.1500000000000004</v>
      </c>
      <c r="G54" s="12">
        <v>1</v>
      </c>
      <c r="H54" s="8">
        <v>1.41</v>
      </c>
      <c r="I54" s="12">
        <v>0</v>
      </c>
    </row>
    <row r="55" spans="2:9" ht="15" customHeight="1" x14ac:dyDescent="0.2">
      <c r="B55" t="s">
        <v>217</v>
      </c>
      <c r="C55" s="12">
        <v>11</v>
      </c>
      <c r="D55" s="8">
        <v>3.22</v>
      </c>
      <c r="E55" s="12">
        <v>4</v>
      </c>
      <c r="F55" s="8">
        <v>1.51</v>
      </c>
      <c r="G55" s="12">
        <v>7</v>
      </c>
      <c r="H55" s="8">
        <v>9.86</v>
      </c>
      <c r="I55" s="12">
        <v>0</v>
      </c>
    </row>
    <row r="56" spans="2:9" ht="15" customHeight="1" x14ac:dyDescent="0.2">
      <c r="B56" t="s">
        <v>123</v>
      </c>
      <c r="C56" s="12">
        <v>9</v>
      </c>
      <c r="D56" s="8">
        <v>2.63</v>
      </c>
      <c r="E56" s="12">
        <v>9</v>
      </c>
      <c r="F56" s="8">
        <v>3.4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155</v>
      </c>
      <c r="C57" s="12">
        <v>8</v>
      </c>
      <c r="D57" s="8">
        <v>2.34</v>
      </c>
      <c r="E57" s="12">
        <v>7</v>
      </c>
      <c r="F57" s="8">
        <v>2.64</v>
      </c>
      <c r="G57" s="12">
        <v>1</v>
      </c>
      <c r="H57" s="8">
        <v>1.41</v>
      </c>
      <c r="I57" s="12">
        <v>0</v>
      </c>
    </row>
    <row r="58" spans="2:9" ht="15" customHeight="1" x14ac:dyDescent="0.2">
      <c r="B58" t="s">
        <v>131</v>
      </c>
      <c r="C58" s="12">
        <v>8</v>
      </c>
      <c r="D58" s="8">
        <v>2.34</v>
      </c>
      <c r="E58" s="12">
        <v>8</v>
      </c>
      <c r="F58" s="8">
        <v>3.02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132</v>
      </c>
      <c r="C59" s="12">
        <v>8</v>
      </c>
      <c r="D59" s="8">
        <v>2.34</v>
      </c>
      <c r="E59" s="12">
        <v>8</v>
      </c>
      <c r="F59" s="8">
        <v>3.02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200</v>
      </c>
      <c r="C60" s="12">
        <v>7</v>
      </c>
      <c r="D60" s="8">
        <v>2.0499999999999998</v>
      </c>
      <c r="E60" s="12">
        <v>7</v>
      </c>
      <c r="F60" s="8">
        <v>2.64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143</v>
      </c>
      <c r="C61" s="12">
        <v>6</v>
      </c>
      <c r="D61" s="8">
        <v>1.75</v>
      </c>
      <c r="E61" s="12">
        <v>6</v>
      </c>
      <c r="F61" s="8">
        <v>2.2599999999999998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159</v>
      </c>
      <c r="C62" s="12">
        <v>5</v>
      </c>
      <c r="D62" s="8">
        <v>1.46</v>
      </c>
      <c r="E62" s="12">
        <v>5</v>
      </c>
      <c r="F62" s="8">
        <v>1.89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227</v>
      </c>
      <c r="C63" s="12">
        <v>5</v>
      </c>
      <c r="D63" s="8">
        <v>1.46</v>
      </c>
      <c r="E63" s="12">
        <v>5</v>
      </c>
      <c r="F63" s="8">
        <v>1.89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148</v>
      </c>
      <c r="C64" s="12">
        <v>5</v>
      </c>
      <c r="D64" s="8">
        <v>1.46</v>
      </c>
      <c r="E64" s="12">
        <v>5</v>
      </c>
      <c r="F64" s="8">
        <v>1.89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122</v>
      </c>
      <c r="C65" s="12">
        <v>4</v>
      </c>
      <c r="D65" s="8">
        <v>1.17</v>
      </c>
      <c r="E65" s="12">
        <v>1</v>
      </c>
      <c r="F65" s="8">
        <v>0.38</v>
      </c>
      <c r="G65" s="12">
        <v>3</v>
      </c>
      <c r="H65" s="8">
        <v>4.2300000000000004</v>
      </c>
      <c r="I65" s="12">
        <v>0</v>
      </c>
    </row>
    <row r="66" spans="2:9" ht="15" customHeight="1" x14ac:dyDescent="0.2">
      <c r="B66" t="s">
        <v>214</v>
      </c>
      <c r="C66" s="12">
        <v>4</v>
      </c>
      <c r="D66" s="8">
        <v>1.17</v>
      </c>
      <c r="E66" s="12">
        <v>0</v>
      </c>
      <c r="F66" s="8">
        <v>0</v>
      </c>
      <c r="G66" s="12">
        <v>4</v>
      </c>
      <c r="H66" s="8">
        <v>5.63</v>
      </c>
      <c r="I66" s="12">
        <v>0</v>
      </c>
    </row>
    <row r="67" spans="2:9" ht="15" customHeight="1" x14ac:dyDescent="0.2">
      <c r="B67" t="s">
        <v>126</v>
      </c>
      <c r="C67" s="12">
        <v>4</v>
      </c>
      <c r="D67" s="8">
        <v>1.17</v>
      </c>
      <c r="E67" s="12">
        <v>3</v>
      </c>
      <c r="F67" s="8">
        <v>1.1299999999999999</v>
      </c>
      <c r="G67" s="12">
        <v>1</v>
      </c>
      <c r="H67" s="8">
        <v>1.41</v>
      </c>
      <c r="I67" s="12">
        <v>0</v>
      </c>
    </row>
    <row r="68" spans="2:9" ht="15" customHeight="1" x14ac:dyDescent="0.2">
      <c r="B68" t="s">
        <v>161</v>
      </c>
      <c r="C68" s="12">
        <v>4</v>
      </c>
      <c r="D68" s="8">
        <v>1.17</v>
      </c>
      <c r="E68" s="12">
        <v>4</v>
      </c>
      <c r="F68" s="8">
        <v>1.51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F50B-2732-4A6E-9773-468E365F8ABE}">
  <sheetPr>
    <pageSetUpPr fitToPage="1"/>
  </sheetPr>
  <dimension ref="B2:I8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304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43</v>
      </c>
      <c r="C6" s="12">
        <v>5</v>
      </c>
      <c r="D6" s="8">
        <v>3.6</v>
      </c>
      <c r="E6" s="12">
        <v>2</v>
      </c>
      <c r="F6" s="8">
        <v>1.9</v>
      </c>
      <c r="G6" s="12">
        <v>3</v>
      </c>
      <c r="H6" s="8">
        <v>10.71</v>
      </c>
      <c r="I6" s="12">
        <v>0</v>
      </c>
    </row>
    <row r="7" spans="2:9" ht="15" customHeight="1" x14ac:dyDescent="0.2">
      <c r="B7" t="s">
        <v>44</v>
      </c>
      <c r="C7" s="12">
        <v>53</v>
      </c>
      <c r="D7" s="8">
        <v>38.130000000000003</v>
      </c>
      <c r="E7" s="12">
        <v>43</v>
      </c>
      <c r="F7" s="8">
        <v>40.950000000000003</v>
      </c>
      <c r="G7" s="12">
        <v>10</v>
      </c>
      <c r="H7" s="8">
        <v>35.71</v>
      </c>
      <c r="I7" s="12">
        <v>0</v>
      </c>
    </row>
    <row r="8" spans="2:9" ht="15" customHeight="1" x14ac:dyDescent="0.2">
      <c r="B8" t="s">
        <v>45</v>
      </c>
      <c r="C8" s="12">
        <v>2</v>
      </c>
      <c r="D8" s="8">
        <v>1.44</v>
      </c>
      <c r="E8" s="12">
        <v>0</v>
      </c>
      <c r="F8" s="8">
        <v>0</v>
      </c>
      <c r="G8" s="12">
        <v>1</v>
      </c>
      <c r="H8" s="8">
        <v>3.57</v>
      </c>
      <c r="I8" s="12">
        <v>0</v>
      </c>
    </row>
    <row r="9" spans="2:9" ht="15" customHeight="1" x14ac:dyDescent="0.2">
      <c r="B9" t="s">
        <v>46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47</v>
      </c>
      <c r="C10" s="12">
        <v>2</v>
      </c>
      <c r="D10" s="8">
        <v>1.44</v>
      </c>
      <c r="E10" s="12">
        <v>1</v>
      </c>
      <c r="F10" s="8">
        <v>0.95</v>
      </c>
      <c r="G10" s="12">
        <v>0</v>
      </c>
      <c r="H10" s="8">
        <v>0</v>
      </c>
      <c r="I10" s="12">
        <v>1</v>
      </c>
    </row>
    <row r="11" spans="2:9" ht="15" customHeight="1" x14ac:dyDescent="0.2">
      <c r="B11" t="s">
        <v>48</v>
      </c>
      <c r="C11" s="12">
        <v>18</v>
      </c>
      <c r="D11" s="8">
        <v>12.95</v>
      </c>
      <c r="E11" s="12">
        <v>14</v>
      </c>
      <c r="F11" s="8">
        <v>13.33</v>
      </c>
      <c r="G11" s="12">
        <v>4</v>
      </c>
      <c r="H11" s="8">
        <v>14.29</v>
      </c>
      <c r="I11" s="12">
        <v>0</v>
      </c>
    </row>
    <row r="12" spans="2:9" ht="15" customHeight="1" x14ac:dyDescent="0.2">
      <c r="B12" t="s">
        <v>49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50</v>
      </c>
      <c r="C13" s="12">
        <v>4</v>
      </c>
      <c r="D13" s="8">
        <v>2.88</v>
      </c>
      <c r="E13" s="12">
        <v>4</v>
      </c>
      <c r="F13" s="8">
        <v>3.81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51</v>
      </c>
      <c r="C14" s="12">
        <v>1</v>
      </c>
      <c r="D14" s="8">
        <v>0.72</v>
      </c>
      <c r="E14" s="12">
        <v>1</v>
      </c>
      <c r="F14" s="8">
        <v>0.95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52</v>
      </c>
      <c r="C15" s="12">
        <v>35</v>
      </c>
      <c r="D15" s="8">
        <v>25.18</v>
      </c>
      <c r="E15" s="12">
        <v>29</v>
      </c>
      <c r="F15" s="8">
        <v>27.62</v>
      </c>
      <c r="G15" s="12">
        <v>6</v>
      </c>
      <c r="H15" s="8">
        <v>21.43</v>
      </c>
      <c r="I15" s="12">
        <v>0</v>
      </c>
    </row>
    <row r="16" spans="2:9" ht="15" customHeight="1" x14ac:dyDescent="0.2">
      <c r="B16" t="s">
        <v>53</v>
      </c>
      <c r="C16" s="12">
        <v>8</v>
      </c>
      <c r="D16" s="8">
        <v>5.76</v>
      </c>
      <c r="E16" s="12">
        <v>5</v>
      </c>
      <c r="F16" s="8">
        <v>4.76</v>
      </c>
      <c r="G16" s="12">
        <v>1</v>
      </c>
      <c r="H16" s="8">
        <v>3.57</v>
      </c>
      <c r="I16" s="12">
        <v>2</v>
      </c>
    </row>
    <row r="17" spans="2:9" ht="15" customHeight="1" x14ac:dyDescent="0.2">
      <c r="B17" t="s">
        <v>54</v>
      </c>
      <c r="C17" s="12">
        <v>5</v>
      </c>
      <c r="D17" s="8">
        <v>3.6</v>
      </c>
      <c r="E17" s="12">
        <v>3</v>
      </c>
      <c r="F17" s="8">
        <v>2.86</v>
      </c>
      <c r="G17" s="12">
        <v>1</v>
      </c>
      <c r="H17" s="8">
        <v>3.57</v>
      </c>
      <c r="I17" s="12">
        <v>0</v>
      </c>
    </row>
    <row r="18" spans="2:9" ht="15" customHeight="1" x14ac:dyDescent="0.2">
      <c r="B18" t="s">
        <v>55</v>
      </c>
      <c r="C18" s="12">
        <v>4</v>
      </c>
      <c r="D18" s="8">
        <v>2.88</v>
      </c>
      <c r="E18" s="12">
        <v>2</v>
      </c>
      <c r="F18" s="8">
        <v>1.9</v>
      </c>
      <c r="G18" s="12">
        <v>1</v>
      </c>
      <c r="H18" s="8">
        <v>3.57</v>
      </c>
      <c r="I18" s="12">
        <v>0</v>
      </c>
    </row>
    <row r="19" spans="2:9" ht="15" customHeight="1" x14ac:dyDescent="0.2">
      <c r="B19" t="s">
        <v>56</v>
      </c>
      <c r="C19" s="12">
        <v>2</v>
      </c>
      <c r="D19" s="8">
        <v>1.44</v>
      </c>
      <c r="E19" s="12">
        <v>1</v>
      </c>
      <c r="F19" s="8">
        <v>0.95</v>
      </c>
      <c r="G19" s="12">
        <v>1</v>
      </c>
      <c r="H19" s="8">
        <v>3.57</v>
      </c>
      <c r="I19" s="12">
        <v>0</v>
      </c>
    </row>
    <row r="20" spans="2:9" ht="15" customHeight="1" x14ac:dyDescent="0.2">
      <c r="B20" s="9" t="s">
        <v>260</v>
      </c>
      <c r="C20" s="12">
        <f>SUM(LTBL_47382[総数／事業所数])</f>
        <v>139</v>
      </c>
      <c r="E20" s="12">
        <f>SUBTOTAL(109,LTBL_47382[個人／事業所数])</f>
        <v>105</v>
      </c>
      <c r="G20" s="12">
        <f>SUBTOTAL(109,LTBL_47382[法人／事業所数])</f>
        <v>28</v>
      </c>
      <c r="I20" s="12">
        <f>SUBTOTAL(109,LTBL_47382[法人以外の団体／事業所数])</f>
        <v>3</v>
      </c>
    </row>
    <row r="21" spans="2:9" ht="15" customHeight="1" x14ac:dyDescent="0.2">
      <c r="E21" s="11">
        <f>LTBL_47382[[#Totals],[個人／事業所数]]/LTBL_47382[[#Totals],[総数／事業所数]]</f>
        <v>0.75539568345323738</v>
      </c>
      <c r="G21" s="11">
        <f>LTBL_47382[[#Totals],[法人／事業所数]]/LTBL_47382[[#Totals],[総数／事業所数]]</f>
        <v>0.20143884892086331</v>
      </c>
      <c r="I21" s="11">
        <f>LTBL_47382[[#Totals],[法人以外の団体／事業所数]]/LTBL_47382[[#Totals],[総数／事業所数]]</f>
        <v>2.1582733812949641E-2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98</v>
      </c>
      <c r="C24" s="12">
        <v>23</v>
      </c>
      <c r="D24" s="8">
        <v>16.55</v>
      </c>
      <c r="E24" s="12">
        <v>23</v>
      </c>
      <c r="F24" s="8">
        <v>21.9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77</v>
      </c>
      <c r="C25" s="12">
        <v>20</v>
      </c>
      <c r="D25" s="8">
        <v>14.39</v>
      </c>
      <c r="E25" s="12">
        <v>17</v>
      </c>
      <c r="F25" s="8">
        <v>16.190000000000001</v>
      </c>
      <c r="G25" s="12">
        <v>3</v>
      </c>
      <c r="H25" s="8">
        <v>10.71</v>
      </c>
      <c r="I25" s="12">
        <v>0</v>
      </c>
    </row>
    <row r="26" spans="2:9" ht="15" customHeight="1" x14ac:dyDescent="0.2">
      <c r="B26" t="s">
        <v>88</v>
      </c>
      <c r="C26" s="12">
        <v>16</v>
      </c>
      <c r="D26" s="8">
        <v>11.51</v>
      </c>
      <c r="E26" s="12">
        <v>14</v>
      </c>
      <c r="F26" s="8">
        <v>13.33</v>
      </c>
      <c r="G26" s="12">
        <v>2</v>
      </c>
      <c r="H26" s="8">
        <v>7.14</v>
      </c>
      <c r="I26" s="12">
        <v>0</v>
      </c>
    </row>
    <row r="27" spans="2:9" ht="15" customHeight="1" x14ac:dyDescent="0.2">
      <c r="B27" t="s">
        <v>76</v>
      </c>
      <c r="C27" s="12">
        <v>15</v>
      </c>
      <c r="D27" s="8">
        <v>10.79</v>
      </c>
      <c r="E27" s="12">
        <v>12</v>
      </c>
      <c r="F27" s="8">
        <v>11.43</v>
      </c>
      <c r="G27" s="12">
        <v>3</v>
      </c>
      <c r="H27" s="8">
        <v>10.71</v>
      </c>
      <c r="I27" s="12">
        <v>0</v>
      </c>
    </row>
    <row r="28" spans="2:9" ht="15" customHeight="1" x14ac:dyDescent="0.2">
      <c r="B28" t="s">
        <v>69</v>
      </c>
      <c r="C28" s="12">
        <v>10</v>
      </c>
      <c r="D28" s="8">
        <v>7.19</v>
      </c>
      <c r="E28" s="12">
        <v>9</v>
      </c>
      <c r="F28" s="8">
        <v>8.57</v>
      </c>
      <c r="G28" s="12">
        <v>1</v>
      </c>
      <c r="H28" s="8">
        <v>3.57</v>
      </c>
      <c r="I28" s="12">
        <v>0</v>
      </c>
    </row>
    <row r="29" spans="2:9" ht="15" customHeight="1" x14ac:dyDescent="0.2">
      <c r="B29" t="s">
        <v>81</v>
      </c>
      <c r="C29" s="12">
        <v>5</v>
      </c>
      <c r="D29" s="8">
        <v>3.6</v>
      </c>
      <c r="E29" s="12">
        <v>3</v>
      </c>
      <c r="F29" s="8">
        <v>2.86</v>
      </c>
      <c r="G29" s="12">
        <v>1</v>
      </c>
      <c r="H29" s="8">
        <v>3.57</v>
      </c>
      <c r="I29" s="12">
        <v>0</v>
      </c>
    </row>
    <row r="30" spans="2:9" ht="15" customHeight="1" x14ac:dyDescent="0.2">
      <c r="B30" t="s">
        <v>65</v>
      </c>
      <c r="C30" s="12">
        <v>4</v>
      </c>
      <c r="D30" s="8">
        <v>2.88</v>
      </c>
      <c r="E30" s="12">
        <v>1</v>
      </c>
      <c r="F30" s="8">
        <v>0.95</v>
      </c>
      <c r="G30" s="12">
        <v>3</v>
      </c>
      <c r="H30" s="8">
        <v>10.71</v>
      </c>
      <c r="I30" s="12">
        <v>0</v>
      </c>
    </row>
    <row r="31" spans="2:9" ht="15" customHeight="1" x14ac:dyDescent="0.2">
      <c r="B31" t="s">
        <v>71</v>
      </c>
      <c r="C31" s="12">
        <v>4</v>
      </c>
      <c r="D31" s="8">
        <v>2.88</v>
      </c>
      <c r="E31" s="12">
        <v>2</v>
      </c>
      <c r="F31" s="8">
        <v>1.9</v>
      </c>
      <c r="G31" s="12">
        <v>2</v>
      </c>
      <c r="H31" s="8">
        <v>7.14</v>
      </c>
      <c r="I31" s="12">
        <v>0</v>
      </c>
    </row>
    <row r="32" spans="2:9" ht="15" customHeight="1" x14ac:dyDescent="0.2">
      <c r="B32" t="s">
        <v>80</v>
      </c>
      <c r="C32" s="12">
        <v>4</v>
      </c>
      <c r="D32" s="8">
        <v>2.88</v>
      </c>
      <c r="E32" s="12">
        <v>1</v>
      </c>
      <c r="F32" s="8">
        <v>0.95</v>
      </c>
      <c r="G32" s="12">
        <v>1</v>
      </c>
      <c r="H32" s="8">
        <v>3.57</v>
      </c>
      <c r="I32" s="12">
        <v>2</v>
      </c>
    </row>
    <row r="33" spans="2:9" ht="15" customHeight="1" x14ac:dyDescent="0.2">
      <c r="B33" t="s">
        <v>97</v>
      </c>
      <c r="C33" s="12">
        <v>3</v>
      </c>
      <c r="D33" s="8">
        <v>2.16</v>
      </c>
      <c r="E33" s="12">
        <v>0</v>
      </c>
      <c r="F33" s="8">
        <v>0</v>
      </c>
      <c r="G33" s="12">
        <v>3</v>
      </c>
      <c r="H33" s="8">
        <v>10.71</v>
      </c>
      <c r="I33" s="12">
        <v>0</v>
      </c>
    </row>
    <row r="34" spans="2:9" ht="15" customHeight="1" x14ac:dyDescent="0.2">
      <c r="B34" t="s">
        <v>95</v>
      </c>
      <c r="C34" s="12">
        <v>3</v>
      </c>
      <c r="D34" s="8">
        <v>2.16</v>
      </c>
      <c r="E34" s="12">
        <v>1</v>
      </c>
      <c r="F34" s="8">
        <v>0.95</v>
      </c>
      <c r="G34" s="12">
        <v>2</v>
      </c>
      <c r="H34" s="8">
        <v>7.14</v>
      </c>
      <c r="I34" s="12">
        <v>0</v>
      </c>
    </row>
    <row r="35" spans="2:9" ht="15" customHeight="1" x14ac:dyDescent="0.2">
      <c r="B35" t="s">
        <v>73</v>
      </c>
      <c r="C35" s="12">
        <v>3</v>
      </c>
      <c r="D35" s="8">
        <v>2.16</v>
      </c>
      <c r="E35" s="12">
        <v>3</v>
      </c>
      <c r="F35" s="8">
        <v>2.86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78</v>
      </c>
      <c r="C36" s="12">
        <v>3</v>
      </c>
      <c r="D36" s="8">
        <v>2.16</v>
      </c>
      <c r="E36" s="12">
        <v>3</v>
      </c>
      <c r="F36" s="8">
        <v>2.86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100</v>
      </c>
      <c r="C37" s="12">
        <v>2</v>
      </c>
      <c r="D37" s="8">
        <v>1.44</v>
      </c>
      <c r="E37" s="12">
        <v>1</v>
      </c>
      <c r="F37" s="8">
        <v>0.95</v>
      </c>
      <c r="G37" s="12">
        <v>1</v>
      </c>
      <c r="H37" s="8">
        <v>3.57</v>
      </c>
      <c r="I37" s="12">
        <v>0</v>
      </c>
    </row>
    <row r="38" spans="2:9" ht="15" customHeight="1" x14ac:dyDescent="0.2">
      <c r="B38" t="s">
        <v>118</v>
      </c>
      <c r="C38" s="12">
        <v>2</v>
      </c>
      <c r="D38" s="8">
        <v>1.44</v>
      </c>
      <c r="E38" s="12">
        <v>0</v>
      </c>
      <c r="F38" s="8">
        <v>0</v>
      </c>
      <c r="G38" s="12">
        <v>2</v>
      </c>
      <c r="H38" s="8">
        <v>7.14</v>
      </c>
      <c r="I38" s="12">
        <v>0</v>
      </c>
    </row>
    <row r="39" spans="2:9" ht="15" customHeight="1" x14ac:dyDescent="0.2">
      <c r="B39" t="s">
        <v>105</v>
      </c>
      <c r="C39" s="12">
        <v>2</v>
      </c>
      <c r="D39" s="8">
        <v>1.44</v>
      </c>
      <c r="E39" s="12">
        <v>2</v>
      </c>
      <c r="F39" s="8">
        <v>1.9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68</v>
      </c>
      <c r="C40" s="12">
        <v>2</v>
      </c>
      <c r="D40" s="8">
        <v>1.44</v>
      </c>
      <c r="E40" s="12">
        <v>1</v>
      </c>
      <c r="F40" s="8">
        <v>0.95</v>
      </c>
      <c r="G40" s="12">
        <v>1</v>
      </c>
      <c r="H40" s="8">
        <v>3.57</v>
      </c>
      <c r="I40" s="12">
        <v>0</v>
      </c>
    </row>
    <row r="41" spans="2:9" ht="15" customHeight="1" x14ac:dyDescent="0.2">
      <c r="B41" t="s">
        <v>82</v>
      </c>
      <c r="C41" s="12">
        <v>2</v>
      </c>
      <c r="D41" s="8">
        <v>1.44</v>
      </c>
      <c r="E41" s="12">
        <v>2</v>
      </c>
      <c r="F41" s="8">
        <v>1.9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83</v>
      </c>
      <c r="C42" s="12">
        <v>2</v>
      </c>
      <c r="D42" s="8">
        <v>1.44</v>
      </c>
      <c r="E42" s="12">
        <v>0</v>
      </c>
      <c r="F42" s="8">
        <v>0</v>
      </c>
      <c r="G42" s="12">
        <v>1</v>
      </c>
      <c r="H42" s="8">
        <v>3.57</v>
      </c>
      <c r="I42" s="12">
        <v>0</v>
      </c>
    </row>
    <row r="43" spans="2:9" ht="15" customHeight="1" x14ac:dyDescent="0.2">
      <c r="B43" t="s">
        <v>67</v>
      </c>
      <c r="C43" s="12">
        <v>1</v>
      </c>
      <c r="D43" s="8">
        <v>0.72</v>
      </c>
      <c r="E43" s="12">
        <v>1</v>
      </c>
      <c r="F43" s="8">
        <v>0.95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99</v>
      </c>
      <c r="C44" s="12">
        <v>1</v>
      </c>
      <c r="D44" s="8">
        <v>0.72</v>
      </c>
      <c r="E44" s="12">
        <v>1</v>
      </c>
      <c r="F44" s="8">
        <v>0.95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119</v>
      </c>
      <c r="C45" s="12">
        <v>1</v>
      </c>
      <c r="D45" s="8">
        <v>0.72</v>
      </c>
      <c r="E45" s="12">
        <v>1</v>
      </c>
      <c r="F45" s="8">
        <v>0.95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113</v>
      </c>
      <c r="C46" s="12">
        <v>1</v>
      </c>
      <c r="D46" s="8">
        <v>0.72</v>
      </c>
      <c r="E46" s="12">
        <v>0</v>
      </c>
      <c r="F46" s="8">
        <v>0</v>
      </c>
      <c r="G46" s="12">
        <v>1</v>
      </c>
      <c r="H46" s="8">
        <v>3.57</v>
      </c>
      <c r="I46" s="12">
        <v>0</v>
      </c>
    </row>
    <row r="47" spans="2:9" ht="15" customHeight="1" x14ac:dyDescent="0.2">
      <c r="B47" t="s">
        <v>101</v>
      </c>
      <c r="C47" s="12">
        <v>1</v>
      </c>
      <c r="D47" s="8">
        <v>0.72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96</v>
      </c>
      <c r="C48" s="12">
        <v>1</v>
      </c>
      <c r="D48" s="8">
        <v>0.72</v>
      </c>
      <c r="E48" s="12">
        <v>1</v>
      </c>
      <c r="F48" s="8">
        <v>0.95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103</v>
      </c>
      <c r="C49" s="12">
        <v>1</v>
      </c>
      <c r="D49" s="8">
        <v>0.72</v>
      </c>
      <c r="E49" s="12">
        <v>0</v>
      </c>
      <c r="F49" s="8">
        <v>0</v>
      </c>
      <c r="G49" s="12">
        <v>0</v>
      </c>
      <c r="H49" s="8">
        <v>0</v>
      </c>
      <c r="I49" s="12">
        <v>1</v>
      </c>
    </row>
    <row r="50" spans="2:9" ht="15" customHeight="1" x14ac:dyDescent="0.2">
      <c r="B50" t="s">
        <v>70</v>
      </c>
      <c r="C50" s="12">
        <v>1</v>
      </c>
      <c r="D50" s="8">
        <v>0.72</v>
      </c>
      <c r="E50" s="12">
        <v>1</v>
      </c>
      <c r="F50" s="8">
        <v>0.95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106</v>
      </c>
      <c r="C51" s="12">
        <v>1</v>
      </c>
      <c r="D51" s="8">
        <v>0.72</v>
      </c>
      <c r="E51" s="12">
        <v>1</v>
      </c>
      <c r="F51" s="8">
        <v>0.95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94</v>
      </c>
      <c r="C52" s="12">
        <v>1</v>
      </c>
      <c r="D52" s="8">
        <v>0.72</v>
      </c>
      <c r="E52" s="12">
        <v>1</v>
      </c>
      <c r="F52" s="8">
        <v>0.95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75</v>
      </c>
      <c r="C53" s="12">
        <v>1</v>
      </c>
      <c r="D53" s="8">
        <v>0.72</v>
      </c>
      <c r="E53" s="12">
        <v>1</v>
      </c>
      <c r="F53" s="8">
        <v>0.95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79</v>
      </c>
      <c r="C54" s="12">
        <v>1</v>
      </c>
      <c r="D54" s="8">
        <v>0.72</v>
      </c>
      <c r="E54" s="12">
        <v>1</v>
      </c>
      <c r="F54" s="8">
        <v>0.95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104</v>
      </c>
      <c r="C55" s="12">
        <v>1</v>
      </c>
      <c r="D55" s="8">
        <v>0.72</v>
      </c>
      <c r="E55" s="12">
        <v>1</v>
      </c>
      <c r="F55" s="8">
        <v>0.95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84</v>
      </c>
      <c r="C56" s="12">
        <v>1</v>
      </c>
      <c r="D56" s="8">
        <v>0.72</v>
      </c>
      <c r="E56" s="12">
        <v>0</v>
      </c>
      <c r="F56" s="8">
        <v>0</v>
      </c>
      <c r="G56" s="12">
        <v>1</v>
      </c>
      <c r="H56" s="8">
        <v>3.57</v>
      </c>
      <c r="I56" s="12">
        <v>0</v>
      </c>
    </row>
    <row r="59" spans="2:9" ht="33" customHeight="1" x14ac:dyDescent="0.2">
      <c r="B59" t="s">
        <v>262</v>
      </c>
      <c r="C59" s="10" t="s">
        <v>58</v>
      </c>
      <c r="D59" s="10" t="s">
        <v>59</v>
      </c>
      <c r="E59" s="10" t="s">
        <v>60</v>
      </c>
      <c r="F59" s="10" t="s">
        <v>61</v>
      </c>
      <c r="G59" s="10" t="s">
        <v>62</v>
      </c>
      <c r="H59" s="10" t="s">
        <v>63</v>
      </c>
      <c r="I59" s="10" t="s">
        <v>64</v>
      </c>
    </row>
    <row r="60" spans="2:9" ht="15" customHeight="1" x14ac:dyDescent="0.2">
      <c r="B60" t="s">
        <v>167</v>
      </c>
      <c r="C60" s="12">
        <v>21</v>
      </c>
      <c r="D60" s="8">
        <v>15.11</v>
      </c>
      <c r="E60" s="12">
        <v>21</v>
      </c>
      <c r="F60" s="8">
        <v>20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198</v>
      </c>
      <c r="C61" s="12">
        <v>11</v>
      </c>
      <c r="D61" s="8">
        <v>7.91</v>
      </c>
      <c r="E61" s="12">
        <v>10</v>
      </c>
      <c r="F61" s="8">
        <v>9.52</v>
      </c>
      <c r="G61" s="12">
        <v>1</v>
      </c>
      <c r="H61" s="8">
        <v>3.57</v>
      </c>
      <c r="I61" s="12">
        <v>0</v>
      </c>
    </row>
    <row r="62" spans="2:9" ht="15" customHeight="1" x14ac:dyDescent="0.2">
      <c r="B62" t="s">
        <v>130</v>
      </c>
      <c r="C62" s="12">
        <v>10</v>
      </c>
      <c r="D62" s="8">
        <v>7.19</v>
      </c>
      <c r="E62" s="12">
        <v>8</v>
      </c>
      <c r="F62" s="8">
        <v>7.62</v>
      </c>
      <c r="G62" s="12">
        <v>2</v>
      </c>
      <c r="H62" s="8">
        <v>7.14</v>
      </c>
      <c r="I62" s="12">
        <v>0</v>
      </c>
    </row>
    <row r="63" spans="2:9" ht="15" customHeight="1" x14ac:dyDescent="0.2">
      <c r="B63" t="s">
        <v>132</v>
      </c>
      <c r="C63" s="12">
        <v>6</v>
      </c>
      <c r="D63" s="8">
        <v>4.32</v>
      </c>
      <c r="E63" s="12">
        <v>6</v>
      </c>
      <c r="F63" s="8">
        <v>5.71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148</v>
      </c>
      <c r="C64" s="12">
        <v>5</v>
      </c>
      <c r="D64" s="8">
        <v>3.6</v>
      </c>
      <c r="E64" s="12">
        <v>4</v>
      </c>
      <c r="F64" s="8">
        <v>3.81</v>
      </c>
      <c r="G64" s="12">
        <v>1</v>
      </c>
      <c r="H64" s="8">
        <v>3.57</v>
      </c>
      <c r="I64" s="12">
        <v>0</v>
      </c>
    </row>
    <row r="65" spans="2:9" ht="15" customHeight="1" x14ac:dyDescent="0.2">
      <c r="B65" t="s">
        <v>149</v>
      </c>
      <c r="C65" s="12">
        <v>5</v>
      </c>
      <c r="D65" s="8">
        <v>3.6</v>
      </c>
      <c r="E65" s="12">
        <v>3</v>
      </c>
      <c r="F65" s="8">
        <v>2.86</v>
      </c>
      <c r="G65" s="12">
        <v>2</v>
      </c>
      <c r="H65" s="8">
        <v>7.14</v>
      </c>
      <c r="I65" s="12">
        <v>0</v>
      </c>
    </row>
    <row r="66" spans="2:9" ht="15" customHeight="1" x14ac:dyDescent="0.2">
      <c r="B66" t="s">
        <v>131</v>
      </c>
      <c r="C66" s="12">
        <v>4</v>
      </c>
      <c r="D66" s="8">
        <v>2.88</v>
      </c>
      <c r="E66" s="12">
        <v>3</v>
      </c>
      <c r="F66" s="8">
        <v>2.86</v>
      </c>
      <c r="G66" s="12">
        <v>1</v>
      </c>
      <c r="H66" s="8">
        <v>3.57</v>
      </c>
      <c r="I66" s="12">
        <v>0</v>
      </c>
    </row>
    <row r="67" spans="2:9" ht="15" customHeight="1" x14ac:dyDescent="0.2">
      <c r="B67" t="s">
        <v>150</v>
      </c>
      <c r="C67" s="12">
        <v>4</v>
      </c>
      <c r="D67" s="8">
        <v>2.88</v>
      </c>
      <c r="E67" s="12">
        <v>1</v>
      </c>
      <c r="F67" s="8">
        <v>0.95</v>
      </c>
      <c r="G67" s="12">
        <v>1</v>
      </c>
      <c r="H67" s="8">
        <v>3.57</v>
      </c>
      <c r="I67" s="12">
        <v>2</v>
      </c>
    </row>
    <row r="68" spans="2:9" ht="15" customHeight="1" x14ac:dyDescent="0.2">
      <c r="B68" t="s">
        <v>234</v>
      </c>
      <c r="C68" s="12">
        <v>3</v>
      </c>
      <c r="D68" s="8">
        <v>2.16</v>
      </c>
      <c r="E68" s="12">
        <v>2</v>
      </c>
      <c r="F68" s="8">
        <v>1.9</v>
      </c>
      <c r="G68" s="12">
        <v>1</v>
      </c>
      <c r="H68" s="8">
        <v>3.57</v>
      </c>
      <c r="I68" s="12">
        <v>0</v>
      </c>
    </row>
    <row r="69" spans="2:9" ht="15" customHeight="1" x14ac:dyDescent="0.2">
      <c r="B69" t="s">
        <v>165</v>
      </c>
      <c r="C69" s="12">
        <v>3</v>
      </c>
      <c r="D69" s="8">
        <v>2.16</v>
      </c>
      <c r="E69" s="12">
        <v>0</v>
      </c>
      <c r="F69" s="8">
        <v>0</v>
      </c>
      <c r="G69" s="12">
        <v>3</v>
      </c>
      <c r="H69" s="8">
        <v>10.71</v>
      </c>
      <c r="I69" s="12">
        <v>0</v>
      </c>
    </row>
    <row r="70" spans="2:9" ht="15" customHeight="1" x14ac:dyDescent="0.2">
      <c r="B70" t="s">
        <v>128</v>
      </c>
      <c r="C70" s="12">
        <v>3</v>
      </c>
      <c r="D70" s="8">
        <v>2.16</v>
      </c>
      <c r="E70" s="12">
        <v>3</v>
      </c>
      <c r="F70" s="8">
        <v>2.86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182</v>
      </c>
      <c r="C71" s="12">
        <v>3</v>
      </c>
      <c r="D71" s="8">
        <v>2.16</v>
      </c>
      <c r="E71" s="12">
        <v>1</v>
      </c>
      <c r="F71" s="8">
        <v>0.95</v>
      </c>
      <c r="G71" s="12">
        <v>1</v>
      </c>
      <c r="H71" s="8">
        <v>3.57</v>
      </c>
      <c r="I71" s="12">
        <v>0</v>
      </c>
    </row>
    <row r="72" spans="2:9" ht="15" customHeight="1" x14ac:dyDescent="0.2">
      <c r="B72" t="s">
        <v>122</v>
      </c>
      <c r="C72" s="12">
        <v>2</v>
      </c>
      <c r="D72" s="8">
        <v>1.44</v>
      </c>
      <c r="E72" s="12">
        <v>0</v>
      </c>
      <c r="F72" s="8">
        <v>0</v>
      </c>
      <c r="G72" s="12">
        <v>2</v>
      </c>
      <c r="H72" s="8">
        <v>7.14</v>
      </c>
      <c r="I72" s="12">
        <v>0</v>
      </c>
    </row>
    <row r="73" spans="2:9" ht="15" customHeight="1" x14ac:dyDescent="0.2">
      <c r="B73" t="s">
        <v>151</v>
      </c>
      <c r="C73" s="12">
        <v>2</v>
      </c>
      <c r="D73" s="8">
        <v>1.44</v>
      </c>
      <c r="E73" s="12">
        <v>1</v>
      </c>
      <c r="F73" s="8">
        <v>0.95</v>
      </c>
      <c r="G73" s="12">
        <v>1</v>
      </c>
      <c r="H73" s="8">
        <v>3.57</v>
      </c>
      <c r="I73" s="12">
        <v>0</v>
      </c>
    </row>
    <row r="74" spans="2:9" ht="15" customHeight="1" x14ac:dyDescent="0.2">
      <c r="B74" t="s">
        <v>188</v>
      </c>
      <c r="C74" s="12">
        <v>2</v>
      </c>
      <c r="D74" s="8">
        <v>1.44</v>
      </c>
      <c r="E74" s="12">
        <v>2</v>
      </c>
      <c r="F74" s="8">
        <v>1.9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245</v>
      </c>
      <c r="C75" s="12">
        <v>2</v>
      </c>
      <c r="D75" s="8">
        <v>1.44</v>
      </c>
      <c r="E75" s="12">
        <v>1</v>
      </c>
      <c r="F75" s="8">
        <v>0.95</v>
      </c>
      <c r="G75" s="12">
        <v>1</v>
      </c>
      <c r="H75" s="8">
        <v>3.57</v>
      </c>
      <c r="I75" s="12">
        <v>0</v>
      </c>
    </row>
    <row r="76" spans="2:9" ht="15" customHeight="1" x14ac:dyDescent="0.2">
      <c r="B76" t="s">
        <v>254</v>
      </c>
      <c r="C76" s="12">
        <v>2</v>
      </c>
      <c r="D76" s="8">
        <v>1.44</v>
      </c>
      <c r="E76" s="12">
        <v>0</v>
      </c>
      <c r="F76" s="8">
        <v>0</v>
      </c>
      <c r="G76" s="12">
        <v>2</v>
      </c>
      <c r="H76" s="8">
        <v>7.14</v>
      </c>
      <c r="I76" s="12">
        <v>0</v>
      </c>
    </row>
    <row r="77" spans="2:9" ht="15" customHeight="1" x14ac:dyDescent="0.2">
      <c r="B77" t="s">
        <v>156</v>
      </c>
      <c r="C77" s="12">
        <v>2</v>
      </c>
      <c r="D77" s="8">
        <v>1.44</v>
      </c>
      <c r="E77" s="12">
        <v>2</v>
      </c>
      <c r="F77" s="8">
        <v>1.9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199</v>
      </c>
      <c r="C78" s="12">
        <v>2</v>
      </c>
      <c r="D78" s="8">
        <v>1.44</v>
      </c>
      <c r="E78" s="12">
        <v>1</v>
      </c>
      <c r="F78" s="8">
        <v>0.95</v>
      </c>
      <c r="G78" s="12">
        <v>1</v>
      </c>
      <c r="H78" s="8">
        <v>3.57</v>
      </c>
      <c r="I78" s="12">
        <v>0</v>
      </c>
    </row>
    <row r="79" spans="2:9" ht="15" customHeight="1" x14ac:dyDescent="0.2">
      <c r="B79" t="s">
        <v>158</v>
      </c>
      <c r="C79" s="12">
        <v>2</v>
      </c>
      <c r="D79" s="8">
        <v>1.44</v>
      </c>
      <c r="E79" s="12">
        <v>2</v>
      </c>
      <c r="F79" s="8">
        <v>1.9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144</v>
      </c>
      <c r="C80" s="12">
        <v>2</v>
      </c>
      <c r="D80" s="8">
        <v>1.44</v>
      </c>
      <c r="E80" s="12">
        <v>2</v>
      </c>
      <c r="F80" s="8">
        <v>1.9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126</v>
      </c>
      <c r="C81" s="12">
        <v>2</v>
      </c>
      <c r="D81" s="8">
        <v>1.44</v>
      </c>
      <c r="E81" s="12">
        <v>1</v>
      </c>
      <c r="F81" s="8">
        <v>0.95</v>
      </c>
      <c r="G81" s="12">
        <v>1</v>
      </c>
      <c r="H81" s="8">
        <v>3.57</v>
      </c>
      <c r="I81" s="12">
        <v>0</v>
      </c>
    </row>
    <row r="82" spans="2:9" ht="15" customHeight="1" x14ac:dyDescent="0.2">
      <c r="B82" t="s">
        <v>133</v>
      </c>
      <c r="C82" s="12">
        <v>2</v>
      </c>
      <c r="D82" s="8">
        <v>1.44</v>
      </c>
      <c r="E82" s="12">
        <v>2</v>
      </c>
      <c r="F82" s="8">
        <v>1.9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134</v>
      </c>
      <c r="C83" s="12">
        <v>2</v>
      </c>
      <c r="D83" s="8">
        <v>1.44</v>
      </c>
      <c r="E83" s="12">
        <v>2</v>
      </c>
      <c r="F83" s="8">
        <v>1.9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136</v>
      </c>
      <c r="C84" s="12">
        <v>2</v>
      </c>
      <c r="D84" s="8">
        <v>1.44</v>
      </c>
      <c r="E84" s="12">
        <v>2</v>
      </c>
      <c r="F84" s="8">
        <v>1.9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139</v>
      </c>
      <c r="C85" s="12">
        <v>2</v>
      </c>
      <c r="D85" s="8">
        <v>1.44</v>
      </c>
      <c r="E85" s="12">
        <v>2</v>
      </c>
      <c r="F85" s="8">
        <v>1.9</v>
      </c>
      <c r="G85" s="12">
        <v>0</v>
      </c>
      <c r="H85" s="8">
        <v>0</v>
      </c>
      <c r="I85" s="12">
        <v>0</v>
      </c>
    </row>
    <row r="87" spans="2:9" ht="15" customHeight="1" x14ac:dyDescent="0.2">
      <c r="B87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270E-7658-4D1F-97E3-94A6D6027B2F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258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15</v>
      </c>
      <c r="D5" s="8">
        <v>0.04</v>
      </c>
      <c r="E5" s="12">
        <v>1</v>
      </c>
      <c r="F5" s="8">
        <v>0</v>
      </c>
      <c r="G5" s="12">
        <v>14</v>
      </c>
      <c r="H5" s="8">
        <v>0.11</v>
      </c>
      <c r="I5" s="12">
        <v>0</v>
      </c>
    </row>
    <row r="6" spans="2:9" ht="15" customHeight="1" x14ac:dyDescent="0.2">
      <c r="B6" t="s">
        <v>43</v>
      </c>
      <c r="C6" s="12">
        <v>3307</v>
      </c>
      <c r="D6" s="8">
        <v>8.65</v>
      </c>
      <c r="E6" s="12">
        <v>1056</v>
      </c>
      <c r="F6" s="8">
        <v>4.2300000000000004</v>
      </c>
      <c r="G6" s="12">
        <v>2250</v>
      </c>
      <c r="H6" s="8">
        <v>17.489999999999998</v>
      </c>
      <c r="I6" s="12">
        <v>1</v>
      </c>
    </row>
    <row r="7" spans="2:9" ht="15" customHeight="1" x14ac:dyDescent="0.2">
      <c r="B7" t="s">
        <v>44</v>
      </c>
      <c r="C7" s="12">
        <v>2006</v>
      </c>
      <c r="D7" s="8">
        <v>5.25</v>
      </c>
      <c r="E7" s="12">
        <v>1261</v>
      </c>
      <c r="F7" s="8">
        <v>5.05</v>
      </c>
      <c r="G7" s="12">
        <v>741</v>
      </c>
      <c r="H7" s="8">
        <v>5.76</v>
      </c>
      <c r="I7" s="12">
        <v>3</v>
      </c>
    </row>
    <row r="8" spans="2:9" ht="15" customHeight="1" x14ac:dyDescent="0.2">
      <c r="B8" t="s">
        <v>45</v>
      </c>
      <c r="C8" s="12">
        <v>46</v>
      </c>
      <c r="D8" s="8">
        <v>0.12</v>
      </c>
      <c r="E8" s="12">
        <v>0</v>
      </c>
      <c r="F8" s="8">
        <v>0</v>
      </c>
      <c r="G8" s="12">
        <v>32</v>
      </c>
      <c r="H8" s="8">
        <v>0.25</v>
      </c>
      <c r="I8" s="12">
        <v>0</v>
      </c>
    </row>
    <row r="9" spans="2:9" ht="15" customHeight="1" x14ac:dyDescent="0.2">
      <c r="B9" t="s">
        <v>46</v>
      </c>
      <c r="C9" s="12">
        <v>369</v>
      </c>
      <c r="D9" s="8">
        <v>0.96</v>
      </c>
      <c r="E9" s="12">
        <v>42</v>
      </c>
      <c r="F9" s="8">
        <v>0.17</v>
      </c>
      <c r="G9" s="12">
        <v>324</v>
      </c>
      <c r="H9" s="8">
        <v>2.52</v>
      </c>
      <c r="I9" s="12">
        <v>2</v>
      </c>
    </row>
    <row r="10" spans="2:9" ht="15" customHeight="1" x14ac:dyDescent="0.2">
      <c r="B10" t="s">
        <v>47</v>
      </c>
      <c r="C10" s="12">
        <v>482</v>
      </c>
      <c r="D10" s="8">
        <v>1.26</v>
      </c>
      <c r="E10" s="12">
        <v>273</v>
      </c>
      <c r="F10" s="8">
        <v>1.0900000000000001</v>
      </c>
      <c r="G10" s="12">
        <v>195</v>
      </c>
      <c r="H10" s="8">
        <v>1.52</v>
      </c>
      <c r="I10" s="12">
        <v>3</v>
      </c>
    </row>
    <row r="11" spans="2:9" ht="15" customHeight="1" x14ac:dyDescent="0.2">
      <c r="B11" t="s">
        <v>48</v>
      </c>
      <c r="C11" s="12">
        <v>8480</v>
      </c>
      <c r="D11" s="8">
        <v>22.18</v>
      </c>
      <c r="E11" s="12">
        <v>5434</v>
      </c>
      <c r="F11" s="8">
        <v>21.75</v>
      </c>
      <c r="G11" s="12">
        <v>3027</v>
      </c>
      <c r="H11" s="8">
        <v>23.52</v>
      </c>
      <c r="I11" s="12">
        <v>19</v>
      </c>
    </row>
    <row r="12" spans="2:9" ht="15" customHeight="1" x14ac:dyDescent="0.2">
      <c r="B12" t="s">
        <v>49</v>
      </c>
      <c r="C12" s="12">
        <v>247</v>
      </c>
      <c r="D12" s="8">
        <v>0.65</v>
      </c>
      <c r="E12" s="12">
        <v>82</v>
      </c>
      <c r="F12" s="8">
        <v>0.33</v>
      </c>
      <c r="G12" s="12">
        <v>165</v>
      </c>
      <c r="H12" s="8">
        <v>1.28</v>
      </c>
      <c r="I12" s="12">
        <v>0</v>
      </c>
    </row>
    <row r="13" spans="2:9" ht="15" customHeight="1" x14ac:dyDescent="0.2">
      <c r="B13" t="s">
        <v>50</v>
      </c>
      <c r="C13" s="12">
        <v>4784</v>
      </c>
      <c r="D13" s="8">
        <v>12.51</v>
      </c>
      <c r="E13" s="12">
        <v>2494</v>
      </c>
      <c r="F13" s="8">
        <v>9.98</v>
      </c>
      <c r="G13" s="12">
        <v>2277</v>
      </c>
      <c r="H13" s="8">
        <v>17.7</v>
      </c>
      <c r="I13" s="12">
        <v>5</v>
      </c>
    </row>
    <row r="14" spans="2:9" ht="15" customHeight="1" x14ac:dyDescent="0.2">
      <c r="B14" t="s">
        <v>51</v>
      </c>
      <c r="C14" s="12">
        <v>1808</v>
      </c>
      <c r="D14" s="8">
        <v>4.7300000000000004</v>
      </c>
      <c r="E14" s="12">
        <v>977</v>
      </c>
      <c r="F14" s="8">
        <v>3.91</v>
      </c>
      <c r="G14" s="12">
        <v>812</v>
      </c>
      <c r="H14" s="8">
        <v>6.31</v>
      </c>
      <c r="I14" s="12">
        <v>8</v>
      </c>
    </row>
    <row r="15" spans="2:9" ht="15" customHeight="1" x14ac:dyDescent="0.2">
      <c r="B15" t="s">
        <v>52</v>
      </c>
      <c r="C15" s="12">
        <v>6957</v>
      </c>
      <c r="D15" s="8">
        <v>18.190000000000001</v>
      </c>
      <c r="E15" s="12">
        <v>6187</v>
      </c>
      <c r="F15" s="8">
        <v>24.76</v>
      </c>
      <c r="G15" s="12">
        <v>750</v>
      </c>
      <c r="H15" s="8">
        <v>5.83</v>
      </c>
      <c r="I15" s="12">
        <v>5</v>
      </c>
    </row>
    <row r="16" spans="2:9" ht="15" customHeight="1" x14ac:dyDescent="0.2">
      <c r="B16" t="s">
        <v>53</v>
      </c>
      <c r="C16" s="12">
        <v>4686</v>
      </c>
      <c r="D16" s="8">
        <v>12.25</v>
      </c>
      <c r="E16" s="12">
        <v>3846</v>
      </c>
      <c r="F16" s="8">
        <v>15.39</v>
      </c>
      <c r="G16" s="12">
        <v>796</v>
      </c>
      <c r="H16" s="8">
        <v>6.19</v>
      </c>
      <c r="I16" s="12">
        <v>12</v>
      </c>
    </row>
    <row r="17" spans="2:9" ht="15" customHeight="1" x14ac:dyDescent="0.2">
      <c r="B17" t="s">
        <v>54</v>
      </c>
      <c r="C17" s="12">
        <v>2018</v>
      </c>
      <c r="D17" s="8">
        <v>5.28</v>
      </c>
      <c r="E17" s="12">
        <v>1678</v>
      </c>
      <c r="F17" s="8">
        <v>6.72</v>
      </c>
      <c r="G17" s="12">
        <v>247</v>
      </c>
      <c r="H17" s="8">
        <v>1.92</v>
      </c>
      <c r="I17" s="12">
        <v>40</v>
      </c>
    </row>
    <row r="18" spans="2:9" ht="15" customHeight="1" x14ac:dyDescent="0.2">
      <c r="B18" t="s">
        <v>55</v>
      </c>
      <c r="C18" s="12">
        <v>1512</v>
      </c>
      <c r="D18" s="8">
        <v>3.95</v>
      </c>
      <c r="E18" s="12">
        <v>780</v>
      </c>
      <c r="F18" s="8">
        <v>3.12</v>
      </c>
      <c r="G18" s="12">
        <v>660</v>
      </c>
      <c r="H18" s="8">
        <v>5.13</v>
      </c>
      <c r="I18" s="12">
        <v>20</v>
      </c>
    </row>
    <row r="19" spans="2:9" ht="15" customHeight="1" x14ac:dyDescent="0.2">
      <c r="B19" t="s">
        <v>56</v>
      </c>
      <c r="C19" s="12">
        <v>1522</v>
      </c>
      <c r="D19" s="8">
        <v>3.98</v>
      </c>
      <c r="E19" s="12">
        <v>872</v>
      </c>
      <c r="F19" s="8">
        <v>3.49</v>
      </c>
      <c r="G19" s="12">
        <v>578</v>
      </c>
      <c r="H19" s="8">
        <v>4.49</v>
      </c>
      <c r="I19" s="12">
        <v>39</v>
      </c>
    </row>
    <row r="20" spans="2:9" ht="15" customHeight="1" x14ac:dyDescent="0.2">
      <c r="B20" s="9" t="s">
        <v>260</v>
      </c>
      <c r="C20" s="12">
        <f>SUM(LTBL_47000[総数／事業所数])</f>
        <v>38239</v>
      </c>
      <c r="E20" s="12">
        <f>SUBTOTAL(109,LTBL_47000[個人／事業所数])</f>
        <v>24983</v>
      </c>
      <c r="G20" s="12">
        <f>SUBTOTAL(109,LTBL_47000[法人／事業所数])</f>
        <v>12868</v>
      </c>
      <c r="I20" s="12">
        <f>SUBTOTAL(109,LTBL_47000[法人以外の団体／事業所数])</f>
        <v>157</v>
      </c>
    </row>
    <row r="21" spans="2:9" ht="15" customHeight="1" x14ac:dyDescent="0.2">
      <c r="E21" s="11">
        <f>LTBL_47000[[#Totals],[個人／事業所数]]/LTBL_47000[[#Totals],[総数／事業所数]]</f>
        <v>0.65333821491147781</v>
      </c>
      <c r="G21" s="11">
        <f>LTBL_47000[[#Totals],[法人／事業所数]]/LTBL_47000[[#Totals],[総数／事業所数]]</f>
        <v>0.33651507623107296</v>
      </c>
      <c r="I21" s="11">
        <f>LTBL_47000[[#Totals],[法人以外の団体／事業所数]]/LTBL_47000[[#Totals],[総数／事業所数]]</f>
        <v>4.1057559036585681E-3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77</v>
      </c>
      <c r="C24" s="12">
        <v>5930</v>
      </c>
      <c r="D24" s="8">
        <v>15.51</v>
      </c>
      <c r="E24" s="12">
        <v>5475</v>
      </c>
      <c r="F24" s="8">
        <v>21.91</v>
      </c>
      <c r="G24" s="12">
        <v>451</v>
      </c>
      <c r="H24" s="8">
        <v>3.5</v>
      </c>
      <c r="I24" s="12">
        <v>4</v>
      </c>
    </row>
    <row r="25" spans="2:9" ht="15" customHeight="1" x14ac:dyDescent="0.2">
      <c r="B25" t="s">
        <v>73</v>
      </c>
      <c r="C25" s="12">
        <v>3864</v>
      </c>
      <c r="D25" s="8">
        <v>10.1</v>
      </c>
      <c r="E25" s="12">
        <v>2280</v>
      </c>
      <c r="F25" s="8">
        <v>9.1300000000000008</v>
      </c>
      <c r="G25" s="12">
        <v>1571</v>
      </c>
      <c r="H25" s="8">
        <v>12.21</v>
      </c>
      <c r="I25" s="12">
        <v>5</v>
      </c>
    </row>
    <row r="26" spans="2:9" ht="15" customHeight="1" x14ac:dyDescent="0.2">
      <c r="B26" t="s">
        <v>78</v>
      </c>
      <c r="C26" s="12">
        <v>3570</v>
      </c>
      <c r="D26" s="8">
        <v>9.34</v>
      </c>
      <c r="E26" s="12">
        <v>3193</v>
      </c>
      <c r="F26" s="8">
        <v>12.78</v>
      </c>
      <c r="G26" s="12">
        <v>377</v>
      </c>
      <c r="H26" s="8">
        <v>2.93</v>
      </c>
      <c r="I26" s="12">
        <v>0</v>
      </c>
    </row>
    <row r="27" spans="2:9" ht="15" customHeight="1" x14ac:dyDescent="0.2">
      <c r="B27" t="s">
        <v>71</v>
      </c>
      <c r="C27" s="12">
        <v>2582</v>
      </c>
      <c r="D27" s="8">
        <v>6.75</v>
      </c>
      <c r="E27" s="12">
        <v>1809</v>
      </c>
      <c r="F27" s="8">
        <v>7.24</v>
      </c>
      <c r="G27" s="12">
        <v>771</v>
      </c>
      <c r="H27" s="8">
        <v>5.99</v>
      </c>
      <c r="I27" s="12">
        <v>2</v>
      </c>
    </row>
    <row r="28" spans="2:9" ht="15" customHeight="1" x14ac:dyDescent="0.2">
      <c r="B28" t="s">
        <v>69</v>
      </c>
      <c r="C28" s="12">
        <v>2108</v>
      </c>
      <c r="D28" s="8">
        <v>5.51</v>
      </c>
      <c r="E28" s="12">
        <v>1730</v>
      </c>
      <c r="F28" s="8">
        <v>6.92</v>
      </c>
      <c r="G28" s="12">
        <v>365</v>
      </c>
      <c r="H28" s="8">
        <v>2.84</v>
      </c>
      <c r="I28" s="12">
        <v>13</v>
      </c>
    </row>
    <row r="29" spans="2:9" ht="15" customHeight="1" x14ac:dyDescent="0.2">
      <c r="B29" t="s">
        <v>81</v>
      </c>
      <c r="C29" s="12">
        <v>2018</v>
      </c>
      <c r="D29" s="8">
        <v>5.28</v>
      </c>
      <c r="E29" s="12">
        <v>1678</v>
      </c>
      <c r="F29" s="8">
        <v>6.72</v>
      </c>
      <c r="G29" s="12">
        <v>247</v>
      </c>
      <c r="H29" s="8">
        <v>1.92</v>
      </c>
      <c r="I29" s="12">
        <v>40</v>
      </c>
    </row>
    <row r="30" spans="2:9" ht="15" customHeight="1" x14ac:dyDescent="0.2">
      <c r="B30" t="s">
        <v>65</v>
      </c>
      <c r="C30" s="12">
        <v>1356</v>
      </c>
      <c r="D30" s="8">
        <v>3.55</v>
      </c>
      <c r="E30" s="12">
        <v>232</v>
      </c>
      <c r="F30" s="8">
        <v>0.93</v>
      </c>
      <c r="G30" s="12">
        <v>1124</v>
      </c>
      <c r="H30" s="8">
        <v>8.73</v>
      </c>
      <c r="I30" s="12">
        <v>0</v>
      </c>
    </row>
    <row r="31" spans="2:9" ht="15" customHeight="1" x14ac:dyDescent="0.2">
      <c r="B31" t="s">
        <v>68</v>
      </c>
      <c r="C31" s="12">
        <v>1040</v>
      </c>
      <c r="D31" s="8">
        <v>2.72</v>
      </c>
      <c r="E31" s="12">
        <v>692</v>
      </c>
      <c r="F31" s="8">
        <v>2.77</v>
      </c>
      <c r="G31" s="12">
        <v>348</v>
      </c>
      <c r="H31" s="8">
        <v>2.7</v>
      </c>
      <c r="I31" s="12">
        <v>0</v>
      </c>
    </row>
    <row r="32" spans="2:9" ht="15" customHeight="1" x14ac:dyDescent="0.2">
      <c r="B32" t="s">
        <v>70</v>
      </c>
      <c r="C32" s="12">
        <v>1002</v>
      </c>
      <c r="D32" s="8">
        <v>2.62</v>
      </c>
      <c r="E32" s="12">
        <v>778</v>
      </c>
      <c r="F32" s="8">
        <v>3.11</v>
      </c>
      <c r="G32" s="12">
        <v>223</v>
      </c>
      <c r="H32" s="8">
        <v>1.73</v>
      </c>
      <c r="I32" s="12">
        <v>1</v>
      </c>
    </row>
    <row r="33" spans="2:9" ht="15" customHeight="1" x14ac:dyDescent="0.2">
      <c r="B33" t="s">
        <v>67</v>
      </c>
      <c r="C33" s="12">
        <v>976</v>
      </c>
      <c r="D33" s="8">
        <v>2.5499999999999998</v>
      </c>
      <c r="E33" s="12">
        <v>329</v>
      </c>
      <c r="F33" s="8">
        <v>1.32</v>
      </c>
      <c r="G33" s="12">
        <v>646</v>
      </c>
      <c r="H33" s="8">
        <v>5.0199999999999996</v>
      </c>
      <c r="I33" s="12">
        <v>1</v>
      </c>
    </row>
    <row r="34" spans="2:9" ht="15" customHeight="1" x14ac:dyDescent="0.2">
      <c r="B34" t="s">
        <v>66</v>
      </c>
      <c r="C34" s="12">
        <v>975</v>
      </c>
      <c r="D34" s="8">
        <v>2.5499999999999998</v>
      </c>
      <c r="E34" s="12">
        <v>495</v>
      </c>
      <c r="F34" s="8">
        <v>1.98</v>
      </c>
      <c r="G34" s="12">
        <v>480</v>
      </c>
      <c r="H34" s="8">
        <v>3.73</v>
      </c>
      <c r="I34" s="12">
        <v>0</v>
      </c>
    </row>
    <row r="35" spans="2:9" ht="15" customHeight="1" x14ac:dyDescent="0.2">
      <c r="B35" t="s">
        <v>74</v>
      </c>
      <c r="C35" s="12">
        <v>874</v>
      </c>
      <c r="D35" s="8">
        <v>2.29</v>
      </c>
      <c r="E35" s="12">
        <v>584</v>
      </c>
      <c r="F35" s="8">
        <v>2.34</v>
      </c>
      <c r="G35" s="12">
        <v>287</v>
      </c>
      <c r="H35" s="8">
        <v>2.23</v>
      </c>
      <c r="I35" s="12">
        <v>3</v>
      </c>
    </row>
    <row r="36" spans="2:9" ht="15" customHeight="1" x14ac:dyDescent="0.2">
      <c r="B36" t="s">
        <v>75</v>
      </c>
      <c r="C36" s="12">
        <v>823</v>
      </c>
      <c r="D36" s="8">
        <v>2.15</v>
      </c>
      <c r="E36" s="12">
        <v>377</v>
      </c>
      <c r="F36" s="8">
        <v>1.51</v>
      </c>
      <c r="G36" s="12">
        <v>436</v>
      </c>
      <c r="H36" s="8">
        <v>3.39</v>
      </c>
      <c r="I36" s="12">
        <v>1</v>
      </c>
    </row>
    <row r="37" spans="2:9" ht="15" customHeight="1" x14ac:dyDescent="0.2">
      <c r="B37" t="s">
        <v>82</v>
      </c>
      <c r="C37" s="12">
        <v>792</v>
      </c>
      <c r="D37" s="8">
        <v>2.0699999999999998</v>
      </c>
      <c r="E37" s="12">
        <v>690</v>
      </c>
      <c r="F37" s="8">
        <v>2.76</v>
      </c>
      <c r="G37" s="12">
        <v>97</v>
      </c>
      <c r="H37" s="8">
        <v>0.75</v>
      </c>
      <c r="I37" s="12">
        <v>0</v>
      </c>
    </row>
    <row r="38" spans="2:9" ht="15" customHeight="1" x14ac:dyDescent="0.2">
      <c r="B38" t="s">
        <v>76</v>
      </c>
      <c r="C38" s="12">
        <v>743</v>
      </c>
      <c r="D38" s="8">
        <v>1.94</v>
      </c>
      <c r="E38" s="12">
        <v>562</v>
      </c>
      <c r="F38" s="8">
        <v>2.25</v>
      </c>
      <c r="G38" s="12">
        <v>176</v>
      </c>
      <c r="H38" s="8">
        <v>1.37</v>
      </c>
      <c r="I38" s="12">
        <v>1</v>
      </c>
    </row>
    <row r="39" spans="2:9" ht="15" customHeight="1" x14ac:dyDescent="0.2">
      <c r="B39" t="s">
        <v>84</v>
      </c>
      <c r="C39" s="12">
        <v>723</v>
      </c>
      <c r="D39" s="8">
        <v>1.89</v>
      </c>
      <c r="E39" s="12">
        <v>661</v>
      </c>
      <c r="F39" s="8">
        <v>2.65</v>
      </c>
      <c r="G39" s="12">
        <v>61</v>
      </c>
      <c r="H39" s="8">
        <v>0.47</v>
      </c>
      <c r="I39" s="12">
        <v>1</v>
      </c>
    </row>
    <row r="40" spans="2:9" ht="15" customHeight="1" x14ac:dyDescent="0.2">
      <c r="B40" t="s">
        <v>83</v>
      </c>
      <c r="C40" s="12">
        <v>720</v>
      </c>
      <c r="D40" s="8">
        <v>1.88</v>
      </c>
      <c r="E40" s="12">
        <v>90</v>
      </c>
      <c r="F40" s="8">
        <v>0.36</v>
      </c>
      <c r="G40" s="12">
        <v>563</v>
      </c>
      <c r="H40" s="8">
        <v>4.38</v>
      </c>
      <c r="I40" s="12">
        <v>20</v>
      </c>
    </row>
    <row r="41" spans="2:9" ht="15" customHeight="1" x14ac:dyDescent="0.2">
      <c r="B41" t="s">
        <v>72</v>
      </c>
      <c r="C41" s="12">
        <v>640</v>
      </c>
      <c r="D41" s="8">
        <v>1.67</v>
      </c>
      <c r="E41" s="12">
        <v>122</v>
      </c>
      <c r="F41" s="8">
        <v>0.49</v>
      </c>
      <c r="G41" s="12">
        <v>518</v>
      </c>
      <c r="H41" s="8">
        <v>4.03</v>
      </c>
      <c r="I41" s="12">
        <v>0</v>
      </c>
    </row>
    <row r="42" spans="2:9" ht="15" customHeight="1" x14ac:dyDescent="0.2">
      <c r="B42" t="s">
        <v>80</v>
      </c>
      <c r="C42" s="12">
        <v>614</v>
      </c>
      <c r="D42" s="8">
        <v>1.61</v>
      </c>
      <c r="E42" s="12">
        <v>394</v>
      </c>
      <c r="F42" s="8">
        <v>1.58</v>
      </c>
      <c r="G42" s="12">
        <v>185</v>
      </c>
      <c r="H42" s="8">
        <v>1.44</v>
      </c>
      <c r="I42" s="12">
        <v>8</v>
      </c>
    </row>
    <row r="43" spans="2:9" ht="15" customHeight="1" x14ac:dyDescent="0.2">
      <c r="B43" t="s">
        <v>79</v>
      </c>
      <c r="C43" s="12">
        <v>502</v>
      </c>
      <c r="D43" s="8">
        <v>1.31</v>
      </c>
      <c r="E43" s="12">
        <v>259</v>
      </c>
      <c r="F43" s="8">
        <v>1.04</v>
      </c>
      <c r="G43" s="12">
        <v>234</v>
      </c>
      <c r="H43" s="8">
        <v>1.82</v>
      </c>
      <c r="I43" s="12">
        <v>4</v>
      </c>
    </row>
    <row r="46" spans="2:9" ht="33" customHeight="1" x14ac:dyDescent="0.2">
      <c r="B46" t="s">
        <v>262</v>
      </c>
      <c r="C46" s="10" t="s">
        <v>58</v>
      </c>
      <c r="D46" s="10" t="s">
        <v>59</v>
      </c>
      <c r="E46" s="10" t="s">
        <v>60</v>
      </c>
      <c r="F46" s="10" t="s">
        <v>61</v>
      </c>
      <c r="G46" s="10" t="s">
        <v>62</v>
      </c>
      <c r="H46" s="10" t="s">
        <v>63</v>
      </c>
      <c r="I46" s="10" t="s">
        <v>64</v>
      </c>
    </row>
    <row r="47" spans="2:9" ht="15" customHeight="1" x14ac:dyDescent="0.2">
      <c r="B47" t="s">
        <v>128</v>
      </c>
      <c r="C47" s="12">
        <v>2981</v>
      </c>
      <c r="D47" s="8">
        <v>7.8</v>
      </c>
      <c r="E47" s="12">
        <v>1982</v>
      </c>
      <c r="F47" s="8">
        <v>7.93</v>
      </c>
      <c r="G47" s="12">
        <v>995</v>
      </c>
      <c r="H47" s="8">
        <v>7.73</v>
      </c>
      <c r="I47" s="12">
        <v>0</v>
      </c>
    </row>
    <row r="48" spans="2:9" ht="15" customHeight="1" x14ac:dyDescent="0.2">
      <c r="B48" t="s">
        <v>133</v>
      </c>
      <c r="C48" s="12">
        <v>2079</v>
      </c>
      <c r="D48" s="8">
        <v>5.44</v>
      </c>
      <c r="E48" s="12">
        <v>2041</v>
      </c>
      <c r="F48" s="8">
        <v>8.17</v>
      </c>
      <c r="G48" s="12">
        <v>37</v>
      </c>
      <c r="H48" s="8">
        <v>0.28999999999999998</v>
      </c>
      <c r="I48" s="12">
        <v>1</v>
      </c>
    </row>
    <row r="49" spans="2:9" ht="15" customHeight="1" x14ac:dyDescent="0.2">
      <c r="B49" t="s">
        <v>136</v>
      </c>
      <c r="C49" s="12">
        <v>1903</v>
      </c>
      <c r="D49" s="8">
        <v>4.9800000000000004</v>
      </c>
      <c r="E49" s="12">
        <v>1808</v>
      </c>
      <c r="F49" s="8">
        <v>7.24</v>
      </c>
      <c r="G49" s="12">
        <v>95</v>
      </c>
      <c r="H49" s="8">
        <v>0.74</v>
      </c>
      <c r="I49" s="12">
        <v>0</v>
      </c>
    </row>
    <row r="50" spans="2:9" ht="15" customHeight="1" x14ac:dyDescent="0.2">
      <c r="B50" t="s">
        <v>132</v>
      </c>
      <c r="C50" s="12">
        <v>1628</v>
      </c>
      <c r="D50" s="8">
        <v>4.26</v>
      </c>
      <c r="E50" s="12">
        <v>1513</v>
      </c>
      <c r="F50" s="8">
        <v>6.06</v>
      </c>
      <c r="G50" s="12">
        <v>114</v>
      </c>
      <c r="H50" s="8">
        <v>0.89</v>
      </c>
      <c r="I50" s="12">
        <v>1</v>
      </c>
    </row>
    <row r="51" spans="2:9" ht="15" customHeight="1" x14ac:dyDescent="0.2">
      <c r="B51" t="s">
        <v>139</v>
      </c>
      <c r="C51" s="12">
        <v>1293</v>
      </c>
      <c r="D51" s="8">
        <v>3.38</v>
      </c>
      <c r="E51" s="12">
        <v>1201</v>
      </c>
      <c r="F51" s="8">
        <v>4.8099999999999996</v>
      </c>
      <c r="G51" s="12">
        <v>87</v>
      </c>
      <c r="H51" s="8">
        <v>0.68</v>
      </c>
      <c r="I51" s="12">
        <v>5</v>
      </c>
    </row>
    <row r="52" spans="2:9" ht="15" customHeight="1" x14ac:dyDescent="0.2">
      <c r="B52" t="s">
        <v>123</v>
      </c>
      <c r="C52" s="12">
        <v>912</v>
      </c>
      <c r="D52" s="8">
        <v>2.38</v>
      </c>
      <c r="E52" s="12">
        <v>719</v>
      </c>
      <c r="F52" s="8">
        <v>2.88</v>
      </c>
      <c r="G52" s="12">
        <v>188</v>
      </c>
      <c r="H52" s="8">
        <v>1.46</v>
      </c>
      <c r="I52" s="12">
        <v>5</v>
      </c>
    </row>
    <row r="53" spans="2:9" ht="15" customHeight="1" x14ac:dyDescent="0.2">
      <c r="B53" t="s">
        <v>131</v>
      </c>
      <c r="C53" s="12">
        <v>912</v>
      </c>
      <c r="D53" s="8">
        <v>2.38</v>
      </c>
      <c r="E53" s="12">
        <v>762</v>
      </c>
      <c r="F53" s="8">
        <v>3.05</v>
      </c>
      <c r="G53" s="12">
        <v>149</v>
      </c>
      <c r="H53" s="8">
        <v>1.1599999999999999</v>
      </c>
      <c r="I53" s="12">
        <v>1</v>
      </c>
    </row>
    <row r="54" spans="2:9" ht="15" customHeight="1" x14ac:dyDescent="0.2">
      <c r="B54" t="s">
        <v>135</v>
      </c>
      <c r="C54" s="12">
        <v>902</v>
      </c>
      <c r="D54" s="8">
        <v>2.36</v>
      </c>
      <c r="E54" s="12">
        <v>881</v>
      </c>
      <c r="F54" s="8">
        <v>3.53</v>
      </c>
      <c r="G54" s="12">
        <v>21</v>
      </c>
      <c r="H54" s="8">
        <v>0.16</v>
      </c>
      <c r="I54" s="12">
        <v>0</v>
      </c>
    </row>
    <row r="55" spans="2:9" ht="15" customHeight="1" x14ac:dyDescent="0.2">
      <c r="B55" t="s">
        <v>141</v>
      </c>
      <c r="C55" s="12">
        <v>723</v>
      </c>
      <c r="D55" s="8">
        <v>1.89</v>
      </c>
      <c r="E55" s="12">
        <v>661</v>
      </c>
      <c r="F55" s="8">
        <v>2.65</v>
      </c>
      <c r="G55" s="12">
        <v>61</v>
      </c>
      <c r="H55" s="8">
        <v>0.47</v>
      </c>
      <c r="I55" s="12">
        <v>1</v>
      </c>
    </row>
    <row r="56" spans="2:9" ht="15" customHeight="1" x14ac:dyDescent="0.2">
      <c r="B56" t="s">
        <v>126</v>
      </c>
      <c r="C56" s="12">
        <v>692</v>
      </c>
      <c r="D56" s="8">
        <v>1.81</v>
      </c>
      <c r="E56" s="12">
        <v>511</v>
      </c>
      <c r="F56" s="8">
        <v>2.0499999999999998</v>
      </c>
      <c r="G56" s="12">
        <v>179</v>
      </c>
      <c r="H56" s="8">
        <v>1.39</v>
      </c>
      <c r="I56" s="12">
        <v>2</v>
      </c>
    </row>
    <row r="57" spans="2:9" ht="15" customHeight="1" x14ac:dyDescent="0.2">
      <c r="B57" t="s">
        <v>124</v>
      </c>
      <c r="C57" s="12">
        <v>642</v>
      </c>
      <c r="D57" s="8">
        <v>1.68</v>
      </c>
      <c r="E57" s="12">
        <v>529</v>
      </c>
      <c r="F57" s="8">
        <v>2.12</v>
      </c>
      <c r="G57" s="12">
        <v>112</v>
      </c>
      <c r="H57" s="8">
        <v>0.87</v>
      </c>
      <c r="I57" s="12">
        <v>1</v>
      </c>
    </row>
    <row r="58" spans="2:9" ht="15" customHeight="1" x14ac:dyDescent="0.2">
      <c r="B58" t="s">
        <v>129</v>
      </c>
      <c r="C58" s="12">
        <v>619</v>
      </c>
      <c r="D58" s="8">
        <v>1.62</v>
      </c>
      <c r="E58" s="12">
        <v>263</v>
      </c>
      <c r="F58" s="8">
        <v>1.05</v>
      </c>
      <c r="G58" s="12">
        <v>350</v>
      </c>
      <c r="H58" s="8">
        <v>2.72</v>
      </c>
      <c r="I58" s="12">
        <v>1</v>
      </c>
    </row>
    <row r="59" spans="2:9" ht="15" customHeight="1" x14ac:dyDescent="0.2">
      <c r="B59" t="s">
        <v>122</v>
      </c>
      <c r="C59" s="12">
        <v>583</v>
      </c>
      <c r="D59" s="8">
        <v>1.52</v>
      </c>
      <c r="E59" s="12">
        <v>67</v>
      </c>
      <c r="F59" s="8">
        <v>0.27</v>
      </c>
      <c r="G59" s="12">
        <v>516</v>
      </c>
      <c r="H59" s="8">
        <v>4.01</v>
      </c>
      <c r="I59" s="12">
        <v>0</v>
      </c>
    </row>
    <row r="60" spans="2:9" ht="15" customHeight="1" x14ac:dyDescent="0.2">
      <c r="B60" t="s">
        <v>140</v>
      </c>
      <c r="C60" s="12">
        <v>566</v>
      </c>
      <c r="D60" s="8">
        <v>1.48</v>
      </c>
      <c r="E60" s="12">
        <v>508</v>
      </c>
      <c r="F60" s="8">
        <v>2.0299999999999998</v>
      </c>
      <c r="G60" s="12">
        <v>58</v>
      </c>
      <c r="H60" s="8">
        <v>0.45</v>
      </c>
      <c r="I60" s="12">
        <v>0</v>
      </c>
    </row>
    <row r="61" spans="2:9" ht="15" customHeight="1" x14ac:dyDescent="0.2">
      <c r="B61" t="s">
        <v>134</v>
      </c>
      <c r="C61" s="12">
        <v>553</v>
      </c>
      <c r="D61" s="8">
        <v>1.45</v>
      </c>
      <c r="E61" s="12">
        <v>502</v>
      </c>
      <c r="F61" s="8">
        <v>2.0099999999999998</v>
      </c>
      <c r="G61" s="12">
        <v>51</v>
      </c>
      <c r="H61" s="8">
        <v>0.4</v>
      </c>
      <c r="I61" s="12">
        <v>0</v>
      </c>
    </row>
    <row r="62" spans="2:9" ht="15" customHeight="1" x14ac:dyDescent="0.2">
      <c r="B62" t="s">
        <v>130</v>
      </c>
      <c r="C62" s="12">
        <v>551</v>
      </c>
      <c r="D62" s="8">
        <v>1.44</v>
      </c>
      <c r="E62" s="12">
        <v>427</v>
      </c>
      <c r="F62" s="8">
        <v>1.71</v>
      </c>
      <c r="G62" s="12">
        <v>123</v>
      </c>
      <c r="H62" s="8">
        <v>0.96</v>
      </c>
      <c r="I62" s="12">
        <v>0</v>
      </c>
    </row>
    <row r="63" spans="2:9" ht="15" customHeight="1" x14ac:dyDescent="0.2">
      <c r="B63" t="s">
        <v>138</v>
      </c>
      <c r="C63" s="12">
        <v>536</v>
      </c>
      <c r="D63" s="8">
        <v>1.4</v>
      </c>
      <c r="E63" s="12">
        <v>455</v>
      </c>
      <c r="F63" s="8">
        <v>1.82</v>
      </c>
      <c r="G63" s="12">
        <v>80</v>
      </c>
      <c r="H63" s="8">
        <v>0.62</v>
      </c>
      <c r="I63" s="12">
        <v>0</v>
      </c>
    </row>
    <row r="64" spans="2:9" ht="15" customHeight="1" x14ac:dyDescent="0.2">
      <c r="B64" t="s">
        <v>137</v>
      </c>
      <c r="C64" s="12">
        <v>507</v>
      </c>
      <c r="D64" s="8">
        <v>1.33</v>
      </c>
      <c r="E64" s="12">
        <v>396</v>
      </c>
      <c r="F64" s="8">
        <v>1.59</v>
      </c>
      <c r="G64" s="12">
        <v>111</v>
      </c>
      <c r="H64" s="8">
        <v>0.86</v>
      </c>
      <c r="I64" s="12">
        <v>0</v>
      </c>
    </row>
    <row r="65" spans="2:9" ht="15" customHeight="1" x14ac:dyDescent="0.2">
      <c r="B65" t="s">
        <v>125</v>
      </c>
      <c r="C65" s="12">
        <v>496</v>
      </c>
      <c r="D65" s="8">
        <v>1.3</v>
      </c>
      <c r="E65" s="12">
        <v>262</v>
      </c>
      <c r="F65" s="8">
        <v>1.05</v>
      </c>
      <c r="G65" s="12">
        <v>234</v>
      </c>
      <c r="H65" s="8">
        <v>1.82</v>
      </c>
      <c r="I65" s="12">
        <v>0</v>
      </c>
    </row>
    <row r="66" spans="2:9" ht="15" customHeight="1" x14ac:dyDescent="0.2">
      <c r="B66" t="s">
        <v>127</v>
      </c>
      <c r="C66" s="12">
        <v>496</v>
      </c>
      <c r="D66" s="8">
        <v>1.3</v>
      </c>
      <c r="E66" s="12">
        <v>148</v>
      </c>
      <c r="F66" s="8">
        <v>0.59</v>
      </c>
      <c r="G66" s="12">
        <v>345</v>
      </c>
      <c r="H66" s="8">
        <v>2.68</v>
      </c>
      <c r="I66" s="12">
        <v>0</v>
      </c>
    </row>
    <row r="68" spans="2:9" ht="15" customHeight="1" x14ac:dyDescent="0.2">
      <c r="B68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02DCF-F5A1-4096-8CBD-B0B824F1069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264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5</v>
      </c>
      <c r="D5" s="8">
        <v>0.05</v>
      </c>
      <c r="E5" s="12">
        <v>0</v>
      </c>
      <c r="F5" s="8">
        <v>0</v>
      </c>
      <c r="G5" s="12">
        <v>5</v>
      </c>
      <c r="H5" s="8">
        <v>0.12</v>
      </c>
      <c r="I5" s="12">
        <v>0</v>
      </c>
    </row>
    <row r="6" spans="2:9" ht="15" customHeight="1" x14ac:dyDescent="0.2">
      <c r="B6" t="s">
        <v>43</v>
      </c>
      <c r="C6" s="12">
        <v>604</v>
      </c>
      <c r="D6" s="8">
        <v>6.02</v>
      </c>
      <c r="E6" s="12">
        <v>122</v>
      </c>
      <c r="F6" s="8">
        <v>2.04</v>
      </c>
      <c r="G6" s="12">
        <v>482</v>
      </c>
      <c r="H6" s="8">
        <v>12.02</v>
      </c>
      <c r="I6" s="12">
        <v>0</v>
      </c>
    </row>
    <row r="7" spans="2:9" ht="15" customHeight="1" x14ac:dyDescent="0.2">
      <c r="B7" t="s">
        <v>44</v>
      </c>
      <c r="C7" s="12">
        <v>262</v>
      </c>
      <c r="D7" s="8">
        <v>2.61</v>
      </c>
      <c r="E7" s="12">
        <v>159</v>
      </c>
      <c r="F7" s="8">
        <v>2.66</v>
      </c>
      <c r="G7" s="12">
        <v>103</v>
      </c>
      <c r="H7" s="8">
        <v>2.57</v>
      </c>
      <c r="I7" s="12">
        <v>0</v>
      </c>
    </row>
    <row r="8" spans="2:9" ht="15" customHeight="1" x14ac:dyDescent="0.2">
      <c r="B8" t="s">
        <v>45</v>
      </c>
      <c r="C8" s="12">
        <v>4</v>
      </c>
      <c r="D8" s="8">
        <v>0.04</v>
      </c>
      <c r="E8" s="12">
        <v>0</v>
      </c>
      <c r="F8" s="8">
        <v>0</v>
      </c>
      <c r="G8" s="12">
        <v>4</v>
      </c>
      <c r="H8" s="8">
        <v>0.1</v>
      </c>
      <c r="I8" s="12">
        <v>0</v>
      </c>
    </row>
    <row r="9" spans="2:9" ht="15" customHeight="1" x14ac:dyDescent="0.2">
      <c r="B9" t="s">
        <v>46</v>
      </c>
      <c r="C9" s="12">
        <v>171</v>
      </c>
      <c r="D9" s="8">
        <v>1.7</v>
      </c>
      <c r="E9" s="12">
        <v>16</v>
      </c>
      <c r="F9" s="8">
        <v>0.27</v>
      </c>
      <c r="G9" s="12">
        <v>154</v>
      </c>
      <c r="H9" s="8">
        <v>3.84</v>
      </c>
      <c r="I9" s="12">
        <v>1</v>
      </c>
    </row>
    <row r="10" spans="2:9" ht="15" customHeight="1" x14ac:dyDescent="0.2">
      <c r="B10" t="s">
        <v>47</v>
      </c>
      <c r="C10" s="12">
        <v>81</v>
      </c>
      <c r="D10" s="8">
        <v>0.81</v>
      </c>
      <c r="E10" s="12">
        <v>9</v>
      </c>
      <c r="F10" s="8">
        <v>0.15</v>
      </c>
      <c r="G10" s="12">
        <v>70</v>
      </c>
      <c r="H10" s="8">
        <v>1.75</v>
      </c>
      <c r="I10" s="12">
        <v>0</v>
      </c>
    </row>
    <row r="11" spans="2:9" ht="15" customHeight="1" x14ac:dyDescent="0.2">
      <c r="B11" t="s">
        <v>48</v>
      </c>
      <c r="C11" s="12">
        <v>2286</v>
      </c>
      <c r="D11" s="8">
        <v>22.79</v>
      </c>
      <c r="E11" s="12">
        <v>1260</v>
      </c>
      <c r="F11" s="8">
        <v>21.06</v>
      </c>
      <c r="G11" s="12">
        <v>1025</v>
      </c>
      <c r="H11" s="8">
        <v>25.56</v>
      </c>
      <c r="I11" s="12">
        <v>1</v>
      </c>
    </row>
    <row r="12" spans="2:9" ht="15" customHeight="1" x14ac:dyDescent="0.2">
      <c r="B12" t="s">
        <v>49</v>
      </c>
      <c r="C12" s="12">
        <v>77</v>
      </c>
      <c r="D12" s="8">
        <v>0.77</v>
      </c>
      <c r="E12" s="12">
        <v>15</v>
      </c>
      <c r="F12" s="8">
        <v>0.25</v>
      </c>
      <c r="G12" s="12">
        <v>62</v>
      </c>
      <c r="H12" s="8">
        <v>1.55</v>
      </c>
      <c r="I12" s="12">
        <v>0</v>
      </c>
    </row>
    <row r="13" spans="2:9" ht="15" customHeight="1" x14ac:dyDescent="0.2">
      <c r="B13" t="s">
        <v>50</v>
      </c>
      <c r="C13" s="12">
        <v>1618</v>
      </c>
      <c r="D13" s="8">
        <v>16.13</v>
      </c>
      <c r="E13" s="12">
        <v>767</v>
      </c>
      <c r="F13" s="8">
        <v>12.82</v>
      </c>
      <c r="G13" s="12">
        <v>849</v>
      </c>
      <c r="H13" s="8">
        <v>21.17</v>
      </c>
      <c r="I13" s="12">
        <v>2</v>
      </c>
    </row>
    <row r="14" spans="2:9" ht="15" customHeight="1" x14ac:dyDescent="0.2">
      <c r="B14" t="s">
        <v>51</v>
      </c>
      <c r="C14" s="12">
        <v>603</v>
      </c>
      <c r="D14" s="8">
        <v>6.01</v>
      </c>
      <c r="E14" s="12">
        <v>284</v>
      </c>
      <c r="F14" s="8">
        <v>4.75</v>
      </c>
      <c r="G14" s="12">
        <v>318</v>
      </c>
      <c r="H14" s="8">
        <v>7.93</v>
      </c>
      <c r="I14" s="12">
        <v>1</v>
      </c>
    </row>
    <row r="15" spans="2:9" ht="15" customHeight="1" x14ac:dyDescent="0.2">
      <c r="B15" t="s">
        <v>52</v>
      </c>
      <c r="C15" s="12">
        <v>2044</v>
      </c>
      <c r="D15" s="8">
        <v>20.37</v>
      </c>
      <c r="E15" s="12">
        <v>1792</v>
      </c>
      <c r="F15" s="8">
        <v>29.95</v>
      </c>
      <c r="G15" s="12">
        <v>250</v>
      </c>
      <c r="H15" s="8">
        <v>6.23</v>
      </c>
      <c r="I15" s="12">
        <v>1</v>
      </c>
    </row>
    <row r="16" spans="2:9" ht="15" customHeight="1" x14ac:dyDescent="0.2">
      <c r="B16" t="s">
        <v>53</v>
      </c>
      <c r="C16" s="12">
        <v>1083</v>
      </c>
      <c r="D16" s="8">
        <v>10.8</v>
      </c>
      <c r="E16" s="12">
        <v>847</v>
      </c>
      <c r="F16" s="8">
        <v>14.16</v>
      </c>
      <c r="G16" s="12">
        <v>231</v>
      </c>
      <c r="H16" s="8">
        <v>5.76</v>
      </c>
      <c r="I16" s="12">
        <v>1</v>
      </c>
    </row>
    <row r="17" spans="2:9" ht="15" customHeight="1" x14ac:dyDescent="0.2">
      <c r="B17" t="s">
        <v>54</v>
      </c>
      <c r="C17" s="12">
        <v>510</v>
      </c>
      <c r="D17" s="8">
        <v>5.08</v>
      </c>
      <c r="E17" s="12">
        <v>419</v>
      </c>
      <c r="F17" s="8">
        <v>7</v>
      </c>
      <c r="G17" s="12">
        <v>86</v>
      </c>
      <c r="H17" s="8">
        <v>2.14</v>
      </c>
      <c r="I17" s="12">
        <v>2</v>
      </c>
    </row>
    <row r="18" spans="2:9" ht="15" customHeight="1" x14ac:dyDescent="0.2">
      <c r="B18" t="s">
        <v>55</v>
      </c>
      <c r="C18" s="12">
        <v>391</v>
      </c>
      <c r="D18" s="8">
        <v>3.9</v>
      </c>
      <c r="E18" s="12">
        <v>223</v>
      </c>
      <c r="F18" s="8">
        <v>3.73</v>
      </c>
      <c r="G18" s="12">
        <v>158</v>
      </c>
      <c r="H18" s="8">
        <v>3.94</v>
      </c>
      <c r="I18" s="12">
        <v>10</v>
      </c>
    </row>
    <row r="19" spans="2:9" ht="15" customHeight="1" x14ac:dyDescent="0.2">
      <c r="B19" t="s">
        <v>56</v>
      </c>
      <c r="C19" s="12">
        <v>293</v>
      </c>
      <c r="D19" s="8">
        <v>2.92</v>
      </c>
      <c r="E19" s="12">
        <v>70</v>
      </c>
      <c r="F19" s="8">
        <v>1.17</v>
      </c>
      <c r="G19" s="12">
        <v>213</v>
      </c>
      <c r="H19" s="8">
        <v>5.31</v>
      </c>
      <c r="I19" s="12">
        <v>6</v>
      </c>
    </row>
    <row r="20" spans="2:9" ht="15" customHeight="1" x14ac:dyDescent="0.2">
      <c r="B20" s="9" t="s">
        <v>260</v>
      </c>
      <c r="C20" s="12">
        <f>SUM(LTBL_47201[総数／事業所数])</f>
        <v>10032</v>
      </c>
      <c r="E20" s="12">
        <f>SUBTOTAL(109,LTBL_47201[個人／事業所数])</f>
        <v>5983</v>
      </c>
      <c r="G20" s="12">
        <f>SUBTOTAL(109,LTBL_47201[法人／事業所数])</f>
        <v>4010</v>
      </c>
      <c r="I20" s="12">
        <f>SUBTOTAL(109,LTBL_47201[法人以外の団体／事業所数])</f>
        <v>25</v>
      </c>
    </row>
    <row r="21" spans="2:9" ht="15" customHeight="1" x14ac:dyDescent="0.2">
      <c r="E21" s="11">
        <f>LTBL_47201[[#Totals],[個人／事業所数]]/LTBL_47201[[#Totals],[総数／事業所数]]</f>
        <v>0.59639154704944175</v>
      </c>
      <c r="G21" s="11">
        <f>LTBL_47201[[#Totals],[法人／事業所数]]/LTBL_47201[[#Totals],[総数／事業所数]]</f>
        <v>0.39972089314194575</v>
      </c>
      <c r="I21" s="11">
        <f>LTBL_47201[[#Totals],[法人以外の団体／事業所数]]/LTBL_47201[[#Totals],[総数／事業所数]]</f>
        <v>2.492025518341308E-3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77</v>
      </c>
      <c r="C24" s="12">
        <v>1890</v>
      </c>
      <c r="D24" s="8">
        <v>18.84</v>
      </c>
      <c r="E24" s="12">
        <v>1708</v>
      </c>
      <c r="F24" s="8">
        <v>28.55</v>
      </c>
      <c r="G24" s="12">
        <v>181</v>
      </c>
      <c r="H24" s="8">
        <v>4.51</v>
      </c>
      <c r="I24" s="12">
        <v>1</v>
      </c>
    </row>
    <row r="25" spans="2:9" ht="15" customHeight="1" x14ac:dyDescent="0.2">
      <c r="B25" t="s">
        <v>73</v>
      </c>
      <c r="C25" s="12">
        <v>1326</v>
      </c>
      <c r="D25" s="8">
        <v>13.22</v>
      </c>
      <c r="E25" s="12">
        <v>714</v>
      </c>
      <c r="F25" s="8">
        <v>11.93</v>
      </c>
      <c r="G25" s="12">
        <v>610</v>
      </c>
      <c r="H25" s="8">
        <v>15.21</v>
      </c>
      <c r="I25" s="12">
        <v>2</v>
      </c>
    </row>
    <row r="26" spans="2:9" ht="15" customHeight="1" x14ac:dyDescent="0.2">
      <c r="B26" t="s">
        <v>78</v>
      </c>
      <c r="C26" s="12">
        <v>846</v>
      </c>
      <c r="D26" s="8">
        <v>8.43</v>
      </c>
      <c r="E26" s="12">
        <v>725</v>
      </c>
      <c r="F26" s="8">
        <v>12.12</v>
      </c>
      <c r="G26" s="12">
        <v>121</v>
      </c>
      <c r="H26" s="8">
        <v>3.02</v>
      </c>
      <c r="I26" s="12">
        <v>0</v>
      </c>
    </row>
    <row r="27" spans="2:9" ht="15" customHeight="1" x14ac:dyDescent="0.2">
      <c r="B27" t="s">
        <v>71</v>
      </c>
      <c r="C27" s="12">
        <v>646</v>
      </c>
      <c r="D27" s="8">
        <v>6.44</v>
      </c>
      <c r="E27" s="12">
        <v>428</v>
      </c>
      <c r="F27" s="8">
        <v>7.15</v>
      </c>
      <c r="G27" s="12">
        <v>218</v>
      </c>
      <c r="H27" s="8">
        <v>5.44</v>
      </c>
      <c r="I27" s="12">
        <v>0</v>
      </c>
    </row>
    <row r="28" spans="2:9" ht="15" customHeight="1" x14ac:dyDescent="0.2">
      <c r="B28" t="s">
        <v>81</v>
      </c>
      <c r="C28" s="12">
        <v>510</v>
      </c>
      <c r="D28" s="8">
        <v>5.08</v>
      </c>
      <c r="E28" s="12">
        <v>419</v>
      </c>
      <c r="F28" s="8">
        <v>7</v>
      </c>
      <c r="G28" s="12">
        <v>86</v>
      </c>
      <c r="H28" s="8">
        <v>2.14</v>
      </c>
      <c r="I28" s="12">
        <v>2</v>
      </c>
    </row>
    <row r="29" spans="2:9" ht="15" customHeight="1" x14ac:dyDescent="0.2">
      <c r="B29" t="s">
        <v>69</v>
      </c>
      <c r="C29" s="12">
        <v>507</v>
      </c>
      <c r="D29" s="8">
        <v>5.05</v>
      </c>
      <c r="E29" s="12">
        <v>375</v>
      </c>
      <c r="F29" s="8">
        <v>6.27</v>
      </c>
      <c r="G29" s="12">
        <v>132</v>
      </c>
      <c r="H29" s="8">
        <v>3.29</v>
      </c>
      <c r="I29" s="12">
        <v>0</v>
      </c>
    </row>
    <row r="30" spans="2:9" ht="15" customHeight="1" x14ac:dyDescent="0.2">
      <c r="B30" t="s">
        <v>68</v>
      </c>
      <c r="C30" s="12">
        <v>361</v>
      </c>
      <c r="D30" s="8">
        <v>3.6</v>
      </c>
      <c r="E30" s="12">
        <v>244</v>
      </c>
      <c r="F30" s="8">
        <v>4.08</v>
      </c>
      <c r="G30" s="12">
        <v>117</v>
      </c>
      <c r="H30" s="8">
        <v>2.92</v>
      </c>
      <c r="I30" s="12">
        <v>0</v>
      </c>
    </row>
    <row r="31" spans="2:9" ht="15" customHeight="1" x14ac:dyDescent="0.2">
      <c r="B31" t="s">
        <v>74</v>
      </c>
      <c r="C31" s="12">
        <v>327</v>
      </c>
      <c r="D31" s="8">
        <v>3.26</v>
      </c>
      <c r="E31" s="12">
        <v>189</v>
      </c>
      <c r="F31" s="8">
        <v>3.16</v>
      </c>
      <c r="G31" s="12">
        <v>137</v>
      </c>
      <c r="H31" s="8">
        <v>3.42</v>
      </c>
      <c r="I31" s="12">
        <v>1</v>
      </c>
    </row>
    <row r="32" spans="2:9" ht="15" customHeight="1" x14ac:dyDescent="0.2">
      <c r="B32" t="s">
        <v>65</v>
      </c>
      <c r="C32" s="12">
        <v>238</v>
      </c>
      <c r="D32" s="8">
        <v>2.37</v>
      </c>
      <c r="E32" s="12">
        <v>25</v>
      </c>
      <c r="F32" s="8">
        <v>0.42</v>
      </c>
      <c r="G32" s="12">
        <v>213</v>
      </c>
      <c r="H32" s="8">
        <v>5.31</v>
      </c>
      <c r="I32" s="12">
        <v>0</v>
      </c>
    </row>
    <row r="33" spans="2:9" ht="15" customHeight="1" x14ac:dyDescent="0.2">
      <c r="B33" t="s">
        <v>75</v>
      </c>
      <c r="C33" s="12">
        <v>234</v>
      </c>
      <c r="D33" s="8">
        <v>2.33</v>
      </c>
      <c r="E33" s="12">
        <v>91</v>
      </c>
      <c r="F33" s="8">
        <v>1.52</v>
      </c>
      <c r="G33" s="12">
        <v>143</v>
      </c>
      <c r="H33" s="8">
        <v>3.57</v>
      </c>
      <c r="I33" s="12">
        <v>0</v>
      </c>
    </row>
    <row r="34" spans="2:9" ht="15" customHeight="1" x14ac:dyDescent="0.2">
      <c r="B34" t="s">
        <v>82</v>
      </c>
      <c r="C34" s="12">
        <v>232</v>
      </c>
      <c r="D34" s="8">
        <v>2.31</v>
      </c>
      <c r="E34" s="12">
        <v>207</v>
      </c>
      <c r="F34" s="8">
        <v>3.46</v>
      </c>
      <c r="G34" s="12">
        <v>25</v>
      </c>
      <c r="H34" s="8">
        <v>0.62</v>
      </c>
      <c r="I34" s="12">
        <v>0</v>
      </c>
    </row>
    <row r="35" spans="2:9" ht="15" customHeight="1" x14ac:dyDescent="0.2">
      <c r="B35" t="s">
        <v>72</v>
      </c>
      <c r="C35" s="12">
        <v>227</v>
      </c>
      <c r="D35" s="8">
        <v>2.2599999999999998</v>
      </c>
      <c r="E35" s="12">
        <v>44</v>
      </c>
      <c r="F35" s="8">
        <v>0.74</v>
      </c>
      <c r="G35" s="12">
        <v>183</v>
      </c>
      <c r="H35" s="8">
        <v>4.5599999999999996</v>
      </c>
      <c r="I35" s="12">
        <v>0</v>
      </c>
    </row>
    <row r="36" spans="2:9" ht="15" customHeight="1" x14ac:dyDescent="0.2">
      <c r="B36" t="s">
        <v>67</v>
      </c>
      <c r="C36" s="12">
        <v>200</v>
      </c>
      <c r="D36" s="8">
        <v>1.99</v>
      </c>
      <c r="E36" s="12">
        <v>43</v>
      </c>
      <c r="F36" s="8">
        <v>0.72</v>
      </c>
      <c r="G36" s="12">
        <v>157</v>
      </c>
      <c r="H36" s="8">
        <v>3.92</v>
      </c>
      <c r="I36" s="12">
        <v>0</v>
      </c>
    </row>
    <row r="37" spans="2:9" ht="15" customHeight="1" x14ac:dyDescent="0.2">
      <c r="B37" t="s">
        <v>66</v>
      </c>
      <c r="C37" s="12">
        <v>166</v>
      </c>
      <c r="D37" s="8">
        <v>1.65</v>
      </c>
      <c r="E37" s="12">
        <v>54</v>
      </c>
      <c r="F37" s="8">
        <v>0.9</v>
      </c>
      <c r="G37" s="12">
        <v>112</v>
      </c>
      <c r="H37" s="8">
        <v>2.79</v>
      </c>
      <c r="I37" s="12">
        <v>0</v>
      </c>
    </row>
    <row r="38" spans="2:9" ht="15" customHeight="1" x14ac:dyDescent="0.2">
      <c r="B38" t="s">
        <v>70</v>
      </c>
      <c r="C38" s="12">
        <v>162</v>
      </c>
      <c r="D38" s="8">
        <v>1.61</v>
      </c>
      <c r="E38" s="12">
        <v>125</v>
      </c>
      <c r="F38" s="8">
        <v>2.09</v>
      </c>
      <c r="G38" s="12">
        <v>37</v>
      </c>
      <c r="H38" s="8">
        <v>0.92</v>
      </c>
      <c r="I38" s="12">
        <v>0</v>
      </c>
    </row>
    <row r="39" spans="2:9" ht="15" customHeight="1" x14ac:dyDescent="0.2">
      <c r="B39" t="s">
        <v>83</v>
      </c>
      <c r="C39" s="12">
        <v>159</v>
      </c>
      <c r="D39" s="8">
        <v>1.58</v>
      </c>
      <c r="E39" s="12">
        <v>16</v>
      </c>
      <c r="F39" s="8">
        <v>0.27</v>
      </c>
      <c r="G39" s="12">
        <v>133</v>
      </c>
      <c r="H39" s="8">
        <v>3.32</v>
      </c>
      <c r="I39" s="12">
        <v>10</v>
      </c>
    </row>
    <row r="40" spans="2:9" ht="15" customHeight="1" x14ac:dyDescent="0.2">
      <c r="B40" t="s">
        <v>85</v>
      </c>
      <c r="C40" s="12">
        <v>142</v>
      </c>
      <c r="D40" s="8">
        <v>1.42</v>
      </c>
      <c r="E40" s="12">
        <v>8</v>
      </c>
      <c r="F40" s="8">
        <v>0.13</v>
      </c>
      <c r="G40" s="12">
        <v>134</v>
      </c>
      <c r="H40" s="8">
        <v>3.34</v>
      </c>
      <c r="I40" s="12">
        <v>0</v>
      </c>
    </row>
    <row r="41" spans="2:9" ht="15" customHeight="1" x14ac:dyDescent="0.2">
      <c r="B41" t="s">
        <v>79</v>
      </c>
      <c r="C41" s="12">
        <v>141</v>
      </c>
      <c r="D41" s="8">
        <v>1.41</v>
      </c>
      <c r="E41" s="12">
        <v>66</v>
      </c>
      <c r="F41" s="8">
        <v>1.1000000000000001</v>
      </c>
      <c r="G41" s="12">
        <v>73</v>
      </c>
      <c r="H41" s="8">
        <v>1.82</v>
      </c>
      <c r="I41" s="12">
        <v>1</v>
      </c>
    </row>
    <row r="42" spans="2:9" ht="15" customHeight="1" x14ac:dyDescent="0.2">
      <c r="B42" t="s">
        <v>87</v>
      </c>
      <c r="C42" s="12">
        <v>140</v>
      </c>
      <c r="D42" s="8">
        <v>1.4</v>
      </c>
      <c r="E42" s="12">
        <v>16</v>
      </c>
      <c r="F42" s="8">
        <v>0.27</v>
      </c>
      <c r="G42" s="12">
        <v>118</v>
      </c>
      <c r="H42" s="8">
        <v>2.94</v>
      </c>
      <c r="I42" s="12">
        <v>6</v>
      </c>
    </row>
    <row r="43" spans="2:9" ht="15" customHeight="1" x14ac:dyDescent="0.2">
      <c r="B43" t="s">
        <v>86</v>
      </c>
      <c r="C43" s="12">
        <v>139</v>
      </c>
      <c r="D43" s="8">
        <v>1.39</v>
      </c>
      <c r="E43" s="12">
        <v>28</v>
      </c>
      <c r="F43" s="8">
        <v>0.47</v>
      </c>
      <c r="G43" s="12">
        <v>110</v>
      </c>
      <c r="H43" s="8">
        <v>2.74</v>
      </c>
      <c r="I43" s="12">
        <v>1</v>
      </c>
    </row>
    <row r="46" spans="2:9" ht="33" customHeight="1" x14ac:dyDescent="0.2">
      <c r="B46" t="s">
        <v>262</v>
      </c>
      <c r="C46" s="10" t="s">
        <v>58</v>
      </c>
      <c r="D46" s="10" t="s">
        <v>59</v>
      </c>
      <c r="E46" s="10" t="s">
        <v>60</v>
      </c>
      <c r="F46" s="10" t="s">
        <v>61</v>
      </c>
      <c r="G46" s="10" t="s">
        <v>62</v>
      </c>
      <c r="H46" s="10" t="s">
        <v>63</v>
      </c>
      <c r="I46" s="10" t="s">
        <v>64</v>
      </c>
    </row>
    <row r="47" spans="2:9" ht="15" customHeight="1" x14ac:dyDescent="0.2">
      <c r="B47" t="s">
        <v>128</v>
      </c>
      <c r="C47" s="12">
        <v>964</v>
      </c>
      <c r="D47" s="8">
        <v>9.61</v>
      </c>
      <c r="E47" s="12">
        <v>592</v>
      </c>
      <c r="F47" s="8">
        <v>9.89</v>
      </c>
      <c r="G47" s="12">
        <v>372</v>
      </c>
      <c r="H47" s="8">
        <v>9.2799999999999994</v>
      </c>
      <c r="I47" s="12">
        <v>0</v>
      </c>
    </row>
    <row r="48" spans="2:9" ht="15" customHeight="1" x14ac:dyDescent="0.2">
      <c r="B48" t="s">
        <v>133</v>
      </c>
      <c r="C48" s="12">
        <v>674</v>
      </c>
      <c r="D48" s="8">
        <v>6.72</v>
      </c>
      <c r="E48" s="12">
        <v>657</v>
      </c>
      <c r="F48" s="8">
        <v>10.98</v>
      </c>
      <c r="G48" s="12">
        <v>17</v>
      </c>
      <c r="H48" s="8">
        <v>0.42</v>
      </c>
      <c r="I48" s="12">
        <v>0</v>
      </c>
    </row>
    <row r="49" spans="2:9" ht="15" customHeight="1" x14ac:dyDescent="0.2">
      <c r="B49" t="s">
        <v>132</v>
      </c>
      <c r="C49" s="12">
        <v>584</v>
      </c>
      <c r="D49" s="8">
        <v>5.82</v>
      </c>
      <c r="E49" s="12">
        <v>536</v>
      </c>
      <c r="F49" s="8">
        <v>8.9600000000000009</v>
      </c>
      <c r="G49" s="12">
        <v>48</v>
      </c>
      <c r="H49" s="8">
        <v>1.2</v>
      </c>
      <c r="I49" s="12">
        <v>0</v>
      </c>
    </row>
    <row r="50" spans="2:9" ht="15" customHeight="1" x14ac:dyDescent="0.2">
      <c r="B50" t="s">
        <v>136</v>
      </c>
      <c r="C50" s="12">
        <v>461</v>
      </c>
      <c r="D50" s="8">
        <v>4.5999999999999996</v>
      </c>
      <c r="E50" s="12">
        <v>433</v>
      </c>
      <c r="F50" s="8">
        <v>7.24</v>
      </c>
      <c r="G50" s="12">
        <v>28</v>
      </c>
      <c r="H50" s="8">
        <v>0.7</v>
      </c>
      <c r="I50" s="12">
        <v>0</v>
      </c>
    </row>
    <row r="51" spans="2:9" ht="15" customHeight="1" x14ac:dyDescent="0.2">
      <c r="B51" t="s">
        <v>139</v>
      </c>
      <c r="C51" s="12">
        <v>334</v>
      </c>
      <c r="D51" s="8">
        <v>3.33</v>
      </c>
      <c r="E51" s="12">
        <v>294</v>
      </c>
      <c r="F51" s="8">
        <v>4.91</v>
      </c>
      <c r="G51" s="12">
        <v>38</v>
      </c>
      <c r="H51" s="8">
        <v>0.95</v>
      </c>
      <c r="I51" s="12">
        <v>2</v>
      </c>
    </row>
    <row r="52" spans="2:9" ht="15" customHeight="1" x14ac:dyDescent="0.2">
      <c r="B52" t="s">
        <v>131</v>
      </c>
      <c r="C52" s="12">
        <v>298</v>
      </c>
      <c r="D52" s="8">
        <v>2.97</v>
      </c>
      <c r="E52" s="12">
        <v>231</v>
      </c>
      <c r="F52" s="8">
        <v>3.86</v>
      </c>
      <c r="G52" s="12">
        <v>67</v>
      </c>
      <c r="H52" s="8">
        <v>1.67</v>
      </c>
      <c r="I52" s="12">
        <v>0</v>
      </c>
    </row>
    <row r="53" spans="2:9" ht="15" customHeight="1" x14ac:dyDescent="0.2">
      <c r="B53" t="s">
        <v>126</v>
      </c>
      <c r="C53" s="12">
        <v>223</v>
      </c>
      <c r="D53" s="8">
        <v>2.2200000000000002</v>
      </c>
      <c r="E53" s="12">
        <v>157</v>
      </c>
      <c r="F53" s="8">
        <v>2.62</v>
      </c>
      <c r="G53" s="12">
        <v>66</v>
      </c>
      <c r="H53" s="8">
        <v>1.65</v>
      </c>
      <c r="I53" s="12">
        <v>0</v>
      </c>
    </row>
    <row r="54" spans="2:9" ht="15" customHeight="1" x14ac:dyDescent="0.2">
      <c r="B54" t="s">
        <v>123</v>
      </c>
      <c r="C54" s="12">
        <v>210</v>
      </c>
      <c r="D54" s="8">
        <v>2.09</v>
      </c>
      <c r="E54" s="12">
        <v>150</v>
      </c>
      <c r="F54" s="8">
        <v>2.5099999999999998</v>
      </c>
      <c r="G54" s="12">
        <v>60</v>
      </c>
      <c r="H54" s="8">
        <v>1.5</v>
      </c>
      <c r="I54" s="12">
        <v>0</v>
      </c>
    </row>
    <row r="55" spans="2:9" ht="15" customHeight="1" x14ac:dyDescent="0.2">
      <c r="B55" t="s">
        <v>127</v>
      </c>
      <c r="C55" s="12">
        <v>201</v>
      </c>
      <c r="D55" s="8">
        <v>2</v>
      </c>
      <c r="E55" s="12">
        <v>57</v>
      </c>
      <c r="F55" s="8">
        <v>0.95</v>
      </c>
      <c r="G55" s="12">
        <v>144</v>
      </c>
      <c r="H55" s="8">
        <v>3.59</v>
      </c>
      <c r="I55" s="12">
        <v>0</v>
      </c>
    </row>
    <row r="56" spans="2:9" ht="15" customHeight="1" x14ac:dyDescent="0.2">
      <c r="B56" t="s">
        <v>129</v>
      </c>
      <c r="C56" s="12">
        <v>197</v>
      </c>
      <c r="D56" s="8">
        <v>1.96</v>
      </c>
      <c r="E56" s="12">
        <v>70</v>
      </c>
      <c r="F56" s="8">
        <v>1.17</v>
      </c>
      <c r="G56" s="12">
        <v>127</v>
      </c>
      <c r="H56" s="8">
        <v>3.17</v>
      </c>
      <c r="I56" s="12">
        <v>0</v>
      </c>
    </row>
    <row r="57" spans="2:9" ht="15" customHeight="1" x14ac:dyDescent="0.2">
      <c r="B57" t="s">
        <v>135</v>
      </c>
      <c r="C57" s="12">
        <v>178</v>
      </c>
      <c r="D57" s="8">
        <v>1.77</v>
      </c>
      <c r="E57" s="12">
        <v>172</v>
      </c>
      <c r="F57" s="8">
        <v>2.87</v>
      </c>
      <c r="G57" s="12">
        <v>6</v>
      </c>
      <c r="H57" s="8">
        <v>0.15</v>
      </c>
      <c r="I57" s="12">
        <v>0</v>
      </c>
    </row>
    <row r="58" spans="2:9" ht="15" customHeight="1" x14ac:dyDescent="0.2">
      <c r="B58" t="s">
        <v>145</v>
      </c>
      <c r="C58" s="12">
        <v>169</v>
      </c>
      <c r="D58" s="8">
        <v>1.68</v>
      </c>
      <c r="E58" s="12">
        <v>36</v>
      </c>
      <c r="F58" s="8">
        <v>0.6</v>
      </c>
      <c r="G58" s="12">
        <v>133</v>
      </c>
      <c r="H58" s="8">
        <v>3.32</v>
      </c>
      <c r="I58" s="12">
        <v>0</v>
      </c>
    </row>
    <row r="59" spans="2:9" ht="15" customHeight="1" x14ac:dyDescent="0.2">
      <c r="B59" t="s">
        <v>125</v>
      </c>
      <c r="C59" s="12">
        <v>166</v>
      </c>
      <c r="D59" s="8">
        <v>1.65</v>
      </c>
      <c r="E59" s="12">
        <v>86</v>
      </c>
      <c r="F59" s="8">
        <v>1.44</v>
      </c>
      <c r="G59" s="12">
        <v>80</v>
      </c>
      <c r="H59" s="8">
        <v>2</v>
      </c>
      <c r="I59" s="12">
        <v>0</v>
      </c>
    </row>
    <row r="60" spans="2:9" ht="15" customHeight="1" x14ac:dyDescent="0.2">
      <c r="B60" t="s">
        <v>140</v>
      </c>
      <c r="C60" s="12">
        <v>160</v>
      </c>
      <c r="D60" s="8">
        <v>1.59</v>
      </c>
      <c r="E60" s="12">
        <v>142</v>
      </c>
      <c r="F60" s="8">
        <v>2.37</v>
      </c>
      <c r="G60" s="12">
        <v>18</v>
      </c>
      <c r="H60" s="8">
        <v>0.45</v>
      </c>
      <c r="I60" s="12">
        <v>0</v>
      </c>
    </row>
    <row r="61" spans="2:9" ht="15" customHeight="1" x14ac:dyDescent="0.2">
      <c r="B61" t="s">
        <v>138</v>
      </c>
      <c r="C61" s="12">
        <v>145</v>
      </c>
      <c r="D61" s="8">
        <v>1.45</v>
      </c>
      <c r="E61" s="12">
        <v>116</v>
      </c>
      <c r="F61" s="8">
        <v>1.94</v>
      </c>
      <c r="G61" s="12">
        <v>29</v>
      </c>
      <c r="H61" s="8">
        <v>0.72</v>
      </c>
      <c r="I61" s="12">
        <v>0</v>
      </c>
    </row>
    <row r="62" spans="2:9" ht="15" customHeight="1" x14ac:dyDescent="0.2">
      <c r="B62" t="s">
        <v>142</v>
      </c>
      <c r="C62" s="12">
        <v>144</v>
      </c>
      <c r="D62" s="8">
        <v>1.44</v>
      </c>
      <c r="E62" s="12">
        <v>114</v>
      </c>
      <c r="F62" s="8">
        <v>1.91</v>
      </c>
      <c r="G62" s="12">
        <v>30</v>
      </c>
      <c r="H62" s="8">
        <v>0.75</v>
      </c>
      <c r="I62" s="12">
        <v>0</v>
      </c>
    </row>
    <row r="63" spans="2:9" ht="15" customHeight="1" x14ac:dyDescent="0.2">
      <c r="B63" t="s">
        <v>134</v>
      </c>
      <c r="C63" s="12">
        <v>144</v>
      </c>
      <c r="D63" s="8">
        <v>1.44</v>
      </c>
      <c r="E63" s="12">
        <v>126</v>
      </c>
      <c r="F63" s="8">
        <v>2.11</v>
      </c>
      <c r="G63" s="12">
        <v>18</v>
      </c>
      <c r="H63" s="8">
        <v>0.45</v>
      </c>
      <c r="I63" s="12">
        <v>0</v>
      </c>
    </row>
    <row r="64" spans="2:9" ht="15" customHeight="1" x14ac:dyDescent="0.2">
      <c r="B64" t="s">
        <v>143</v>
      </c>
      <c r="C64" s="12">
        <v>130</v>
      </c>
      <c r="D64" s="8">
        <v>1.3</v>
      </c>
      <c r="E64" s="12">
        <v>74</v>
      </c>
      <c r="F64" s="8">
        <v>1.24</v>
      </c>
      <c r="G64" s="12">
        <v>56</v>
      </c>
      <c r="H64" s="8">
        <v>1.4</v>
      </c>
      <c r="I64" s="12">
        <v>0</v>
      </c>
    </row>
    <row r="65" spans="2:9" ht="15" customHeight="1" x14ac:dyDescent="0.2">
      <c r="B65" t="s">
        <v>144</v>
      </c>
      <c r="C65" s="12">
        <v>128</v>
      </c>
      <c r="D65" s="8">
        <v>1.28</v>
      </c>
      <c r="E65" s="12">
        <v>86</v>
      </c>
      <c r="F65" s="8">
        <v>1.44</v>
      </c>
      <c r="G65" s="12">
        <v>42</v>
      </c>
      <c r="H65" s="8">
        <v>1.05</v>
      </c>
      <c r="I65" s="12">
        <v>0</v>
      </c>
    </row>
    <row r="66" spans="2:9" ht="15" customHeight="1" x14ac:dyDescent="0.2">
      <c r="B66" t="s">
        <v>137</v>
      </c>
      <c r="C66" s="12">
        <v>125</v>
      </c>
      <c r="D66" s="8">
        <v>1.25</v>
      </c>
      <c r="E66" s="12">
        <v>82</v>
      </c>
      <c r="F66" s="8">
        <v>1.37</v>
      </c>
      <c r="G66" s="12">
        <v>43</v>
      </c>
      <c r="H66" s="8">
        <v>1.07</v>
      </c>
      <c r="I66" s="12">
        <v>0</v>
      </c>
    </row>
    <row r="68" spans="2:9" ht="15" customHeight="1" x14ac:dyDescent="0.2">
      <c r="B68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F55B6-E99A-4572-8BBA-F734B9D04E2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265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1</v>
      </c>
      <c r="D5" s="8">
        <v>0.05</v>
      </c>
      <c r="E5" s="12">
        <v>0</v>
      </c>
      <c r="F5" s="8">
        <v>0</v>
      </c>
      <c r="G5" s="12">
        <v>1</v>
      </c>
      <c r="H5" s="8">
        <v>0.13</v>
      </c>
      <c r="I5" s="12">
        <v>0</v>
      </c>
    </row>
    <row r="6" spans="2:9" ht="15" customHeight="1" x14ac:dyDescent="0.2">
      <c r="B6" t="s">
        <v>43</v>
      </c>
      <c r="C6" s="12">
        <v>202</v>
      </c>
      <c r="D6" s="8">
        <v>9.2899999999999991</v>
      </c>
      <c r="E6" s="12">
        <v>54</v>
      </c>
      <c r="F6" s="8">
        <v>3.88</v>
      </c>
      <c r="G6" s="12">
        <v>148</v>
      </c>
      <c r="H6" s="8">
        <v>19.149999999999999</v>
      </c>
      <c r="I6" s="12">
        <v>0</v>
      </c>
    </row>
    <row r="7" spans="2:9" ht="15" customHeight="1" x14ac:dyDescent="0.2">
      <c r="B7" t="s">
        <v>44</v>
      </c>
      <c r="C7" s="12">
        <v>76</v>
      </c>
      <c r="D7" s="8">
        <v>3.5</v>
      </c>
      <c r="E7" s="12">
        <v>54</v>
      </c>
      <c r="F7" s="8">
        <v>3.88</v>
      </c>
      <c r="G7" s="12">
        <v>22</v>
      </c>
      <c r="H7" s="8">
        <v>2.85</v>
      </c>
      <c r="I7" s="12">
        <v>0</v>
      </c>
    </row>
    <row r="8" spans="2:9" ht="15" customHeight="1" x14ac:dyDescent="0.2">
      <c r="B8" t="s">
        <v>45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0.13</v>
      </c>
      <c r="I8" s="12">
        <v>0</v>
      </c>
    </row>
    <row r="9" spans="2:9" ht="15" customHeight="1" x14ac:dyDescent="0.2">
      <c r="B9" t="s">
        <v>46</v>
      </c>
      <c r="C9" s="12">
        <v>22</v>
      </c>
      <c r="D9" s="8">
        <v>1.01</v>
      </c>
      <c r="E9" s="12">
        <v>1</v>
      </c>
      <c r="F9" s="8">
        <v>7.0000000000000007E-2</v>
      </c>
      <c r="G9" s="12">
        <v>21</v>
      </c>
      <c r="H9" s="8">
        <v>2.72</v>
      </c>
      <c r="I9" s="12">
        <v>0</v>
      </c>
    </row>
    <row r="10" spans="2:9" ht="15" customHeight="1" x14ac:dyDescent="0.2">
      <c r="B10" t="s">
        <v>47</v>
      </c>
      <c r="C10" s="12">
        <v>21</v>
      </c>
      <c r="D10" s="8">
        <v>0.97</v>
      </c>
      <c r="E10" s="12">
        <v>13</v>
      </c>
      <c r="F10" s="8">
        <v>0.93</v>
      </c>
      <c r="G10" s="12">
        <v>8</v>
      </c>
      <c r="H10" s="8">
        <v>1.03</v>
      </c>
      <c r="I10" s="12">
        <v>0</v>
      </c>
    </row>
    <row r="11" spans="2:9" ht="15" customHeight="1" x14ac:dyDescent="0.2">
      <c r="B11" t="s">
        <v>48</v>
      </c>
      <c r="C11" s="12">
        <v>500</v>
      </c>
      <c r="D11" s="8">
        <v>23</v>
      </c>
      <c r="E11" s="12">
        <v>314</v>
      </c>
      <c r="F11" s="8">
        <v>22.57</v>
      </c>
      <c r="G11" s="12">
        <v>186</v>
      </c>
      <c r="H11" s="8">
        <v>24.06</v>
      </c>
      <c r="I11" s="12">
        <v>0</v>
      </c>
    </row>
    <row r="12" spans="2:9" ht="15" customHeight="1" x14ac:dyDescent="0.2">
      <c r="B12" t="s">
        <v>49</v>
      </c>
      <c r="C12" s="12">
        <v>14</v>
      </c>
      <c r="D12" s="8">
        <v>0.64</v>
      </c>
      <c r="E12" s="12">
        <v>5</v>
      </c>
      <c r="F12" s="8">
        <v>0.36</v>
      </c>
      <c r="G12" s="12">
        <v>9</v>
      </c>
      <c r="H12" s="8">
        <v>1.1599999999999999</v>
      </c>
      <c r="I12" s="12">
        <v>0</v>
      </c>
    </row>
    <row r="13" spans="2:9" ht="15" customHeight="1" x14ac:dyDescent="0.2">
      <c r="B13" t="s">
        <v>50</v>
      </c>
      <c r="C13" s="12">
        <v>257</v>
      </c>
      <c r="D13" s="8">
        <v>11.82</v>
      </c>
      <c r="E13" s="12">
        <v>96</v>
      </c>
      <c r="F13" s="8">
        <v>6.9</v>
      </c>
      <c r="G13" s="12">
        <v>160</v>
      </c>
      <c r="H13" s="8">
        <v>20.7</v>
      </c>
      <c r="I13" s="12">
        <v>1</v>
      </c>
    </row>
    <row r="14" spans="2:9" ht="15" customHeight="1" x14ac:dyDescent="0.2">
      <c r="B14" t="s">
        <v>51</v>
      </c>
      <c r="C14" s="12">
        <v>133</v>
      </c>
      <c r="D14" s="8">
        <v>6.12</v>
      </c>
      <c r="E14" s="12">
        <v>73</v>
      </c>
      <c r="F14" s="8">
        <v>5.25</v>
      </c>
      <c r="G14" s="12">
        <v>59</v>
      </c>
      <c r="H14" s="8">
        <v>7.63</v>
      </c>
      <c r="I14" s="12">
        <v>1</v>
      </c>
    </row>
    <row r="15" spans="2:9" ht="15" customHeight="1" x14ac:dyDescent="0.2">
      <c r="B15" t="s">
        <v>52</v>
      </c>
      <c r="C15" s="12">
        <v>336</v>
      </c>
      <c r="D15" s="8">
        <v>15.46</v>
      </c>
      <c r="E15" s="12">
        <v>307</v>
      </c>
      <c r="F15" s="8">
        <v>22.07</v>
      </c>
      <c r="G15" s="12">
        <v>29</v>
      </c>
      <c r="H15" s="8">
        <v>3.75</v>
      </c>
      <c r="I15" s="12">
        <v>0</v>
      </c>
    </row>
    <row r="16" spans="2:9" ht="15" customHeight="1" x14ac:dyDescent="0.2">
      <c r="B16" t="s">
        <v>53</v>
      </c>
      <c r="C16" s="12">
        <v>291</v>
      </c>
      <c r="D16" s="8">
        <v>13.39</v>
      </c>
      <c r="E16" s="12">
        <v>239</v>
      </c>
      <c r="F16" s="8">
        <v>17.18</v>
      </c>
      <c r="G16" s="12">
        <v>52</v>
      </c>
      <c r="H16" s="8">
        <v>6.73</v>
      </c>
      <c r="I16" s="12">
        <v>0</v>
      </c>
    </row>
    <row r="17" spans="2:9" ht="15" customHeight="1" x14ac:dyDescent="0.2">
      <c r="B17" t="s">
        <v>54</v>
      </c>
      <c r="C17" s="12">
        <v>141</v>
      </c>
      <c r="D17" s="8">
        <v>6.49</v>
      </c>
      <c r="E17" s="12">
        <v>125</v>
      </c>
      <c r="F17" s="8">
        <v>8.99</v>
      </c>
      <c r="G17" s="12">
        <v>10</v>
      </c>
      <c r="H17" s="8">
        <v>1.29</v>
      </c>
      <c r="I17" s="12">
        <v>4</v>
      </c>
    </row>
    <row r="18" spans="2:9" ht="15" customHeight="1" x14ac:dyDescent="0.2">
      <c r="B18" t="s">
        <v>55</v>
      </c>
      <c r="C18" s="12">
        <v>98</v>
      </c>
      <c r="D18" s="8">
        <v>4.51</v>
      </c>
      <c r="E18" s="12">
        <v>50</v>
      </c>
      <c r="F18" s="8">
        <v>3.59</v>
      </c>
      <c r="G18" s="12">
        <v>48</v>
      </c>
      <c r="H18" s="8">
        <v>6.21</v>
      </c>
      <c r="I18" s="12">
        <v>0</v>
      </c>
    </row>
    <row r="19" spans="2:9" ht="15" customHeight="1" x14ac:dyDescent="0.2">
      <c r="B19" t="s">
        <v>56</v>
      </c>
      <c r="C19" s="12">
        <v>81</v>
      </c>
      <c r="D19" s="8">
        <v>3.73</v>
      </c>
      <c r="E19" s="12">
        <v>60</v>
      </c>
      <c r="F19" s="8">
        <v>4.3099999999999996</v>
      </c>
      <c r="G19" s="12">
        <v>19</v>
      </c>
      <c r="H19" s="8">
        <v>2.46</v>
      </c>
      <c r="I19" s="12">
        <v>1</v>
      </c>
    </row>
    <row r="20" spans="2:9" ht="15" customHeight="1" x14ac:dyDescent="0.2">
      <c r="B20" s="9" t="s">
        <v>260</v>
      </c>
      <c r="C20" s="12">
        <f>SUM(LTBL_47205[総数／事業所数])</f>
        <v>2174</v>
      </c>
      <c r="E20" s="12">
        <f>SUBTOTAL(109,LTBL_47205[個人／事業所数])</f>
        <v>1391</v>
      </c>
      <c r="G20" s="12">
        <f>SUBTOTAL(109,LTBL_47205[法人／事業所数])</f>
        <v>773</v>
      </c>
      <c r="I20" s="12">
        <f>SUBTOTAL(109,LTBL_47205[法人以外の団体／事業所数])</f>
        <v>7</v>
      </c>
    </row>
    <row r="21" spans="2:9" ht="15" customHeight="1" x14ac:dyDescent="0.2">
      <c r="E21" s="11">
        <f>LTBL_47205[[#Totals],[個人／事業所数]]/LTBL_47205[[#Totals],[総数／事業所数]]</f>
        <v>0.63983440662373503</v>
      </c>
      <c r="G21" s="11">
        <f>LTBL_47205[[#Totals],[法人／事業所数]]/LTBL_47205[[#Totals],[総数／事業所数]]</f>
        <v>0.35556577736890527</v>
      </c>
      <c r="I21" s="11">
        <f>LTBL_47205[[#Totals],[法人以外の団体／事業所数]]/LTBL_47205[[#Totals],[総数／事業所数]]</f>
        <v>3.219871205151794E-3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77</v>
      </c>
      <c r="C24" s="12">
        <v>313</v>
      </c>
      <c r="D24" s="8">
        <v>14.4</v>
      </c>
      <c r="E24" s="12">
        <v>296</v>
      </c>
      <c r="F24" s="8">
        <v>21.28</v>
      </c>
      <c r="G24" s="12">
        <v>17</v>
      </c>
      <c r="H24" s="8">
        <v>2.2000000000000002</v>
      </c>
      <c r="I24" s="12">
        <v>0</v>
      </c>
    </row>
    <row r="25" spans="2:9" ht="15" customHeight="1" x14ac:dyDescent="0.2">
      <c r="B25" t="s">
        <v>78</v>
      </c>
      <c r="C25" s="12">
        <v>235</v>
      </c>
      <c r="D25" s="8">
        <v>10.81</v>
      </c>
      <c r="E25" s="12">
        <v>206</v>
      </c>
      <c r="F25" s="8">
        <v>14.81</v>
      </c>
      <c r="G25" s="12">
        <v>29</v>
      </c>
      <c r="H25" s="8">
        <v>3.75</v>
      </c>
      <c r="I25" s="12">
        <v>0</v>
      </c>
    </row>
    <row r="26" spans="2:9" ht="15" customHeight="1" x14ac:dyDescent="0.2">
      <c r="B26" t="s">
        <v>73</v>
      </c>
      <c r="C26" s="12">
        <v>192</v>
      </c>
      <c r="D26" s="8">
        <v>8.83</v>
      </c>
      <c r="E26" s="12">
        <v>72</v>
      </c>
      <c r="F26" s="8">
        <v>5.18</v>
      </c>
      <c r="G26" s="12">
        <v>119</v>
      </c>
      <c r="H26" s="8">
        <v>15.39</v>
      </c>
      <c r="I26" s="12">
        <v>1</v>
      </c>
    </row>
    <row r="27" spans="2:9" ht="15" customHeight="1" x14ac:dyDescent="0.2">
      <c r="B27" t="s">
        <v>71</v>
      </c>
      <c r="C27" s="12">
        <v>150</v>
      </c>
      <c r="D27" s="8">
        <v>6.9</v>
      </c>
      <c r="E27" s="12">
        <v>108</v>
      </c>
      <c r="F27" s="8">
        <v>7.76</v>
      </c>
      <c r="G27" s="12">
        <v>42</v>
      </c>
      <c r="H27" s="8">
        <v>5.43</v>
      </c>
      <c r="I27" s="12">
        <v>0</v>
      </c>
    </row>
    <row r="28" spans="2:9" ht="15" customHeight="1" x14ac:dyDescent="0.2">
      <c r="B28" t="s">
        <v>81</v>
      </c>
      <c r="C28" s="12">
        <v>141</v>
      </c>
      <c r="D28" s="8">
        <v>6.49</v>
      </c>
      <c r="E28" s="12">
        <v>125</v>
      </c>
      <c r="F28" s="8">
        <v>8.99</v>
      </c>
      <c r="G28" s="12">
        <v>10</v>
      </c>
      <c r="H28" s="8">
        <v>1.29</v>
      </c>
      <c r="I28" s="12">
        <v>4</v>
      </c>
    </row>
    <row r="29" spans="2:9" ht="15" customHeight="1" x14ac:dyDescent="0.2">
      <c r="B29" t="s">
        <v>70</v>
      </c>
      <c r="C29" s="12">
        <v>107</v>
      </c>
      <c r="D29" s="8">
        <v>4.92</v>
      </c>
      <c r="E29" s="12">
        <v>83</v>
      </c>
      <c r="F29" s="8">
        <v>5.97</v>
      </c>
      <c r="G29" s="12">
        <v>24</v>
      </c>
      <c r="H29" s="8">
        <v>3.1</v>
      </c>
      <c r="I29" s="12">
        <v>0</v>
      </c>
    </row>
    <row r="30" spans="2:9" ht="15" customHeight="1" x14ac:dyDescent="0.2">
      <c r="B30" t="s">
        <v>69</v>
      </c>
      <c r="C30" s="12">
        <v>75</v>
      </c>
      <c r="D30" s="8">
        <v>3.45</v>
      </c>
      <c r="E30" s="12">
        <v>54</v>
      </c>
      <c r="F30" s="8">
        <v>3.88</v>
      </c>
      <c r="G30" s="12">
        <v>21</v>
      </c>
      <c r="H30" s="8">
        <v>2.72</v>
      </c>
      <c r="I30" s="12">
        <v>0</v>
      </c>
    </row>
    <row r="31" spans="2:9" ht="15" customHeight="1" x14ac:dyDescent="0.2">
      <c r="B31" t="s">
        <v>65</v>
      </c>
      <c r="C31" s="12">
        <v>71</v>
      </c>
      <c r="D31" s="8">
        <v>3.27</v>
      </c>
      <c r="E31" s="12">
        <v>7</v>
      </c>
      <c r="F31" s="8">
        <v>0.5</v>
      </c>
      <c r="G31" s="12">
        <v>64</v>
      </c>
      <c r="H31" s="8">
        <v>8.2799999999999994</v>
      </c>
      <c r="I31" s="12">
        <v>0</v>
      </c>
    </row>
    <row r="32" spans="2:9" ht="15" customHeight="1" x14ac:dyDescent="0.2">
      <c r="B32" t="s">
        <v>67</v>
      </c>
      <c r="C32" s="12">
        <v>68</v>
      </c>
      <c r="D32" s="8">
        <v>3.13</v>
      </c>
      <c r="E32" s="12">
        <v>17</v>
      </c>
      <c r="F32" s="8">
        <v>1.22</v>
      </c>
      <c r="G32" s="12">
        <v>51</v>
      </c>
      <c r="H32" s="8">
        <v>6.6</v>
      </c>
      <c r="I32" s="12">
        <v>0</v>
      </c>
    </row>
    <row r="33" spans="2:9" ht="15" customHeight="1" x14ac:dyDescent="0.2">
      <c r="B33" t="s">
        <v>68</v>
      </c>
      <c r="C33" s="12">
        <v>67</v>
      </c>
      <c r="D33" s="8">
        <v>3.08</v>
      </c>
      <c r="E33" s="12">
        <v>47</v>
      </c>
      <c r="F33" s="8">
        <v>3.38</v>
      </c>
      <c r="G33" s="12">
        <v>20</v>
      </c>
      <c r="H33" s="8">
        <v>2.59</v>
      </c>
      <c r="I33" s="12">
        <v>0</v>
      </c>
    </row>
    <row r="34" spans="2:9" ht="15" customHeight="1" x14ac:dyDescent="0.2">
      <c r="B34" t="s">
        <v>66</v>
      </c>
      <c r="C34" s="12">
        <v>63</v>
      </c>
      <c r="D34" s="8">
        <v>2.9</v>
      </c>
      <c r="E34" s="12">
        <v>30</v>
      </c>
      <c r="F34" s="8">
        <v>2.16</v>
      </c>
      <c r="G34" s="12">
        <v>33</v>
      </c>
      <c r="H34" s="8">
        <v>4.2699999999999996</v>
      </c>
      <c r="I34" s="12">
        <v>0</v>
      </c>
    </row>
    <row r="35" spans="2:9" ht="15" customHeight="1" x14ac:dyDescent="0.2">
      <c r="B35" t="s">
        <v>74</v>
      </c>
      <c r="C35" s="12">
        <v>63</v>
      </c>
      <c r="D35" s="8">
        <v>2.9</v>
      </c>
      <c r="E35" s="12">
        <v>46</v>
      </c>
      <c r="F35" s="8">
        <v>3.31</v>
      </c>
      <c r="G35" s="12">
        <v>16</v>
      </c>
      <c r="H35" s="8">
        <v>2.0699999999999998</v>
      </c>
      <c r="I35" s="12">
        <v>1</v>
      </c>
    </row>
    <row r="36" spans="2:9" ht="15" customHeight="1" x14ac:dyDescent="0.2">
      <c r="B36" t="s">
        <v>75</v>
      </c>
      <c r="C36" s="12">
        <v>61</v>
      </c>
      <c r="D36" s="8">
        <v>2.81</v>
      </c>
      <c r="E36" s="12">
        <v>25</v>
      </c>
      <c r="F36" s="8">
        <v>1.8</v>
      </c>
      <c r="G36" s="12">
        <v>36</v>
      </c>
      <c r="H36" s="8">
        <v>4.66</v>
      </c>
      <c r="I36" s="12">
        <v>0</v>
      </c>
    </row>
    <row r="37" spans="2:9" ht="15" customHeight="1" x14ac:dyDescent="0.2">
      <c r="B37" t="s">
        <v>84</v>
      </c>
      <c r="C37" s="12">
        <v>52</v>
      </c>
      <c r="D37" s="8">
        <v>2.39</v>
      </c>
      <c r="E37" s="12">
        <v>51</v>
      </c>
      <c r="F37" s="8">
        <v>3.67</v>
      </c>
      <c r="G37" s="12">
        <v>1</v>
      </c>
      <c r="H37" s="8">
        <v>0.13</v>
      </c>
      <c r="I37" s="12">
        <v>0</v>
      </c>
    </row>
    <row r="38" spans="2:9" ht="15" customHeight="1" x14ac:dyDescent="0.2">
      <c r="B38" t="s">
        <v>82</v>
      </c>
      <c r="C38" s="12">
        <v>50</v>
      </c>
      <c r="D38" s="8">
        <v>2.2999999999999998</v>
      </c>
      <c r="E38" s="12">
        <v>43</v>
      </c>
      <c r="F38" s="8">
        <v>3.09</v>
      </c>
      <c r="G38" s="12">
        <v>7</v>
      </c>
      <c r="H38" s="8">
        <v>0.91</v>
      </c>
      <c r="I38" s="12">
        <v>0</v>
      </c>
    </row>
    <row r="39" spans="2:9" ht="15" customHeight="1" x14ac:dyDescent="0.2">
      <c r="B39" t="s">
        <v>83</v>
      </c>
      <c r="C39" s="12">
        <v>48</v>
      </c>
      <c r="D39" s="8">
        <v>2.21</v>
      </c>
      <c r="E39" s="12">
        <v>7</v>
      </c>
      <c r="F39" s="8">
        <v>0.5</v>
      </c>
      <c r="G39" s="12">
        <v>41</v>
      </c>
      <c r="H39" s="8">
        <v>5.3</v>
      </c>
      <c r="I39" s="12">
        <v>0</v>
      </c>
    </row>
    <row r="40" spans="2:9" ht="15" customHeight="1" x14ac:dyDescent="0.2">
      <c r="B40" t="s">
        <v>72</v>
      </c>
      <c r="C40" s="12">
        <v>47</v>
      </c>
      <c r="D40" s="8">
        <v>2.16</v>
      </c>
      <c r="E40" s="12">
        <v>17</v>
      </c>
      <c r="F40" s="8">
        <v>1.22</v>
      </c>
      <c r="G40" s="12">
        <v>30</v>
      </c>
      <c r="H40" s="8">
        <v>3.88</v>
      </c>
      <c r="I40" s="12">
        <v>0</v>
      </c>
    </row>
    <row r="41" spans="2:9" ht="15" customHeight="1" x14ac:dyDescent="0.2">
      <c r="B41" t="s">
        <v>80</v>
      </c>
      <c r="C41" s="12">
        <v>31</v>
      </c>
      <c r="D41" s="8">
        <v>1.43</v>
      </c>
      <c r="E41" s="12">
        <v>22</v>
      </c>
      <c r="F41" s="8">
        <v>1.58</v>
      </c>
      <c r="G41" s="12">
        <v>9</v>
      </c>
      <c r="H41" s="8">
        <v>1.1599999999999999</v>
      </c>
      <c r="I41" s="12">
        <v>0</v>
      </c>
    </row>
    <row r="42" spans="2:9" ht="15" customHeight="1" x14ac:dyDescent="0.2">
      <c r="B42" t="s">
        <v>86</v>
      </c>
      <c r="C42" s="12">
        <v>25</v>
      </c>
      <c r="D42" s="8">
        <v>1.1499999999999999</v>
      </c>
      <c r="E42" s="12">
        <v>8</v>
      </c>
      <c r="F42" s="8">
        <v>0.57999999999999996</v>
      </c>
      <c r="G42" s="12">
        <v>17</v>
      </c>
      <c r="H42" s="8">
        <v>2.2000000000000002</v>
      </c>
      <c r="I42" s="12">
        <v>0</v>
      </c>
    </row>
    <row r="43" spans="2:9" ht="15" customHeight="1" x14ac:dyDescent="0.2">
      <c r="B43" t="s">
        <v>79</v>
      </c>
      <c r="C43" s="12">
        <v>25</v>
      </c>
      <c r="D43" s="8">
        <v>1.1499999999999999</v>
      </c>
      <c r="E43" s="12">
        <v>11</v>
      </c>
      <c r="F43" s="8">
        <v>0.79</v>
      </c>
      <c r="G43" s="12">
        <v>14</v>
      </c>
      <c r="H43" s="8">
        <v>1.81</v>
      </c>
      <c r="I43" s="12">
        <v>0</v>
      </c>
    </row>
    <row r="46" spans="2:9" ht="33" customHeight="1" x14ac:dyDescent="0.2">
      <c r="B46" t="s">
        <v>262</v>
      </c>
      <c r="C46" s="10" t="s">
        <v>58</v>
      </c>
      <c r="D46" s="10" t="s">
        <v>59</v>
      </c>
      <c r="E46" s="10" t="s">
        <v>60</v>
      </c>
      <c r="F46" s="10" t="s">
        <v>61</v>
      </c>
      <c r="G46" s="10" t="s">
        <v>62</v>
      </c>
      <c r="H46" s="10" t="s">
        <v>63</v>
      </c>
      <c r="I46" s="10" t="s">
        <v>64</v>
      </c>
    </row>
    <row r="47" spans="2:9" ht="15" customHeight="1" x14ac:dyDescent="0.2">
      <c r="B47" t="s">
        <v>128</v>
      </c>
      <c r="C47" s="12">
        <v>142</v>
      </c>
      <c r="D47" s="8">
        <v>6.53</v>
      </c>
      <c r="E47" s="12">
        <v>60</v>
      </c>
      <c r="F47" s="8">
        <v>4.3099999999999996</v>
      </c>
      <c r="G47" s="12">
        <v>82</v>
      </c>
      <c r="H47" s="8">
        <v>10.61</v>
      </c>
      <c r="I47" s="12">
        <v>0</v>
      </c>
    </row>
    <row r="48" spans="2:9" ht="15" customHeight="1" x14ac:dyDescent="0.2">
      <c r="B48" t="s">
        <v>133</v>
      </c>
      <c r="C48" s="12">
        <v>131</v>
      </c>
      <c r="D48" s="8">
        <v>6.03</v>
      </c>
      <c r="E48" s="12">
        <v>131</v>
      </c>
      <c r="F48" s="8">
        <v>9.42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136</v>
      </c>
      <c r="C49" s="12">
        <v>117</v>
      </c>
      <c r="D49" s="8">
        <v>5.38</v>
      </c>
      <c r="E49" s="12">
        <v>111</v>
      </c>
      <c r="F49" s="8">
        <v>7.98</v>
      </c>
      <c r="G49" s="12">
        <v>6</v>
      </c>
      <c r="H49" s="8">
        <v>0.78</v>
      </c>
      <c r="I49" s="12">
        <v>0</v>
      </c>
    </row>
    <row r="50" spans="2:9" ht="15" customHeight="1" x14ac:dyDescent="0.2">
      <c r="B50" t="s">
        <v>132</v>
      </c>
      <c r="C50" s="12">
        <v>96</v>
      </c>
      <c r="D50" s="8">
        <v>4.42</v>
      </c>
      <c r="E50" s="12">
        <v>93</v>
      </c>
      <c r="F50" s="8">
        <v>6.69</v>
      </c>
      <c r="G50" s="12">
        <v>3</v>
      </c>
      <c r="H50" s="8">
        <v>0.39</v>
      </c>
      <c r="I50" s="12">
        <v>0</v>
      </c>
    </row>
    <row r="51" spans="2:9" ht="15" customHeight="1" x14ac:dyDescent="0.2">
      <c r="B51" t="s">
        <v>139</v>
      </c>
      <c r="C51" s="12">
        <v>94</v>
      </c>
      <c r="D51" s="8">
        <v>4.32</v>
      </c>
      <c r="E51" s="12">
        <v>89</v>
      </c>
      <c r="F51" s="8">
        <v>6.4</v>
      </c>
      <c r="G51" s="12">
        <v>4</v>
      </c>
      <c r="H51" s="8">
        <v>0.52</v>
      </c>
      <c r="I51" s="12">
        <v>1</v>
      </c>
    </row>
    <row r="52" spans="2:9" ht="15" customHeight="1" x14ac:dyDescent="0.2">
      <c r="B52" t="s">
        <v>124</v>
      </c>
      <c r="C52" s="12">
        <v>79</v>
      </c>
      <c r="D52" s="8">
        <v>3.63</v>
      </c>
      <c r="E52" s="12">
        <v>66</v>
      </c>
      <c r="F52" s="8">
        <v>4.74</v>
      </c>
      <c r="G52" s="12">
        <v>13</v>
      </c>
      <c r="H52" s="8">
        <v>1.68</v>
      </c>
      <c r="I52" s="12">
        <v>0</v>
      </c>
    </row>
    <row r="53" spans="2:9" ht="15" customHeight="1" x14ac:dyDescent="0.2">
      <c r="B53" t="s">
        <v>135</v>
      </c>
      <c r="C53" s="12">
        <v>58</v>
      </c>
      <c r="D53" s="8">
        <v>2.67</v>
      </c>
      <c r="E53" s="12">
        <v>57</v>
      </c>
      <c r="F53" s="8">
        <v>4.0999999999999996</v>
      </c>
      <c r="G53" s="12">
        <v>1</v>
      </c>
      <c r="H53" s="8">
        <v>0.13</v>
      </c>
      <c r="I53" s="12">
        <v>0</v>
      </c>
    </row>
    <row r="54" spans="2:9" ht="15" customHeight="1" x14ac:dyDescent="0.2">
      <c r="B54" t="s">
        <v>126</v>
      </c>
      <c r="C54" s="12">
        <v>57</v>
      </c>
      <c r="D54" s="8">
        <v>2.62</v>
      </c>
      <c r="E54" s="12">
        <v>43</v>
      </c>
      <c r="F54" s="8">
        <v>3.09</v>
      </c>
      <c r="G54" s="12">
        <v>14</v>
      </c>
      <c r="H54" s="8">
        <v>1.81</v>
      </c>
      <c r="I54" s="12">
        <v>0</v>
      </c>
    </row>
    <row r="55" spans="2:9" ht="15" customHeight="1" x14ac:dyDescent="0.2">
      <c r="B55" t="s">
        <v>141</v>
      </c>
      <c r="C55" s="12">
        <v>52</v>
      </c>
      <c r="D55" s="8">
        <v>2.39</v>
      </c>
      <c r="E55" s="12">
        <v>51</v>
      </c>
      <c r="F55" s="8">
        <v>3.67</v>
      </c>
      <c r="G55" s="12">
        <v>1</v>
      </c>
      <c r="H55" s="8">
        <v>0.13</v>
      </c>
      <c r="I55" s="12">
        <v>0</v>
      </c>
    </row>
    <row r="56" spans="2:9" ht="15" customHeight="1" x14ac:dyDescent="0.2">
      <c r="B56" t="s">
        <v>131</v>
      </c>
      <c r="C56" s="12">
        <v>42</v>
      </c>
      <c r="D56" s="8">
        <v>1.93</v>
      </c>
      <c r="E56" s="12">
        <v>39</v>
      </c>
      <c r="F56" s="8">
        <v>2.8</v>
      </c>
      <c r="G56" s="12">
        <v>3</v>
      </c>
      <c r="H56" s="8">
        <v>0.39</v>
      </c>
      <c r="I56" s="12">
        <v>0</v>
      </c>
    </row>
    <row r="57" spans="2:9" ht="15" customHeight="1" x14ac:dyDescent="0.2">
      <c r="B57" t="s">
        <v>129</v>
      </c>
      <c r="C57" s="12">
        <v>41</v>
      </c>
      <c r="D57" s="8">
        <v>1.89</v>
      </c>
      <c r="E57" s="12">
        <v>15</v>
      </c>
      <c r="F57" s="8">
        <v>1.08</v>
      </c>
      <c r="G57" s="12">
        <v>26</v>
      </c>
      <c r="H57" s="8">
        <v>3.36</v>
      </c>
      <c r="I57" s="12">
        <v>0</v>
      </c>
    </row>
    <row r="58" spans="2:9" ht="15" customHeight="1" x14ac:dyDescent="0.2">
      <c r="B58" t="s">
        <v>137</v>
      </c>
      <c r="C58" s="12">
        <v>41</v>
      </c>
      <c r="D58" s="8">
        <v>1.89</v>
      </c>
      <c r="E58" s="12">
        <v>32</v>
      </c>
      <c r="F58" s="8">
        <v>2.2999999999999998</v>
      </c>
      <c r="G58" s="12">
        <v>9</v>
      </c>
      <c r="H58" s="8">
        <v>1.1599999999999999</v>
      </c>
      <c r="I58" s="12">
        <v>0</v>
      </c>
    </row>
    <row r="59" spans="2:9" ht="15" customHeight="1" x14ac:dyDescent="0.2">
      <c r="B59" t="s">
        <v>123</v>
      </c>
      <c r="C59" s="12">
        <v>40</v>
      </c>
      <c r="D59" s="8">
        <v>1.84</v>
      </c>
      <c r="E59" s="12">
        <v>28</v>
      </c>
      <c r="F59" s="8">
        <v>2.0099999999999998</v>
      </c>
      <c r="G59" s="12">
        <v>12</v>
      </c>
      <c r="H59" s="8">
        <v>1.55</v>
      </c>
      <c r="I59" s="12">
        <v>0</v>
      </c>
    </row>
    <row r="60" spans="2:9" ht="15" customHeight="1" x14ac:dyDescent="0.2">
      <c r="B60" t="s">
        <v>138</v>
      </c>
      <c r="C60" s="12">
        <v>38</v>
      </c>
      <c r="D60" s="8">
        <v>1.75</v>
      </c>
      <c r="E60" s="12">
        <v>35</v>
      </c>
      <c r="F60" s="8">
        <v>2.52</v>
      </c>
      <c r="G60" s="12">
        <v>3</v>
      </c>
      <c r="H60" s="8">
        <v>0.39</v>
      </c>
      <c r="I60" s="12">
        <v>0</v>
      </c>
    </row>
    <row r="61" spans="2:9" ht="15" customHeight="1" x14ac:dyDescent="0.2">
      <c r="B61" t="s">
        <v>140</v>
      </c>
      <c r="C61" s="12">
        <v>36</v>
      </c>
      <c r="D61" s="8">
        <v>1.66</v>
      </c>
      <c r="E61" s="12">
        <v>31</v>
      </c>
      <c r="F61" s="8">
        <v>2.23</v>
      </c>
      <c r="G61" s="12">
        <v>5</v>
      </c>
      <c r="H61" s="8">
        <v>0.65</v>
      </c>
      <c r="I61" s="12">
        <v>0</v>
      </c>
    </row>
    <row r="62" spans="2:9" ht="15" customHeight="1" x14ac:dyDescent="0.2">
      <c r="B62" t="s">
        <v>145</v>
      </c>
      <c r="C62" s="12">
        <v>35</v>
      </c>
      <c r="D62" s="8">
        <v>1.61</v>
      </c>
      <c r="E62" s="12">
        <v>14</v>
      </c>
      <c r="F62" s="8">
        <v>1.01</v>
      </c>
      <c r="G62" s="12">
        <v>21</v>
      </c>
      <c r="H62" s="8">
        <v>2.72</v>
      </c>
      <c r="I62" s="12">
        <v>0</v>
      </c>
    </row>
    <row r="63" spans="2:9" ht="15" customHeight="1" x14ac:dyDescent="0.2">
      <c r="B63" t="s">
        <v>127</v>
      </c>
      <c r="C63" s="12">
        <v>27</v>
      </c>
      <c r="D63" s="8">
        <v>1.24</v>
      </c>
      <c r="E63" s="12">
        <v>8</v>
      </c>
      <c r="F63" s="8">
        <v>0.57999999999999996</v>
      </c>
      <c r="G63" s="12">
        <v>19</v>
      </c>
      <c r="H63" s="8">
        <v>2.46</v>
      </c>
      <c r="I63" s="12">
        <v>0</v>
      </c>
    </row>
    <row r="64" spans="2:9" ht="15" customHeight="1" x14ac:dyDescent="0.2">
      <c r="B64" t="s">
        <v>146</v>
      </c>
      <c r="C64" s="12">
        <v>26</v>
      </c>
      <c r="D64" s="8">
        <v>1.2</v>
      </c>
      <c r="E64" s="12">
        <v>9</v>
      </c>
      <c r="F64" s="8">
        <v>0.65</v>
      </c>
      <c r="G64" s="12">
        <v>17</v>
      </c>
      <c r="H64" s="8">
        <v>2.2000000000000002</v>
      </c>
      <c r="I64" s="12">
        <v>0</v>
      </c>
    </row>
    <row r="65" spans="2:9" ht="15" customHeight="1" x14ac:dyDescent="0.2">
      <c r="B65" t="s">
        <v>147</v>
      </c>
      <c r="C65" s="12">
        <v>26</v>
      </c>
      <c r="D65" s="8">
        <v>1.2</v>
      </c>
      <c r="E65" s="12">
        <v>7</v>
      </c>
      <c r="F65" s="8">
        <v>0.5</v>
      </c>
      <c r="G65" s="12">
        <v>19</v>
      </c>
      <c r="H65" s="8">
        <v>2.46</v>
      </c>
      <c r="I65" s="12">
        <v>0</v>
      </c>
    </row>
    <row r="66" spans="2:9" ht="15" customHeight="1" x14ac:dyDescent="0.2">
      <c r="B66" t="s">
        <v>142</v>
      </c>
      <c r="C66" s="12">
        <v>26</v>
      </c>
      <c r="D66" s="8">
        <v>1.2</v>
      </c>
      <c r="E66" s="12">
        <v>18</v>
      </c>
      <c r="F66" s="8">
        <v>1.29</v>
      </c>
      <c r="G66" s="12">
        <v>8</v>
      </c>
      <c r="H66" s="8">
        <v>1.03</v>
      </c>
      <c r="I66" s="12">
        <v>0</v>
      </c>
    </row>
    <row r="68" spans="2:9" ht="15" customHeight="1" x14ac:dyDescent="0.2">
      <c r="B68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9ECD6-A7EE-4471-81F9-146ED764495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266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2</v>
      </c>
      <c r="D5" s="8">
        <v>0.1</v>
      </c>
      <c r="E5" s="12">
        <v>0</v>
      </c>
      <c r="F5" s="8">
        <v>0</v>
      </c>
      <c r="G5" s="12">
        <v>2</v>
      </c>
      <c r="H5" s="8">
        <v>0.35</v>
      </c>
      <c r="I5" s="12">
        <v>0</v>
      </c>
    </row>
    <row r="6" spans="2:9" ht="15" customHeight="1" x14ac:dyDescent="0.2">
      <c r="B6" t="s">
        <v>43</v>
      </c>
      <c r="C6" s="12">
        <v>146</v>
      </c>
      <c r="D6" s="8">
        <v>7.66</v>
      </c>
      <c r="E6" s="12">
        <v>53</v>
      </c>
      <c r="F6" s="8">
        <v>3.99</v>
      </c>
      <c r="G6" s="12">
        <v>93</v>
      </c>
      <c r="H6" s="8">
        <v>16.34</v>
      </c>
      <c r="I6" s="12">
        <v>0</v>
      </c>
    </row>
    <row r="7" spans="2:9" ht="15" customHeight="1" x14ac:dyDescent="0.2">
      <c r="B7" t="s">
        <v>44</v>
      </c>
      <c r="C7" s="12">
        <v>129</v>
      </c>
      <c r="D7" s="8">
        <v>6.77</v>
      </c>
      <c r="E7" s="12">
        <v>81</v>
      </c>
      <c r="F7" s="8">
        <v>6.1</v>
      </c>
      <c r="G7" s="12">
        <v>48</v>
      </c>
      <c r="H7" s="8">
        <v>8.44</v>
      </c>
      <c r="I7" s="12">
        <v>0</v>
      </c>
    </row>
    <row r="8" spans="2:9" ht="15" customHeight="1" x14ac:dyDescent="0.2">
      <c r="B8" t="s">
        <v>45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0.18</v>
      </c>
      <c r="I8" s="12">
        <v>0</v>
      </c>
    </row>
    <row r="9" spans="2:9" ht="15" customHeight="1" x14ac:dyDescent="0.2">
      <c r="B9" t="s">
        <v>46</v>
      </c>
      <c r="C9" s="12">
        <v>13</v>
      </c>
      <c r="D9" s="8">
        <v>0.68</v>
      </c>
      <c r="E9" s="12">
        <v>4</v>
      </c>
      <c r="F9" s="8">
        <v>0.3</v>
      </c>
      <c r="G9" s="12">
        <v>9</v>
      </c>
      <c r="H9" s="8">
        <v>1.58</v>
      </c>
      <c r="I9" s="12">
        <v>0</v>
      </c>
    </row>
    <row r="10" spans="2:9" ht="15" customHeight="1" x14ac:dyDescent="0.2">
      <c r="B10" t="s">
        <v>47</v>
      </c>
      <c r="C10" s="12">
        <v>26</v>
      </c>
      <c r="D10" s="8">
        <v>1.36</v>
      </c>
      <c r="E10" s="12">
        <v>10</v>
      </c>
      <c r="F10" s="8">
        <v>0.75</v>
      </c>
      <c r="G10" s="12">
        <v>15</v>
      </c>
      <c r="H10" s="8">
        <v>2.64</v>
      </c>
      <c r="I10" s="12">
        <v>1</v>
      </c>
    </row>
    <row r="11" spans="2:9" ht="15" customHeight="1" x14ac:dyDescent="0.2">
      <c r="B11" t="s">
        <v>48</v>
      </c>
      <c r="C11" s="12">
        <v>455</v>
      </c>
      <c r="D11" s="8">
        <v>23.87</v>
      </c>
      <c r="E11" s="12">
        <v>318</v>
      </c>
      <c r="F11" s="8">
        <v>23.96</v>
      </c>
      <c r="G11" s="12">
        <v>137</v>
      </c>
      <c r="H11" s="8">
        <v>24.08</v>
      </c>
      <c r="I11" s="12">
        <v>0</v>
      </c>
    </row>
    <row r="12" spans="2:9" ht="15" customHeight="1" x14ac:dyDescent="0.2">
      <c r="B12" t="s">
        <v>49</v>
      </c>
      <c r="C12" s="12">
        <v>8</v>
      </c>
      <c r="D12" s="8">
        <v>0.42</v>
      </c>
      <c r="E12" s="12">
        <v>3</v>
      </c>
      <c r="F12" s="8">
        <v>0.23</v>
      </c>
      <c r="G12" s="12">
        <v>5</v>
      </c>
      <c r="H12" s="8">
        <v>0.88</v>
      </c>
      <c r="I12" s="12">
        <v>0</v>
      </c>
    </row>
    <row r="13" spans="2:9" ht="15" customHeight="1" x14ac:dyDescent="0.2">
      <c r="B13" t="s">
        <v>50</v>
      </c>
      <c r="C13" s="12">
        <v>159</v>
      </c>
      <c r="D13" s="8">
        <v>8.34</v>
      </c>
      <c r="E13" s="12">
        <v>86</v>
      </c>
      <c r="F13" s="8">
        <v>6.48</v>
      </c>
      <c r="G13" s="12">
        <v>73</v>
      </c>
      <c r="H13" s="8">
        <v>12.83</v>
      </c>
      <c r="I13" s="12">
        <v>0</v>
      </c>
    </row>
    <row r="14" spans="2:9" ht="15" customHeight="1" x14ac:dyDescent="0.2">
      <c r="B14" t="s">
        <v>51</v>
      </c>
      <c r="C14" s="12">
        <v>80</v>
      </c>
      <c r="D14" s="8">
        <v>4.2</v>
      </c>
      <c r="E14" s="12">
        <v>45</v>
      </c>
      <c r="F14" s="8">
        <v>3.39</v>
      </c>
      <c r="G14" s="12">
        <v>34</v>
      </c>
      <c r="H14" s="8">
        <v>5.98</v>
      </c>
      <c r="I14" s="12">
        <v>0</v>
      </c>
    </row>
    <row r="15" spans="2:9" ht="15" customHeight="1" x14ac:dyDescent="0.2">
      <c r="B15" t="s">
        <v>52</v>
      </c>
      <c r="C15" s="12">
        <v>432</v>
      </c>
      <c r="D15" s="8">
        <v>22.67</v>
      </c>
      <c r="E15" s="12">
        <v>378</v>
      </c>
      <c r="F15" s="8">
        <v>28.49</v>
      </c>
      <c r="G15" s="12">
        <v>54</v>
      </c>
      <c r="H15" s="8">
        <v>9.49</v>
      </c>
      <c r="I15" s="12">
        <v>0</v>
      </c>
    </row>
    <row r="16" spans="2:9" ht="15" customHeight="1" x14ac:dyDescent="0.2">
      <c r="B16" t="s">
        <v>53</v>
      </c>
      <c r="C16" s="12">
        <v>258</v>
      </c>
      <c r="D16" s="8">
        <v>13.54</v>
      </c>
      <c r="E16" s="12">
        <v>223</v>
      </c>
      <c r="F16" s="8">
        <v>16.8</v>
      </c>
      <c r="G16" s="12">
        <v>34</v>
      </c>
      <c r="H16" s="8">
        <v>5.98</v>
      </c>
      <c r="I16" s="12">
        <v>1</v>
      </c>
    </row>
    <row r="17" spans="2:9" ht="15" customHeight="1" x14ac:dyDescent="0.2">
      <c r="B17" t="s">
        <v>54</v>
      </c>
      <c r="C17" s="12">
        <v>69</v>
      </c>
      <c r="D17" s="8">
        <v>3.62</v>
      </c>
      <c r="E17" s="12">
        <v>59</v>
      </c>
      <c r="F17" s="8">
        <v>4.45</v>
      </c>
      <c r="G17" s="12">
        <v>9</v>
      </c>
      <c r="H17" s="8">
        <v>1.58</v>
      </c>
      <c r="I17" s="12">
        <v>0</v>
      </c>
    </row>
    <row r="18" spans="2:9" ht="15" customHeight="1" x14ac:dyDescent="0.2">
      <c r="B18" t="s">
        <v>55</v>
      </c>
      <c r="C18" s="12">
        <v>62</v>
      </c>
      <c r="D18" s="8">
        <v>3.25</v>
      </c>
      <c r="E18" s="12">
        <v>30</v>
      </c>
      <c r="F18" s="8">
        <v>2.2599999999999998</v>
      </c>
      <c r="G18" s="12">
        <v>30</v>
      </c>
      <c r="H18" s="8">
        <v>5.27</v>
      </c>
      <c r="I18" s="12">
        <v>0</v>
      </c>
    </row>
    <row r="19" spans="2:9" ht="15" customHeight="1" x14ac:dyDescent="0.2">
      <c r="B19" t="s">
        <v>56</v>
      </c>
      <c r="C19" s="12">
        <v>66</v>
      </c>
      <c r="D19" s="8">
        <v>3.46</v>
      </c>
      <c r="E19" s="12">
        <v>37</v>
      </c>
      <c r="F19" s="8">
        <v>2.79</v>
      </c>
      <c r="G19" s="12">
        <v>25</v>
      </c>
      <c r="H19" s="8">
        <v>4.3899999999999997</v>
      </c>
      <c r="I19" s="12">
        <v>1</v>
      </c>
    </row>
    <row r="20" spans="2:9" ht="15" customHeight="1" x14ac:dyDescent="0.2">
      <c r="B20" s="9" t="s">
        <v>260</v>
      </c>
      <c r="C20" s="12">
        <f>SUM(LTBL_47207[総数／事業所数])</f>
        <v>1906</v>
      </c>
      <c r="E20" s="12">
        <f>SUBTOTAL(109,LTBL_47207[個人／事業所数])</f>
        <v>1327</v>
      </c>
      <c r="G20" s="12">
        <f>SUBTOTAL(109,LTBL_47207[法人／事業所数])</f>
        <v>569</v>
      </c>
      <c r="I20" s="12">
        <f>SUBTOTAL(109,LTBL_47207[法人以外の団体／事業所数])</f>
        <v>3</v>
      </c>
    </row>
    <row r="21" spans="2:9" ht="15" customHeight="1" x14ac:dyDescent="0.2">
      <c r="E21" s="11">
        <f>LTBL_47207[[#Totals],[個人／事業所数]]/LTBL_47207[[#Totals],[総数／事業所数]]</f>
        <v>0.69622245540398742</v>
      </c>
      <c r="G21" s="11">
        <f>LTBL_47207[[#Totals],[法人／事業所数]]/LTBL_47207[[#Totals],[総数／事業所数]]</f>
        <v>0.29853095487932846</v>
      </c>
      <c r="I21" s="11">
        <f>LTBL_47207[[#Totals],[法人以外の団体／事業所数]]/LTBL_47207[[#Totals],[総数／事業所数]]</f>
        <v>1.5739769150052466E-3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77</v>
      </c>
      <c r="C24" s="12">
        <v>323</v>
      </c>
      <c r="D24" s="8">
        <v>16.95</v>
      </c>
      <c r="E24" s="12">
        <v>295</v>
      </c>
      <c r="F24" s="8">
        <v>22.23</v>
      </c>
      <c r="G24" s="12">
        <v>28</v>
      </c>
      <c r="H24" s="8">
        <v>4.92</v>
      </c>
      <c r="I24" s="12">
        <v>0</v>
      </c>
    </row>
    <row r="25" spans="2:9" ht="15" customHeight="1" x14ac:dyDescent="0.2">
      <c r="B25" t="s">
        <v>78</v>
      </c>
      <c r="C25" s="12">
        <v>151</v>
      </c>
      <c r="D25" s="8">
        <v>7.92</v>
      </c>
      <c r="E25" s="12">
        <v>142</v>
      </c>
      <c r="F25" s="8">
        <v>10.7</v>
      </c>
      <c r="G25" s="12">
        <v>9</v>
      </c>
      <c r="H25" s="8">
        <v>1.58</v>
      </c>
      <c r="I25" s="12">
        <v>0</v>
      </c>
    </row>
    <row r="26" spans="2:9" ht="15" customHeight="1" x14ac:dyDescent="0.2">
      <c r="B26" t="s">
        <v>69</v>
      </c>
      <c r="C26" s="12">
        <v>137</v>
      </c>
      <c r="D26" s="8">
        <v>7.19</v>
      </c>
      <c r="E26" s="12">
        <v>120</v>
      </c>
      <c r="F26" s="8">
        <v>9.0399999999999991</v>
      </c>
      <c r="G26" s="12">
        <v>17</v>
      </c>
      <c r="H26" s="8">
        <v>2.99</v>
      </c>
      <c r="I26" s="12">
        <v>0</v>
      </c>
    </row>
    <row r="27" spans="2:9" ht="15" customHeight="1" x14ac:dyDescent="0.2">
      <c r="B27" t="s">
        <v>71</v>
      </c>
      <c r="C27" s="12">
        <v>129</v>
      </c>
      <c r="D27" s="8">
        <v>6.77</v>
      </c>
      <c r="E27" s="12">
        <v>84</v>
      </c>
      <c r="F27" s="8">
        <v>6.33</v>
      </c>
      <c r="G27" s="12">
        <v>45</v>
      </c>
      <c r="H27" s="8">
        <v>7.91</v>
      </c>
      <c r="I27" s="12">
        <v>0</v>
      </c>
    </row>
    <row r="28" spans="2:9" ht="15" customHeight="1" x14ac:dyDescent="0.2">
      <c r="B28" t="s">
        <v>73</v>
      </c>
      <c r="C28" s="12">
        <v>111</v>
      </c>
      <c r="D28" s="8">
        <v>5.82</v>
      </c>
      <c r="E28" s="12">
        <v>73</v>
      </c>
      <c r="F28" s="8">
        <v>5.5</v>
      </c>
      <c r="G28" s="12">
        <v>38</v>
      </c>
      <c r="H28" s="8">
        <v>6.68</v>
      </c>
      <c r="I28" s="12">
        <v>0</v>
      </c>
    </row>
    <row r="29" spans="2:9" ht="15" customHeight="1" x14ac:dyDescent="0.2">
      <c r="B29" t="s">
        <v>76</v>
      </c>
      <c r="C29" s="12">
        <v>102</v>
      </c>
      <c r="D29" s="8">
        <v>5.35</v>
      </c>
      <c r="E29" s="12">
        <v>80</v>
      </c>
      <c r="F29" s="8">
        <v>6.03</v>
      </c>
      <c r="G29" s="12">
        <v>22</v>
      </c>
      <c r="H29" s="8">
        <v>3.87</v>
      </c>
      <c r="I29" s="12">
        <v>0</v>
      </c>
    </row>
    <row r="30" spans="2:9" ht="15" customHeight="1" x14ac:dyDescent="0.2">
      <c r="B30" t="s">
        <v>65</v>
      </c>
      <c r="C30" s="12">
        <v>79</v>
      </c>
      <c r="D30" s="8">
        <v>4.1399999999999997</v>
      </c>
      <c r="E30" s="12">
        <v>16</v>
      </c>
      <c r="F30" s="8">
        <v>1.21</v>
      </c>
      <c r="G30" s="12">
        <v>63</v>
      </c>
      <c r="H30" s="8">
        <v>11.07</v>
      </c>
      <c r="I30" s="12">
        <v>0</v>
      </c>
    </row>
    <row r="31" spans="2:9" ht="15" customHeight="1" x14ac:dyDescent="0.2">
      <c r="B31" t="s">
        <v>80</v>
      </c>
      <c r="C31" s="12">
        <v>79</v>
      </c>
      <c r="D31" s="8">
        <v>4.1399999999999997</v>
      </c>
      <c r="E31" s="12">
        <v>63</v>
      </c>
      <c r="F31" s="8">
        <v>4.75</v>
      </c>
      <c r="G31" s="12">
        <v>15</v>
      </c>
      <c r="H31" s="8">
        <v>2.64</v>
      </c>
      <c r="I31" s="12">
        <v>1</v>
      </c>
    </row>
    <row r="32" spans="2:9" ht="15" customHeight="1" x14ac:dyDescent="0.2">
      <c r="B32" t="s">
        <v>68</v>
      </c>
      <c r="C32" s="12">
        <v>73</v>
      </c>
      <c r="D32" s="8">
        <v>3.83</v>
      </c>
      <c r="E32" s="12">
        <v>54</v>
      </c>
      <c r="F32" s="8">
        <v>4.07</v>
      </c>
      <c r="G32" s="12">
        <v>19</v>
      </c>
      <c r="H32" s="8">
        <v>3.34</v>
      </c>
      <c r="I32" s="12">
        <v>0</v>
      </c>
    </row>
    <row r="33" spans="2:9" ht="15" customHeight="1" x14ac:dyDescent="0.2">
      <c r="B33" t="s">
        <v>81</v>
      </c>
      <c r="C33" s="12">
        <v>69</v>
      </c>
      <c r="D33" s="8">
        <v>3.62</v>
      </c>
      <c r="E33" s="12">
        <v>59</v>
      </c>
      <c r="F33" s="8">
        <v>4.45</v>
      </c>
      <c r="G33" s="12">
        <v>9</v>
      </c>
      <c r="H33" s="8">
        <v>1.58</v>
      </c>
      <c r="I33" s="12">
        <v>0</v>
      </c>
    </row>
    <row r="34" spans="2:9" ht="15" customHeight="1" x14ac:dyDescent="0.2">
      <c r="B34" t="s">
        <v>88</v>
      </c>
      <c r="C34" s="12">
        <v>53</v>
      </c>
      <c r="D34" s="8">
        <v>2.78</v>
      </c>
      <c r="E34" s="12">
        <v>32</v>
      </c>
      <c r="F34" s="8">
        <v>2.41</v>
      </c>
      <c r="G34" s="12">
        <v>21</v>
      </c>
      <c r="H34" s="8">
        <v>3.69</v>
      </c>
      <c r="I34" s="12">
        <v>0</v>
      </c>
    </row>
    <row r="35" spans="2:9" ht="15" customHeight="1" x14ac:dyDescent="0.2">
      <c r="B35" t="s">
        <v>75</v>
      </c>
      <c r="C35" s="12">
        <v>46</v>
      </c>
      <c r="D35" s="8">
        <v>2.41</v>
      </c>
      <c r="E35" s="12">
        <v>27</v>
      </c>
      <c r="F35" s="8">
        <v>2.0299999999999998</v>
      </c>
      <c r="G35" s="12">
        <v>19</v>
      </c>
      <c r="H35" s="8">
        <v>3.34</v>
      </c>
      <c r="I35" s="12">
        <v>0</v>
      </c>
    </row>
    <row r="36" spans="2:9" ht="15" customHeight="1" x14ac:dyDescent="0.2">
      <c r="B36" t="s">
        <v>70</v>
      </c>
      <c r="C36" s="12">
        <v>43</v>
      </c>
      <c r="D36" s="8">
        <v>2.2599999999999998</v>
      </c>
      <c r="E36" s="12">
        <v>33</v>
      </c>
      <c r="F36" s="8">
        <v>2.4900000000000002</v>
      </c>
      <c r="G36" s="12">
        <v>10</v>
      </c>
      <c r="H36" s="8">
        <v>1.76</v>
      </c>
      <c r="I36" s="12">
        <v>0</v>
      </c>
    </row>
    <row r="37" spans="2:9" ht="15" customHeight="1" x14ac:dyDescent="0.2">
      <c r="B37" t="s">
        <v>66</v>
      </c>
      <c r="C37" s="12">
        <v>35</v>
      </c>
      <c r="D37" s="8">
        <v>1.84</v>
      </c>
      <c r="E37" s="12">
        <v>24</v>
      </c>
      <c r="F37" s="8">
        <v>1.81</v>
      </c>
      <c r="G37" s="12">
        <v>11</v>
      </c>
      <c r="H37" s="8">
        <v>1.93</v>
      </c>
      <c r="I37" s="12">
        <v>0</v>
      </c>
    </row>
    <row r="38" spans="2:9" ht="15" customHeight="1" x14ac:dyDescent="0.2">
      <c r="B38" t="s">
        <v>82</v>
      </c>
      <c r="C38" s="12">
        <v>35</v>
      </c>
      <c r="D38" s="8">
        <v>1.84</v>
      </c>
      <c r="E38" s="12">
        <v>27</v>
      </c>
      <c r="F38" s="8">
        <v>2.0299999999999998</v>
      </c>
      <c r="G38" s="12">
        <v>8</v>
      </c>
      <c r="H38" s="8">
        <v>1.41</v>
      </c>
      <c r="I38" s="12">
        <v>0</v>
      </c>
    </row>
    <row r="39" spans="2:9" ht="15" customHeight="1" x14ac:dyDescent="0.2">
      <c r="B39" t="s">
        <v>67</v>
      </c>
      <c r="C39" s="12">
        <v>32</v>
      </c>
      <c r="D39" s="8">
        <v>1.68</v>
      </c>
      <c r="E39" s="12">
        <v>13</v>
      </c>
      <c r="F39" s="8">
        <v>0.98</v>
      </c>
      <c r="G39" s="12">
        <v>19</v>
      </c>
      <c r="H39" s="8">
        <v>3.34</v>
      </c>
      <c r="I39" s="12">
        <v>0</v>
      </c>
    </row>
    <row r="40" spans="2:9" ht="15" customHeight="1" x14ac:dyDescent="0.2">
      <c r="B40" t="s">
        <v>84</v>
      </c>
      <c r="C40" s="12">
        <v>31</v>
      </c>
      <c r="D40" s="8">
        <v>1.63</v>
      </c>
      <c r="E40" s="12">
        <v>27</v>
      </c>
      <c r="F40" s="8">
        <v>2.0299999999999998</v>
      </c>
      <c r="G40" s="12">
        <v>3</v>
      </c>
      <c r="H40" s="8">
        <v>0.53</v>
      </c>
      <c r="I40" s="12">
        <v>1</v>
      </c>
    </row>
    <row r="41" spans="2:9" ht="15" customHeight="1" x14ac:dyDescent="0.2">
      <c r="B41" t="s">
        <v>79</v>
      </c>
      <c r="C41" s="12">
        <v>28</v>
      </c>
      <c r="D41" s="8">
        <v>1.47</v>
      </c>
      <c r="E41" s="12">
        <v>18</v>
      </c>
      <c r="F41" s="8">
        <v>1.36</v>
      </c>
      <c r="G41" s="12">
        <v>10</v>
      </c>
      <c r="H41" s="8">
        <v>1.76</v>
      </c>
      <c r="I41" s="12">
        <v>0</v>
      </c>
    </row>
    <row r="42" spans="2:9" ht="15" customHeight="1" x14ac:dyDescent="0.2">
      <c r="B42" t="s">
        <v>83</v>
      </c>
      <c r="C42" s="12">
        <v>27</v>
      </c>
      <c r="D42" s="8">
        <v>1.42</v>
      </c>
      <c r="E42" s="12">
        <v>3</v>
      </c>
      <c r="F42" s="8">
        <v>0.23</v>
      </c>
      <c r="G42" s="12">
        <v>22</v>
      </c>
      <c r="H42" s="8">
        <v>3.87</v>
      </c>
      <c r="I42" s="12">
        <v>0</v>
      </c>
    </row>
    <row r="43" spans="2:9" ht="15" customHeight="1" x14ac:dyDescent="0.2">
      <c r="B43" t="s">
        <v>74</v>
      </c>
      <c r="C43" s="12">
        <v>26</v>
      </c>
      <c r="D43" s="8">
        <v>1.36</v>
      </c>
      <c r="E43" s="12">
        <v>18</v>
      </c>
      <c r="F43" s="8">
        <v>1.36</v>
      </c>
      <c r="G43" s="12">
        <v>8</v>
      </c>
      <c r="H43" s="8">
        <v>1.41</v>
      </c>
      <c r="I43" s="12">
        <v>0</v>
      </c>
    </row>
    <row r="46" spans="2:9" ht="33" customHeight="1" x14ac:dyDescent="0.2">
      <c r="B46" t="s">
        <v>262</v>
      </c>
      <c r="C46" s="10" t="s">
        <v>58</v>
      </c>
      <c r="D46" s="10" t="s">
        <v>59</v>
      </c>
      <c r="E46" s="10" t="s">
        <v>60</v>
      </c>
      <c r="F46" s="10" t="s">
        <v>61</v>
      </c>
      <c r="G46" s="10" t="s">
        <v>62</v>
      </c>
      <c r="H46" s="10" t="s">
        <v>63</v>
      </c>
      <c r="I46" s="10" t="s">
        <v>64</v>
      </c>
    </row>
    <row r="47" spans="2:9" ht="15" customHeight="1" x14ac:dyDescent="0.2">
      <c r="B47" t="s">
        <v>128</v>
      </c>
      <c r="C47" s="12">
        <v>94</v>
      </c>
      <c r="D47" s="8">
        <v>4.93</v>
      </c>
      <c r="E47" s="12">
        <v>65</v>
      </c>
      <c r="F47" s="8">
        <v>4.9000000000000004</v>
      </c>
      <c r="G47" s="12">
        <v>29</v>
      </c>
      <c r="H47" s="8">
        <v>5.0999999999999996</v>
      </c>
      <c r="I47" s="12">
        <v>0</v>
      </c>
    </row>
    <row r="48" spans="2:9" ht="15" customHeight="1" x14ac:dyDescent="0.2">
      <c r="B48" t="s">
        <v>133</v>
      </c>
      <c r="C48" s="12">
        <v>90</v>
      </c>
      <c r="D48" s="8">
        <v>4.72</v>
      </c>
      <c r="E48" s="12">
        <v>88</v>
      </c>
      <c r="F48" s="8">
        <v>6.63</v>
      </c>
      <c r="G48" s="12">
        <v>2</v>
      </c>
      <c r="H48" s="8">
        <v>0.35</v>
      </c>
      <c r="I48" s="12">
        <v>0</v>
      </c>
    </row>
    <row r="49" spans="2:9" ht="15" customHeight="1" x14ac:dyDescent="0.2">
      <c r="B49" t="s">
        <v>136</v>
      </c>
      <c r="C49" s="12">
        <v>84</v>
      </c>
      <c r="D49" s="8">
        <v>4.41</v>
      </c>
      <c r="E49" s="12">
        <v>82</v>
      </c>
      <c r="F49" s="8">
        <v>6.18</v>
      </c>
      <c r="G49" s="12">
        <v>2</v>
      </c>
      <c r="H49" s="8">
        <v>0.35</v>
      </c>
      <c r="I49" s="12">
        <v>0</v>
      </c>
    </row>
    <row r="50" spans="2:9" ht="15" customHeight="1" x14ac:dyDescent="0.2">
      <c r="B50" t="s">
        <v>132</v>
      </c>
      <c r="C50" s="12">
        <v>78</v>
      </c>
      <c r="D50" s="8">
        <v>4.09</v>
      </c>
      <c r="E50" s="12">
        <v>65</v>
      </c>
      <c r="F50" s="8">
        <v>4.9000000000000004</v>
      </c>
      <c r="G50" s="12">
        <v>13</v>
      </c>
      <c r="H50" s="8">
        <v>2.2799999999999998</v>
      </c>
      <c r="I50" s="12">
        <v>0</v>
      </c>
    </row>
    <row r="51" spans="2:9" ht="15" customHeight="1" x14ac:dyDescent="0.2">
      <c r="B51" t="s">
        <v>130</v>
      </c>
      <c r="C51" s="12">
        <v>71</v>
      </c>
      <c r="D51" s="8">
        <v>3.73</v>
      </c>
      <c r="E51" s="12">
        <v>56</v>
      </c>
      <c r="F51" s="8">
        <v>4.22</v>
      </c>
      <c r="G51" s="12">
        <v>15</v>
      </c>
      <c r="H51" s="8">
        <v>2.64</v>
      </c>
      <c r="I51" s="12">
        <v>0</v>
      </c>
    </row>
    <row r="52" spans="2:9" ht="15" customHeight="1" x14ac:dyDescent="0.2">
      <c r="B52" t="s">
        <v>150</v>
      </c>
      <c r="C52" s="12">
        <v>70</v>
      </c>
      <c r="D52" s="8">
        <v>3.67</v>
      </c>
      <c r="E52" s="12">
        <v>57</v>
      </c>
      <c r="F52" s="8">
        <v>4.3</v>
      </c>
      <c r="G52" s="12">
        <v>13</v>
      </c>
      <c r="H52" s="8">
        <v>2.2799999999999998</v>
      </c>
      <c r="I52" s="12">
        <v>0</v>
      </c>
    </row>
    <row r="53" spans="2:9" ht="15" customHeight="1" x14ac:dyDescent="0.2">
      <c r="B53" t="s">
        <v>131</v>
      </c>
      <c r="C53" s="12">
        <v>59</v>
      </c>
      <c r="D53" s="8">
        <v>3.1</v>
      </c>
      <c r="E53" s="12">
        <v>54</v>
      </c>
      <c r="F53" s="8">
        <v>4.07</v>
      </c>
      <c r="G53" s="12">
        <v>5</v>
      </c>
      <c r="H53" s="8">
        <v>0.88</v>
      </c>
      <c r="I53" s="12">
        <v>0</v>
      </c>
    </row>
    <row r="54" spans="2:9" ht="15" customHeight="1" x14ac:dyDescent="0.2">
      <c r="B54" t="s">
        <v>122</v>
      </c>
      <c r="C54" s="12">
        <v>48</v>
      </c>
      <c r="D54" s="8">
        <v>2.52</v>
      </c>
      <c r="E54" s="12">
        <v>10</v>
      </c>
      <c r="F54" s="8">
        <v>0.75</v>
      </c>
      <c r="G54" s="12">
        <v>38</v>
      </c>
      <c r="H54" s="8">
        <v>6.68</v>
      </c>
      <c r="I54" s="12">
        <v>0</v>
      </c>
    </row>
    <row r="55" spans="2:9" ht="15" customHeight="1" x14ac:dyDescent="0.2">
      <c r="B55" t="s">
        <v>123</v>
      </c>
      <c r="C55" s="12">
        <v>48</v>
      </c>
      <c r="D55" s="8">
        <v>2.52</v>
      </c>
      <c r="E55" s="12">
        <v>41</v>
      </c>
      <c r="F55" s="8">
        <v>3.09</v>
      </c>
      <c r="G55" s="12">
        <v>7</v>
      </c>
      <c r="H55" s="8">
        <v>1.23</v>
      </c>
      <c r="I55" s="12">
        <v>0</v>
      </c>
    </row>
    <row r="56" spans="2:9" ht="15" customHeight="1" x14ac:dyDescent="0.2">
      <c r="B56" t="s">
        <v>126</v>
      </c>
      <c r="C56" s="12">
        <v>39</v>
      </c>
      <c r="D56" s="8">
        <v>2.0499999999999998</v>
      </c>
      <c r="E56" s="12">
        <v>27</v>
      </c>
      <c r="F56" s="8">
        <v>2.0299999999999998</v>
      </c>
      <c r="G56" s="12">
        <v>12</v>
      </c>
      <c r="H56" s="8">
        <v>2.11</v>
      </c>
      <c r="I56" s="12">
        <v>0</v>
      </c>
    </row>
    <row r="57" spans="2:9" ht="15" customHeight="1" x14ac:dyDescent="0.2">
      <c r="B57" t="s">
        <v>149</v>
      </c>
      <c r="C57" s="12">
        <v>39</v>
      </c>
      <c r="D57" s="8">
        <v>2.0499999999999998</v>
      </c>
      <c r="E57" s="12">
        <v>36</v>
      </c>
      <c r="F57" s="8">
        <v>2.71</v>
      </c>
      <c r="G57" s="12">
        <v>3</v>
      </c>
      <c r="H57" s="8">
        <v>0.53</v>
      </c>
      <c r="I57" s="12">
        <v>0</v>
      </c>
    </row>
    <row r="58" spans="2:9" ht="15" customHeight="1" x14ac:dyDescent="0.2">
      <c r="B58" t="s">
        <v>135</v>
      </c>
      <c r="C58" s="12">
        <v>39</v>
      </c>
      <c r="D58" s="8">
        <v>2.0499999999999998</v>
      </c>
      <c r="E58" s="12">
        <v>39</v>
      </c>
      <c r="F58" s="8">
        <v>2.94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144</v>
      </c>
      <c r="C59" s="12">
        <v>35</v>
      </c>
      <c r="D59" s="8">
        <v>1.84</v>
      </c>
      <c r="E59" s="12">
        <v>25</v>
      </c>
      <c r="F59" s="8">
        <v>1.88</v>
      </c>
      <c r="G59" s="12">
        <v>10</v>
      </c>
      <c r="H59" s="8">
        <v>1.76</v>
      </c>
      <c r="I59" s="12">
        <v>0</v>
      </c>
    </row>
    <row r="60" spans="2:9" ht="15" customHeight="1" x14ac:dyDescent="0.2">
      <c r="B60" t="s">
        <v>143</v>
      </c>
      <c r="C60" s="12">
        <v>34</v>
      </c>
      <c r="D60" s="8">
        <v>1.78</v>
      </c>
      <c r="E60" s="12">
        <v>22</v>
      </c>
      <c r="F60" s="8">
        <v>1.66</v>
      </c>
      <c r="G60" s="12">
        <v>12</v>
      </c>
      <c r="H60" s="8">
        <v>2.11</v>
      </c>
      <c r="I60" s="12">
        <v>0</v>
      </c>
    </row>
    <row r="61" spans="2:9" ht="15" customHeight="1" x14ac:dyDescent="0.2">
      <c r="B61" t="s">
        <v>139</v>
      </c>
      <c r="C61" s="12">
        <v>34</v>
      </c>
      <c r="D61" s="8">
        <v>1.78</v>
      </c>
      <c r="E61" s="12">
        <v>32</v>
      </c>
      <c r="F61" s="8">
        <v>2.41</v>
      </c>
      <c r="G61" s="12">
        <v>2</v>
      </c>
      <c r="H61" s="8">
        <v>0.35</v>
      </c>
      <c r="I61" s="12">
        <v>0</v>
      </c>
    </row>
    <row r="62" spans="2:9" ht="15" customHeight="1" x14ac:dyDescent="0.2">
      <c r="B62" t="s">
        <v>125</v>
      </c>
      <c r="C62" s="12">
        <v>31</v>
      </c>
      <c r="D62" s="8">
        <v>1.63</v>
      </c>
      <c r="E62" s="12">
        <v>18</v>
      </c>
      <c r="F62" s="8">
        <v>1.36</v>
      </c>
      <c r="G62" s="12">
        <v>13</v>
      </c>
      <c r="H62" s="8">
        <v>2.2799999999999998</v>
      </c>
      <c r="I62" s="12">
        <v>0</v>
      </c>
    </row>
    <row r="63" spans="2:9" ht="15" customHeight="1" x14ac:dyDescent="0.2">
      <c r="B63" t="s">
        <v>129</v>
      </c>
      <c r="C63" s="12">
        <v>31</v>
      </c>
      <c r="D63" s="8">
        <v>1.63</v>
      </c>
      <c r="E63" s="12">
        <v>17</v>
      </c>
      <c r="F63" s="8">
        <v>1.28</v>
      </c>
      <c r="G63" s="12">
        <v>14</v>
      </c>
      <c r="H63" s="8">
        <v>2.46</v>
      </c>
      <c r="I63" s="12">
        <v>0</v>
      </c>
    </row>
    <row r="64" spans="2:9" ht="15" customHeight="1" x14ac:dyDescent="0.2">
      <c r="B64" t="s">
        <v>141</v>
      </c>
      <c r="C64" s="12">
        <v>31</v>
      </c>
      <c r="D64" s="8">
        <v>1.63</v>
      </c>
      <c r="E64" s="12">
        <v>27</v>
      </c>
      <c r="F64" s="8">
        <v>2.0299999999999998</v>
      </c>
      <c r="G64" s="12">
        <v>3</v>
      </c>
      <c r="H64" s="8">
        <v>0.53</v>
      </c>
      <c r="I64" s="12">
        <v>1</v>
      </c>
    </row>
    <row r="65" spans="2:9" ht="15" customHeight="1" x14ac:dyDescent="0.2">
      <c r="B65" t="s">
        <v>134</v>
      </c>
      <c r="C65" s="12">
        <v>30</v>
      </c>
      <c r="D65" s="8">
        <v>1.57</v>
      </c>
      <c r="E65" s="12">
        <v>27</v>
      </c>
      <c r="F65" s="8">
        <v>2.0299999999999998</v>
      </c>
      <c r="G65" s="12">
        <v>3</v>
      </c>
      <c r="H65" s="8">
        <v>0.53</v>
      </c>
      <c r="I65" s="12">
        <v>0</v>
      </c>
    </row>
    <row r="66" spans="2:9" ht="15" customHeight="1" x14ac:dyDescent="0.2">
      <c r="B66" t="s">
        <v>148</v>
      </c>
      <c r="C66" s="12">
        <v>29</v>
      </c>
      <c r="D66" s="8">
        <v>1.52</v>
      </c>
      <c r="E66" s="12">
        <v>22</v>
      </c>
      <c r="F66" s="8">
        <v>1.66</v>
      </c>
      <c r="G66" s="12">
        <v>7</v>
      </c>
      <c r="H66" s="8">
        <v>1.23</v>
      </c>
      <c r="I66" s="12">
        <v>0</v>
      </c>
    </row>
    <row r="68" spans="2:9" ht="15" customHeight="1" x14ac:dyDescent="0.2">
      <c r="B68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E36BC-9391-4050-BEE8-59C2D6F34634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267</v>
      </c>
    </row>
    <row r="4" spans="2:9" ht="33" customHeight="1" x14ac:dyDescent="0.2">
      <c r="B4" t="s">
        <v>259</v>
      </c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</row>
    <row r="5" spans="2:9" ht="15" customHeight="1" x14ac:dyDescent="0.2">
      <c r="B5" t="s">
        <v>42</v>
      </c>
      <c r="C5" s="12">
        <v>1</v>
      </c>
      <c r="D5" s="8">
        <v>0.03</v>
      </c>
      <c r="E5" s="12">
        <v>0</v>
      </c>
      <c r="F5" s="8">
        <v>0</v>
      </c>
      <c r="G5" s="12">
        <v>1</v>
      </c>
      <c r="H5" s="8">
        <v>0.08</v>
      </c>
      <c r="I5" s="12">
        <v>0</v>
      </c>
    </row>
    <row r="6" spans="2:9" ht="15" customHeight="1" x14ac:dyDescent="0.2">
      <c r="B6" t="s">
        <v>43</v>
      </c>
      <c r="C6" s="12">
        <v>301</v>
      </c>
      <c r="D6" s="8">
        <v>9.85</v>
      </c>
      <c r="E6" s="12">
        <v>96</v>
      </c>
      <c r="F6" s="8">
        <v>5.21</v>
      </c>
      <c r="G6" s="12">
        <v>205</v>
      </c>
      <c r="H6" s="8">
        <v>17.11</v>
      </c>
      <c r="I6" s="12">
        <v>0</v>
      </c>
    </row>
    <row r="7" spans="2:9" ht="15" customHeight="1" x14ac:dyDescent="0.2">
      <c r="B7" t="s">
        <v>44</v>
      </c>
      <c r="C7" s="12">
        <v>79</v>
      </c>
      <c r="D7" s="8">
        <v>2.59</v>
      </c>
      <c r="E7" s="12">
        <v>37</v>
      </c>
      <c r="F7" s="8">
        <v>2.0099999999999998</v>
      </c>
      <c r="G7" s="12">
        <v>42</v>
      </c>
      <c r="H7" s="8">
        <v>3.51</v>
      </c>
      <c r="I7" s="12">
        <v>0</v>
      </c>
    </row>
    <row r="8" spans="2:9" ht="15" customHeight="1" x14ac:dyDescent="0.2">
      <c r="B8" t="s">
        <v>45</v>
      </c>
      <c r="C8" s="12">
        <v>3</v>
      </c>
      <c r="D8" s="8">
        <v>0.1</v>
      </c>
      <c r="E8" s="12">
        <v>0</v>
      </c>
      <c r="F8" s="8">
        <v>0</v>
      </c>
      <c r="G8" s="12">
        <v>3</v>
      </c>
      <c r="H8" s="8">
        <v>0.25</v>
      </c>
      <c r="I8" s="12">
        <v>0</v>
      </c>
    </row>
    <row r="9" spans="2:9" ht="15" customHeight="1" x14ac:dyDescent="0.2">
      <c r="B9" t="s">
        <v>46</v>
      </c>
      <c r="C9" s="12">
        <v>41</v>
      </c>
      <c r="D9" s="8">
        <v>1.34</v>
      </c>
      <c r="E9" s="12">
        <v>7</v>
      </c>
      <c r="F9" s="8">
        <v>0.38</v>
      </c>
      <c r="G9" s="12">
        <v>34</v>
      </c>
      <c r="H9" s="8">
        <v>2.84</v>
      </c>
      <c r="I9" s="12">
        <v>0</v>
      </c>
    </row>
    <row r="10" spans="2:9" ht="15" customHeight="1" x14ac:dyDescent="0.2">
      <c r="B10" t="s">
        <v>47</v>
      </c>
      <c r="C10" s="12">
        <v>31</v>
      </c>
      <c r="D10" s="8">
        <v>1.01</v>
      </c>
      <c r="E10" s="12">
        <v>11</v>
      </c>
      <c r="F10" s="8">
        <v>0.6</v>
      </c>
      <c r="G10" s="12">
        <v>20</v>
      </c>
      <c r="H10" s="8">
        <v>1.67</v>
      </c>
      <c r="I10" s="12">
        <v>0</v>
      </c>
    </row>
    <row r="11" spans="2:9" ht="15" customHeight="1" x14ac:dyDescent="0.2">
      <c r="B11" t="s">
        <v>48</v>
      </c>
      <c r="C11" s="12">
        <v>587</v>
      </c>
      <c r="D11" s="8">
        <v>19.21</v>
      </c>
      <c r="E11" s="12">
        <v>268</v>
      </c>
      <c r="F11" s="8">
        <v>14.55</v>
      </c>
      <c r="G11" s="12">
        <v>318</v>
      </c>
      <c r="H11" s="8">
        <v>26.54</v>
      </c>
      <c r="I11" s="12">
        <v>1</v>
      </c>
    </row>
    <row r="12" spans="2:9" ht="15" customHeight="1" x14ac:dyDescent="0.2">
      <c r="B12" t="s">
        <v>49</v>
      </c>
      <c r="C12" s="12">
        <v>30</v>
      </c>
      <c r="D12" s="8">
        <v>0.98</v>
      </c>
      <c r="E12" s="12">
        <v>12</v>
      </c>
      <c r="F12" s="8">
        <v>0.65</v>
      </c>
      <c r="G12" s="12">
        <v>18</v>
      </c>
      <c r="H12" s="8">
        <v>1.5</v>
      </c>
      <c r="I12" s="12">
        <v>0</v>
      </c>
    </row>
    <row r="13" spans="2:9" ht="15" customHeight="1" x14ac:dyDescent="0.2">
      <c r="B13" t="s">
        <v>50</v>
      </c>
      <c r="C13" s="12">
        <v>593</v>
      </c>
      <c r="D13" s="8">
        <v>19.41</v>
      </c>
      <c r="E13" s="12">
        <v>386</v>
      </c>
      <c r="F13" s="8">
        <v>20.96</v>
      </c>
      <c r="G13" s="12">
        <v>206</v>
      </c>
      <c r="H13" s="8">
        <v>17.2</v>
      </c>
      <c r="I13" s="12">
        <v>1</v>
      </c>
    </row>
    <row r="14" spans="2:9" ht="15" customHeight="1" x14ac:dyDescent="0.2">
      <c r="B14" t="s">
        <v>51</v>
      </c>
      <c r="C14" s="12">
        <v>194</v>
      </c>
      <c r="D14" s="8">
        <v>6.35</v>
      </c>
      <c r="E14" s="12">
        <v>97</v>
      </c>
      <c r="F14" s="8">
        <v>5.27</v>
      </c>
      <c r="G14" s="12">
        <v>97</v>
      </c>
      <c r="H14" s="8">
        <v>8.1</v>
      </c>
      <c r="I14" s="12">
        <v>0</v>
      </c>
    </row>
    <row r="15" spans="2:9" ht="15" customHeight="1" x14ac:dyDescent="0.2">
      <c r="B15" t="s">
        <v>52</v>
      </c>
      <c r="C15" s="12">
        <v>470</v>
      </c>
      <c r="D15" s="8">
        <v>15.38</v>
      </c>
      <c r="E15" s="12">
        <v>423</v>
      </c>
      <c r="F15" s="8">
        <v>22.96</v>
      </c>
      <c r="G15" s="12">
        <v>47</v>
      </c>
      <c r="H15" s="8">
        <v>3.92</v>
      </c>
      <c r="I15" s="12">
        <v>0</v>
      </c>
    </row>
    <row r="16" spans="2:9" ht="15" customHeight="1" x14ac:dyDescent="0.2">
      <c r="B16" t="s">
        <v>53</v>
      </c>
      <c r="C16" s="12">
        <v>316</v>
      </c>
      <c r="D16" s="8">
        <v>10.34</v>
      </c>
      <c r="E16" s="12">
        <v>241</v>
      </c>
      <c r="F16" s="8">
        <v>13.08</v>
      </c>
      <c r="G16" s="12">
        <v>74</v>
      </c>
      <c r="H16" s="8">
        <v>6.18</v>
      </c>
      <c r="I16" s="12">
        <v>1</v>
      </c>
    </row>
    <row r="17" spans="2:9" ht="15" customHeight="1" x14ac:dyDescent="0.2">
      <c r="B17" t="s">
        <v>54</v>
      </c>
      <c r="C17" s="12">
        <v>159</v>
      </c>
      <c r="D17" s="8">
        <v>5.2</v>
      </c>
      <c r="E17" s="12">
        <v>129</v>
      </c>
      <c r="F17" s="8">
        <v>7</v>
      </c>
      <c r="G17" s="12">
        <v>23</v>
      </c>
      <c r="H17" s="8">
        <v>1.92</v>
      </c>
      <c r="I17" s="12">
        <v>5</v>
      </c>
    </row>
    <row r="18" spans="2:9" ht="15" customHeight="1" x14ac:dyDescent="0.2">
      <c r="B18" t="s">
        <v>55</v>
      </c>
      <c r="C18" s="12">
        <v>150</v>
      </c>
      <c r="D18" s="8">
        <v>4.91</v>
      </c>
      <c r="E18" s="12">
        <v>83</v>
      </c>
      <c r="F18" s="8">
        <v>4.51</v>
      </c>
      <c r="G18" s="12">
        <v>65</v>
      </c>
      <c r="H18" s="8">
        <v>5.43</v>
      </c>
      <c r="I18" s="12">
        <v>2</v>
      </c>
    </row>
    <row r="19" spans="2:9" ht="15" customHeight="1" x14ac:dyDescent="0.2">
      <c r="B19" t="s">
        <v>56</v>
      </c>
      <c r="C19" s="12">
        <v>100</v>
      </c>
      <c r="D19" s="8">
        <v>3.27</v>
      </c>
      <c r="E19" s="12">
        <v>52</v>
      </c>
      <c r="F19" s="8">
        <v>2.82</v>
      </c>
      <c r="G19" s="12">
        <v>45</v>
      </c>
      <c r="H19" s="8">
        <v>3.76</v>
      </c>
      <c r="I19" s="12">
        <v>2</v>
      </c>
    </row>
    <row r="20" spans="2:9" ht="15" customHeight="1" x14ac:dyDescent="0.2">
      <c r="B20" s="9" t="s">
        <v>260</v>
      </c>
      <c r="C20" s="12">
        <f>SUM(LTBL_47208[総数／事業所数])</f>
        <v>3055</v>
      </c>
      <c r="E20" s="12">
        <f>SUBTOTAL(109,LTBL_47208[個人／事業所数])</f>
        <v>1842</v>
      </c>
      <c r="G20" s="12">
        <f>SUBTOTAL(109,LTBL_47208[法人／事業所数])</f>
        <v>1198</v>
      </c>
      <c r="I20" s="12">
        <f>SUBTOTAL(109,LTBL_47208[法人以外の団体／事業所数])</f>
        <v>12</v>
      </c>
    </row>
    <row r="21" spans="2:9" ht="15" customHeight="1" x14ac:dyDescent="0.2">
      <c r="E21" s="11">
        <f>LTBL_47208[[#Totals],[個人／事業所数]]/LTBL_47208[[#Totals],[総数／事業所数]]</f>
        <v>0.6029459901800327</v>
      </c>
      <c r="G21" s="11">
        <f>LTBL_47208[[#Totals],[法人／事業所数]]/LTBL_47208[[#Totals],[総数／事業所数]]</f>
        <v>0.3921440261865794</v>
      </c>
      <c r="I21" s="11">
        <f>LTBL_47208[[#Totals],[法人以外の団体／事業所数]]/LTBL_47208[[#Totals],[総数／事業所数]]</f>
        <v>3.9279869067103106E-3</v>
      </c>
    </row>
    <row r="23" spans="2:9" ht="33" customHeight="1" x14ac:dyDescent="0.2">
      <c r="B23" t="s">
        <v>261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 t="s">
        <v>62</v>
      </c>
      <c r="H23" s="10" t="s">
        <v>63</v>
      </c>
      <c r="I23" s="10" t="s">
        <v>64</v>
      </c>
    </row>
    <row r="24" spans="2:9" ht="15" customHeight="1" x14ac:dyDescent="0.2">
      <c r="B24" t="s">
        <v>73</v>
      </c>
      <c r="C24" s="12">
        <v>516</v>
      </c>
      <c r="D24" s="8">
        <v>16.89</v>
      </c>
      <c r="E24" s="12">
        <v>373</v>
      </c>
      <c r="F24" s="8">
        <v>20.25</v>
      </c>
      <c r="G24" s="12">
        <v>142</v>
      </c>
      <c r="H24" s="8">
        <v>11.85</v>
      </c>
      <c r="I24" s="12">
        <v>1</v>
      </c>
    </row>
    <row r="25" spans="2:9" ht="15" customHeight="1" x14ac:dyDescent="0.2">
      <c r="B25" t="s">
        <v>77</v>
      </c>
      <c r="C25" s="12">
        <v>445</v>
      </c>
      <c r="D25" s="8">
        <v>14.57</v>
      </c>
      <c r="E25" s="12">
        <v>412</v>
      </c>
      <c r="F25" s="8">
        <v>22.37</v>
      </c>
      <c r="G25" s="12">
        <v>33</v>
      </c>
      <c r="H25" s="8">
        <v>2.75</v>
      </c>
      <c r="I25" s="12">
        <v>0</v>
      </c>
    </row>
    <row r="26" spans="2:9" ht="15" customHeight="1" x14ac:dyDescent="0.2">
      <c r="B26" t="s">
        <v>78</v>
      </c>
      <c r="C26" s="12">
        <v>242</v>
      </c>
      <c r="D26" s="8">
        <v>7.92</v>
      </c>
      <c r="E26" s="12">
        <v>207</v>
      </c>
      <c r="F26" s="8">
        <v>11.24</v>
      </c>
      <c r="G26" s="12">
        <v>35</v>
      </c>
      <c r="H26" s="8">
        <v>2.92</v>
      </c>
      <c r="I26" s="12">
        <v>0</v>
      </c>
    </row>
    <row r="27" spans="2:9" ht="15" customHeight="1" x14ac:dyDescent="0.2">
      <c r="B27" t="s">
        <v>81</v>
      </c>
      <c r="C27" s="12">
        <v>159</v>
      </c>
      <c r="D27" s="8">
        <v>5.2</v>
      </c>
      <c r="E27" s="12">
        <v>129</v>
      </c>
      <c r="F27" s="8">
        <v>7</v>
      </c>
      <c r="G27" s="12">
        <v>23</v>
      </c>
      <c r="H27" s="8">
        <v>1.92</v>
      </c>
      <c r="I27" s="12">
        <v>5</v>
      </c>
    </row>
    <row r="28" spans="2:9" ht="15" customHeight="1" x14ac:dyDescent="0.2">
      <c r="B28" t="s">
        <v>71</v>
      </c>
      <c r="C28" s="12">
        <v>140</v>
      </c>
      <c r="D28" s="8">
        <v>4.58</v>
      </c>
      <c r="E28" s="12">
        <v>78</v>
      </c>
      <c r="F28" s="8">
        <v>4.2300000000000004</v>
      </c>
      <c r="G28" s="12">
        <v>62</v>
      </c>
      <c r="H28" s="8">
        <v>5.18</v>
      </c>
      <c r="I28" s="12">
        <v>0</v>
      </c>
    </row>
    <row r="29" spans="2:9" ht="15" customHeight="1" x14ac:dyDescent="0.2">
      <c r="B29" t="s">
        <v>65</v>
      </c>
      <c r="C29" s="12">
        <v>105</v>
      </c>
      <c r="D29" s="8">
        <v>3.44</v>
      </c>
      <c r="E29" s="12">
        <v>20</v>
      </c>
      <c r="F29" s="8">
        <v>1.0900000000000001</v>
      </c>
      <c r="G29" s="12">
        <v>85</v>
      </c>
      <c r="H29" s="8">
        <v>7.1</v>
      </c>
      <c r="I29" s="12">
        <v>0</v>
      </c>
    </row>
    <row r="30" spans="2:9" ht="15" customHeight="1" x14ac:dyDescent="0.2">
      <c r="B30" t="s">
        <v>69</v>
      </c>
      <c r="C30" s="12">
        <v>102</v>
      </c>
      <c r="D30" s="8">
        <v>3.34</v>
      </c>
      <c r="E30" s="12">
        <v>78</v>
      </c>
      <c r="F30" s="8">
        <v>4.2300000000000004</v>
      </c>
      <c r="G30" s="12">
        <v>24</v>
      </c>
      <c r="H30" s="8">
        <v>2</v>
      </c>
      <c r="I30" s="12">
        <v>0</v>
      </c>
    </row>
    <row r="31" spans="2:9" ht="15" customHeight="1" x14ac:dyDescent="0.2">
      <c r="B31" t="s">
        <v>66</v>
      </c>
      <c r="C31" s="12">
        <v>101</v>
      </c>
      <c r="D31" s="8">
        <v>3.31</v>
      </c>
      <c r="E31" s="12">
        <v>43</v>
      </c>
      <c r="F31" s="8">
        <v>2.33</v>
      </c>
      <c r="G31" s="12">
        <v>58</v>
      </c>
      <c r="H31" s="8">
        <v>4.84</v>
      </c>
      <c r="I31" s="12">
        <v>0</v>
      </c>
    </row>
    <row r="32" spans="2:9" ht="15" customHeight="1" x14ac:dyDescent="0.2">
      <c r="B32" t="s">
        <v>67</v>
      </c>
      <c r="C32" s="12">
        <v>95</v>
      </c>
      <c r="D32" s="8">
        <v>3.11</v>
      </c>
      <c r="E32" s="12">
        <v>33</v>
      </c>
      <c r="F32" s="8">
        <v>1.79</v>
      </c>
      <c r="G32" s="12">
        <v>62</v>
      </c>
      <c r="H32" s="8">
        <v>5.18</v>
      </c>
      <c r="I32" s="12">
        <v>0</v>
      </c>
    </row>
    <row r="33" spans="2:9" ht="15" customHeight="1" x14ac:dyDescent="0.2">
      <c r="B33" t="s">
        <v>74</v>
      </c>
      <c r="C33" s="12">
        <v>93</v>
      </c>
      <c r="D33" s="8">
        <v>3.04</v>
      </c>
      <c r="E33" s="12">
        <v>56</v>
      </c>
      <c r="F33" s="8">
        <v>3.04</v>
      </c>
      <c r="G33" s="12">
        <v>37</v>
      </c>
      <c r="H33" s="8">
        <v>3.09</v>
      </c>
      <c r="I33" s="12">
        <v>0</v>
      </c>
    </row>
    <row r="34" spans="2:9" ht="15" customHeight="1" x14ac:dyDescent="0.2">
      <c r="B34" t="s">
        <v>75</v>
      </c>
      <c r="C34" s="12">
        <v>93</v>
      </c>
      <c r="D34" s="8">
        <v>3.04</v>
      </c>
      <c r="E34" s="12">
        <v>39</v>
      </c>
      <c r="F34" s="8">
        <v>2.12</v>
      </c>
      <c r="G34" s="12">
        <v>54</v>
      </c>
      <c r="H34" s="8">
        <v>4.51</v>
      </c>
      <c r="I34" s="12">
        <v>0</v>
      </c>
    </row>
    <row r="35" spans="2:9" ht="15" customHeight="1" x14ac:dyDescent="0.2">
      <c r="B35" t="s">
        <v>68</v>
      </c>
      <c r="C35" s="12">
        <v>87</v>
      </c>
      <c r="D35" s="8">
        <v>2.85</v>
      </c>
      <c r="E35" s="12">
        <v>32</v>
      </c>
      <c r="F35" s="8">
        <v>1.74</v>
      </c>
      <c r="G35" s="12">
        <v>55</v>
      </c>
      <c r="H35" s="8">
        <v>4.59</v>
      </c>
      <c r="I35" s="12">
        <v>0</v>
      </c>
    </row>
    <row r="36" spans="2:9" ht="15" customHeight="1" x14ac:dyDescent="0.2">
      <c r="B36" t="s">
        <v>82</v>
      </c>
      <c r="C36" s="12">
        <v>77</v>
      </c>
      <c r="D36" s="8">
        <v>2.52</v>
      </c>
      <c r="E36" s="12">
        <v>71</v>
      </c>
      <c r="F36" s="8">
        <v>3.85</v>
      </c>
      <c r="G36" s="12">
        <v>6</v>
      </c>
      <c r="H36" s="8">
        <v>0.5</v>
      </c>
      <c r="I36" s="12">
        <v>0</v>
      </c>
    </row>
    <row r="37" spans="2:9" ht="15" customHeight="1" x14ac:dyDescent="0.2">
      <c r="B37" t="s">
        <v>83</v>
      </c>
      <c r="C37" s="12">
        <v>73</v>
      </c>
      <c r="D37" s="8">
        <v>2.39</v>
      </c>
      <c r="E37" s="12">
        <v>12</v>
      </c>
      <c r="F37" s="8">
        <v>0.65</v>
      </c>
      <c r="G37" s="12">
        <v>59</v>
      </c>
      <c r="H37" s="8">
        <v>4.92</v>
      </c>
      <c r="I37" s="12">
        <v>2</v>
      </c>
    </row>
    <row r="38" spans="2:9" ht="15" customHeight="1" x14ac:dyDescent="0.2">
      <c r="B38" t="s">
        <v>70</v>
      </c>
      <c r="C38" s="12">
        <v>66</v>
      </c>
      <c r="D38" s="8">
        <v>2.16</v>
      </c>
      <c r="E38" s="12">
        <v>49</v>
      </c>
      <c r="F38" s="8">
        <v>2.66</v>
      </c>
      <c r="G38" s="12">
        <v>17</v>
      </c>
      <c r="H38" s="8">
        <v>1.42</v>
      </c>
      <c r="I38" s="12">
        <v>0</v>
      </c>
    </row>
    <row r="39" spans="2:9" ht="15" customHeight="1" x14ac:dyDescent="0.2">
      <c r="B39" t="s">
        <v>72</v>
      </c>
      <c r="C39" s="12">
        <v>65</v>
      </c>
      <c r="D39" s="8">
        <v>2.13</v>
      </c>
      <c r="E39" s="12">
        <v>9</v>
      </c>
      <c r="F39" s="8">
        <v>0.49</v>
      </c>
      <c r="G39" s="12">
        <v>56</v>
      </c>
      <c r="H39" s="8">
        <v>4.67</v>
      </c>
      <c r="I39" s="12">
        <v>0</v>
      </c>
    </row>
    <row r="40" spans="2:9" ht="15" customHeight="1" x14ac:dyDescent="0.2">
      <c r="B40" t="s">
        <v>85</v>
      </c>
      <c r="C40" s="12">
        <v>62</v>
      </c>
      <c r="D40" s="8">
        <v>2.0299999999999998</v>
      </c>
      <c r="E40" s="12">
        <v>7</v>
      </c>
      <c r="F40" s="8">
        <v>0.38</v>
      </c>
      <c r="G40" s="12">
        <v>55</v>
      </c>
      <c r="H40" s="8">
        <v>4.59</v>
      </c>
      <c r="I40" s="12">
        <v>0</v>
      </c>
    </row>
    <row r="41" spans="2:9" ht="15" customHeight="1" x14ac:dyDescent="0.2">
      <c r="B41" t="s">
        <v>86</v>
      </c>
      <c r="C41" s="12">
        <v>46</v>
      </c>
      <c r="D41" s="8">
        <v>1.51</v>
      </c>
      <c r="E41" s="12">
        <v>8</v>
      </c>
      <c r="F41" s="8">
        <v>0.43</v>
      </c>
      <c r="G41" s="12">
        <v>38</v>
      </c>
      <c r="H41" s="8">
        <v>3.17</v>
      </c>
      <c r="I41" s="12">
        <v>0</v>
      </c>
    </row>
    <row r="42" spans="2:9" ht="15" customHeight="1" x14ac:dyDescent="0.2">
      <c r="B42" t="s">
        <v>79</v>
      </c>
      <c r="C42" s="12">
        <v>44</v>
      </c>
      <c r="D42" s="8">
        <v>1.44</v>
      </c>
      <c r="E42" s="12">
        <v>19</v>
      </c>
      <c r="F42" s="8">
        <v>1.03</v>
      </c>
      <c r="G42" s="12">
        <v>24</v>
      </c>
      <c r="H42" s="8">
        <v>2</v>
      </c>
      <c r="I42" s="12">
        <v>1</v>
      </c>
    </row>
    <row r="43" spans="2:9" ht="15" customHeight="1" x14ac:dyDescent="0.2">
      <c r="B43" t="s">
        <v>89</v>
      </c>
      <c r="C43" s="12">
        <v>43</v>
      </c>
      <c r="D43" s="8">
        <v>1.41</v>
      </c>
      <c r="E43" s="12">
        <v>8</v>
      </c>
      <c r="F43" s="8">
        <v>0.43</v>
      </c>
      <c r="G43" s="12">
        <v>35</v>
      </c>
      <c r="H43" s="8">
        <v>2.92</v>
      </c>
      <c r="I43" s="12">
        <v>0</v>
      </c>
    </row>
    <row r="44" spans="2:9" ht="15" customHeight="1" x14ac:dyDescent="0.2">
      <c r="B44" t="s">
        <v>84</v>
      </c>
      <c r="C44" s="12">
        <v>43</v>
      </c>
      <c r="D44" s="8">
        <v>1.41</v>
      </c>
      <c r="E44" s="12">
        <v>36</v>
      </c>
      <c r="F44" s="8">
        <v>1.95</v>
      </c>
      <c r="G44" s="12">
        <v>7</v>
      </c>
      <c r="H44" s="8">
        <v>0.57999999999999996</v>
      </c>
      <c r="I44" s="12">
        <v>0</v>
      </c>
    </row>
    <row r="47" spans="2:9" ht="33" customHeight="1" x14ac:dyDescent="0.2">
      <c r="B47" t="s">
        <v>262</v>
      </c>
      <c r="C47" s="10" t="s">
        <v>58</v>
      </c>
      <c r="D47" s="10" t="s">
        <v>59</v>
      </c>
      <c r="E47" s="10" t="s">
        <v>60</v>
      </c>
      <c r="F47" s="10" t="s">
        <v>61</v>
      </c>
      <c r="G47" s="10" t="s">
        <v>62</v>
      </c>
      <c r="H47" s="10" t="s">
        <v>63</v>
      </c>
      <c r="I47" s="10" t="s">
        <v>64</v>
      </c>
    </row>
    <row r="48" spans="2:9" ht="15" customHeight="1" x14ac:dyDescent="0.2">
      <c r="B48" t="s">
        <v>128</v>
      </c>
      <c r="C48" s="12">
        <v>422</v>
      </c>
      <c r="D48" s="8">
        <v>13.81</v>
      </c>
      <c r="E48" s="12">
        <v>340</v>
      </c>
      <c r="F48" s="8">
        <v>18.46</v>
      </c>
      <c r="G48" s="12">
        <v>82</v>
      </c>
      <c r="H48" s="8">
        <v>6.84</v>
      </c>
      <c r="I48" s="12">
        <v>0</v>
      </c>
    </row>
    <row r="49" spans="2:9" ht="15" customHeight="1" x14ac:dyDescent="0.2">
      <c r="B49" t="s">
        <v>133</v>
      </c>
      <c r="C49" s="12">
        <v>195</v>
      </c>
      <c r="D49" s="8">
        <v>6.38</v>
      </c>
      <c r="E49" s="12">
        <v>190</v>
      </c>
      <c r="F49" s="8">
        <v>10.31</v>
      </c>
      <c r="G49" s="12">
        <v>5</v>
      </c>
      <c r="H49" s="8">
        <v>0.42</v>
      </c>
      <c r="I49" s="12">
        <v>0</v>
      </c>
    </row>
    <row r="50" spans="2:9" ht="15" customHeight="1" x14ac:dyDescent="0.2">
      <c r="B50" t="s">
        <v>132</v>
      </c>
      <c r="C50" s="12">
        <v>138</v>
      </c>
      <c r="D50" s="8">
        <v>4.5199999999999996</v>
      </c>
      <c r="E50" s="12">
        <v>128</v>
      </c>
      <c r="F50" s="8">
        <v>6.95</v>
      </c>
      <c r="G50" s="12">
        <v>10</v>
      </c>
      <c r="H50" s="8">
        <v>0.83</v>
      </c>
      <c r="I50" s="12">
        <v>0</v>
      </c>
    </row>
    <row r="51" spans="2:9" ht="15" customHeight="1" x14ac:dyDescent="0.2">
      <c r="B51" t="s">
        <v>136</v>
      </c>
      <c r="C51" s="12">
        <v>126</v>
      </c>
      <c r="D51" s="8">
        <v>4.12</v>
      </c>
      <c r="E51" s="12">
        <v>118</v>
      </c>
      <c r="F51" s="8">
        <v>6.41</v>
      </c>
      <c r="G51" s="12">
        <v>8</v>
      </c>
      <c r="H51" s="8">
        <v>0.67</v>
      </c>
      <c r="I51" s="12">
        <v>0</v>
      </c>
    </row>
    <row r="52" spans="2:9" ht="15" customHeight="1" x14ac:dyDescent="0.2">
      <c r="B52" t="s">
        <v>139</v>
      </c>
      <c r="C52" s="12">
        <v>103</v>
      </c>
      <c r="D52" s="8">
        <v>3.37</v>
      </c>
      <c r="E52" s="12">
        <v>95</v>
      </c>
      <c r="F52" s="8">
        <v>5.16</v>
      </c>
      <c r="G52" s="12">
        <v>7</v>
      </c>
      <c r="H52" s="8">
        <v>0.57999999999999996</v>
      </c>
      <c r="I52" s="12">
        <v>1</v>
      </c>
    </row>
    <row r="53" spans="2:9" ht="15" customHeight="1" x14ac:dyDescent="0.2">
      <c r="B53" t="s">
        <v>129</v>
      </c>
      <c r="C53" s="12">
        <v>71</v>
      </c>
      <c r="D53" s="8">
        <v>2.3199999999999998</v>
      </c>
      <c r="E53" s="12">
        <v>28</v>
      </c>
      <c r="F53" s="8">
        <v>1.52</v>
      </c>
      <c r="G53" s="12">
        <v>43</v>
      </c>
      <c r="H53" s="8">
        <v>3.59</v>
      </c>
      <c r="I53" s="12">
        <v>0</v>
      </c>
    </row>
    <row r="54" spans="2:9" ht="15" customHeight="1" x14ac:dyDescent="0.2">
      <c r="B54" t="s">
        <v>131</v>
      </c>
      <c r="C54" s="12">
        <v>65</v>
      </c>
      <c r="D54" s="8">
        <v>2.13</v>
      </c>
      <c r="E54" s="12">
        <v>54</v>
      </c>
      <c r="F54" s="8">
        <v>2.93</v>
      </c>
      <c r="G54" s="12">
        <v>11</v>
      </c>
      <c r="H54" s="8">
        <v>0.92</v>
      </c>
      <c r="I54" s="12">
        <v>0</v>
      </c>
    </row>
    <row r="55" spans="2:9" ht="15" customHeight="1" x14ac:dyDescent="0.2">
      <c r="B55" t="s">
        <v>135</v>
      </c>
      <c r="C55" s="12">
        <v>61</v>
      </c>
      <c r="D55" s="8">
        <v>2</v>
      </c>
      <c r="E55" s="12">
        <v>58</v>
      </c>
      <c r="F55" s="8">
        <v>3.15</v>
      </c>
      <c r="G55" s="12">
        <v>3</v>
      </c>
      <c r="H55" s="8">
        <v>0.25</v>
      </c>
      <c r="I55" s="12">
        <v>0</v>
      </c>
    </row>
    <row r="56" spans="2:9" ht="15" customHeight="1" x14ac:dyDescent="0.2">
      <c r="B56" t="s">
        <v>127</v>
      </c>
      <c r="C56" s="12">
        <v>60</v>
      </c>
      <c r="D56" s="8">
        <v>1.96</v>
      </c>
      <c r="E56" s="12">
        <v>24</v>
      </c>
      <c r="F56" s="8">
        <v>1.3</v>
      </c>
      <c r="G56" s="12">
        <v>36</v>
      </c>
      <c r="H56" s="8">
        <v>3.01</v>
      </c>
      <c r="I56" s="12">
        <v>0</v>
      </c>
    </row>
    <row r="57" spans="2:9" ht="15" customHeight="1" x14ac:dyDescent="0.2">
      <c r="B57" t="s">
        <v>140</v>
      </c>
      <c r="C57" s="12">
        <v>56</v>
      </c>
      <c r="D57" s="8">
        <v>1.83</v>
      </c>
      <c r="E57" s="12">
        <v>52</v>
      </c>
      <c r="F57" s="8">
        <v>2.82</v>
      </c>
      <c r="G57" s="12">
        <v>4</v>
      </c>
      <c r="H57" s="8">
        <v>0.33</v>
      </c>
      <c r="I57" s="12">
        <v>0</v>
      </c>
    </row>
    <row r="58" spans="2:9" ht="15" customHeight="1" x14ac:dyDescent="0.2">
      <c r="B58" t="s">
        <v>123</v>
      </c>
      <c r="C58" s="12">
        <v>49</v>
      </c>
      <c r="D58" s="8">
        <v>1.6</v>
      </c>
      <c r="E58" s="12">
        <v>31</v>
      </c>
      <c r="F58" s="8">
        <v>1.68</v>
      </c>
      <c r="G58" s="12">
        <v>18</v>
      </c>
      <c r="H58" s="8">
        <v>1.5</v>
      </c>
      <c r="I58" s="12">
        <v>0</v>
      </c>
    </row>
    <row r="59" spans="2:9" ht="15" customHeight="1" x14ac:dyDescent="0.2">
      <c r="B59" t="s">
        <v>145</v>
      </c>
      <c r="C59" s="12">
        <v>48</v>
      </c>
      <c r="D59" s="8">
        <v>1.57</v>
      </c>
      <c r="E59" s="12">
        <v>7</v>
      </c>
      <c r="F59" s="8">
        <v>0.38</v>
      </c>
      <c r="G59" s="12">
        <v>41</v>
      </c>
      <c r="H59" s="8">
        <v>3.42</v>
      </c>
      <c r="I59" s="12">
        <v>0</v>
      </c>
    </row>
    <row r="60" spans="2:9" ht="15" customHeight="1" x14ac:dyDescent="0.2">
      <c r="B60" t="s">
        <v>147</v>
      </c>
      <c r="C60" s="12">
        <v>43</v>
      </c>
      <c r="D60" s="8">
        <v>1.41</v>
      </c>
      <c r="E60" s="12">
        <v>14</v>
      </c>
      <c r="F60" s="8">
        <v>0.76</v>
      </c>
      <c r="G60" s="12">
        <v>29</v>
      </c>
      <c r="H60" s="8">
        <v>2.42</v>
      </c>
      <c r="I60" s="12">
        <v>0</v>
      </c>
    </row>
    <row r="61" spans="2:9" ht="15" customHeight="1" x14ac:dyDescent="0.2">
      <c r="B61" t="s">
        <v>141</v>
      </c>
      <c r="C61" s="12">
        <v>43</v>
      </c>
      <c r="D61" s="8">
        <v>1.41</v>
      </c>
      <c r="E61" s="12">
        <v>36</v>
      </c>
      <c r="F61" s="8">
        <v>1.95</v>
      </c>
      <c r="G61" s="12">
        <v>7</v>
      </c>
      <c r="H61" s="8">
        <v>0.57999999999999996</v>
      </c>
      <c r="I61" s="12">
        <v>0</v>
      </c>
    </row>
    <row r="62" spans="2:9" ht="15" customHeight="1" x14ac:dyDescent="0.2">
      <c r="B62" t="s">
        <v>151</v>
      </c>
      <c r="C62" s="12">
        <v>42</v>
      </c>
      <c r="D62" s="8">
        <v>1.37</v>
      </c>
      <c r="E62" s="12">
        <v>5</v>
      </c>
      <c r="F62" s="8">
        <v>0.27</v>
      </c>
      <c r="G62" s="12">
        <v>37</v>
      </c>
      <c r="H62" s="8">
        <v>3.09</v>
      </c>
      <c r="I62" s="12">
        <v>0</v>
      </c>
    </row>
    <row r="63" spans="2:9" ht="15" customHeight="1" x14ac:dyDescent="0.2">
      <c r="B63" t="s">
        <v>125</v>
      </c>
      <c r="C63" s="12">
        <v>42</v>
      </c>
      <c r="D63" s="8">
        <v>1.37</v>
      </c>
      <c r="E63" s="12">
        <v>19</v>
      </c>
      <c r="F63" s="8">
        <v>1.03</v>
      </c>
      <c r="G63" s="12">
        <v>23</v>
      </c>
      <c r="H63" s="8">
        <v>1.92</v>
      </c>
      <c r="I63" s="12">
        <v>0</v>
      </c>
    </row>
    <row r="64" spans="2:9" ht="15" customHeight="1" x14ac:dyDescent="0.2">
      <c r="B64" t="s">
        <v>126</v>
      </c>
      <c r="C64" s="12">
        <v>42</v>
      </c>
      <c r="D64" s="8">
        <v>1.37</v>
      </c>
      <c r="E64" s="12">
        <v>28</v>
      </c>
      <c r="F64" s="8">
        <v>1.52</v>
      </c>
      <c r="G64" s="12">
        <v>14</v>
      </c>
      <c r="H64" s="8">
        <v>1.17</v>
      </c>
      <c r="I64" s="12">
        <v>0</v>
      </c>
    </row>
    <row r="65" spans="2:9" ht="15" customHeight="1" x14ac:dyDescent="0.2">
      <c r="B65" t="s">
        <v>138</v>
      </c>
      <c r="C65" s="12">
        <v>42</v>
      </c>
      <c r="D65" s="8">
        <v>1.37</v>
      </c>
      <c r="E65" s="12">
        <v>34</v>
      </c>
      <c r="F65" s="8">
        <v>1.85</v>
      </c>
      <c r="G65" s="12">
        <v>8</v>
      </c>
      <c r="H65" s="8">
        <v>0.67</v>
      </c>
      <c r="I65" s="12">
        <v>0</v>
      </c>
    </row>
    <row r="66" spans="2:9" ht="15" customHeight="1" x14ac:dyDescent="0.2">
      <c r="B66" t="s">
        <v>152</v>
      </c>
      <c r="C66" s="12">
        <v>42</v>
      </c>
      <c r="D66" s="8">
        <v>1.37</v>
      </c>
      <c r="E66" s="12">
        <v>12</v>
      </c>
      <c r="F66" s="8">
        <v>0.65</v>
      </c>
      <c r="G66" s="12">
        <v>28</v>
      </c>
      <c r="H66" s="8">
        <v>2.34</v>
      </c>
      <c r="I66" s="12">
        <v>2</v>
      </c>
    </row>
    <row r="67" spans="2:9" ht="15" customHeight="1" x14ac:dyDescent="0.2">
      <c r="B67" t="s">
        <v>124</v>
      </c>
      <c r="C67" s="12">
        <v>40</v>
      </c>
      <c r="D67" s="8">
        <v>1.31</v>
      </c>
      <c r="E67" s="12">
        <v>32</v>
      </c>
      <c r="F67" s="8">
        <v>1.74</v>
      </c>
      <c r="G67" s="12">
        <v>8</v>
      </c>
      <c r="H67" s="8">
        <v>0.67</v>
      </c>
      <c r="I67" s="12">
        <v>0</v>
      </c>
    </row>
    <row r="69" spans="2:9" ht="15" customHeight="1" x14ac:dyDescent="0.2">
      <c r="B69" t="s">
        <v>263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46</vt:i4>
      </vt:variant>
      <vt:variant>
        <vt:lpstr>名前付き一覧</vt:lpstr>
      </vt:variant>
      <vt:variant>
        <vt:i4>3</vt:i4>
      </vt:variant>
    </vt:vector>
  </HeadingPairs>
  <TitlesOfParts>
    <vt:vector size="49" baseType="lpstr">
      <vt:lpstr>目次</vt:lpstr>
      <vt:lpstr>産業大分類</vt:lpstr>
      <vt:lpstr>産業中分類</vt:lpstr>
      <vt:lpstr>産業小分類</vt:lpstr>
      <vt:lpstr>沖縄県</vt:lpstr>
      <vt:lpstr>那覇市</vt:lpstr>
      <vt:lpstr>宜野湾市</vt:lpstr>
      <vt:lpstr>石垣市</vt:lpstr>
      <vt:lpstr>浦添市</vt:lpstr>
      <vt:lpstr>名護市</vt:lpstr>
      <vt:lpstr>糸満市</vt:lpstr>
      <vt:lpstr>沖縄市</vt:lpstr>
      <vt:lpstr>豊見城市</vt:lpstr>
      <vt:lpstr>うるま市</vt:lpstr>
      <vt:lpstr>宮古島市</vt:lpstr>
      <vt:lpstr>南城市</vt:lpstr>
      <vt:lpstr>国頭郡国頭村</vt:lpstr>
      <vt:lpstr>国頭郡大宜味村</vt:lpstr>
      <vt:lpstr>国頭郡東村</vt:lpstr>
      <vt:lpstr>国頭郡今帰仁村</vt:lpstr>
      <vt:lpstr>国頭郡本部町</vt:lpstr>
      <vt:lpstr>国頭郡恩納村</vt:lpstr>
      <vt:lpstr>国頭郡宜野座村</vt:lpstr>
      <vt:lpstr>国頭郡金武町</vt:lpstr>
      <vt:lpstr>国頭郡伊江村</vt:lpstr>
      <vt:lpstr>中頭郡読谷村</vt:lpstr>
      <vt:lpstr>中頭郡嘉手納町</vt:lpstr>
      <vt:lpstr>中頭郡北谷町</vt:lpstr>
      <vt:lpstr>中頭郡北中城村</vt:lpstr>
      <vt:lpstr>中頭郡中城村</vt:lpstr>
      <vt:lpstr>中頭郡西原町</vt:lpstr>
      <vt:lpstr>島尻郡与那原町</vt:lpstr>
      <vt:lpstr>島尻郡南風原町</vt:lpstr>
      <vt:lpstr>島尻郡渡嘉敷村</vt:lpstr>
      <vt:lpstr>島尻郡座間味村</vt:lpstr>
      <vt:lpstr>島尻郡粟国村</vt:lpstr>
      <vt:lpstr>島尻郡渡名喜村</vt:lpstr>
      <vt:lpstr>島尻郡南大東村</vt:lpstr>
      <vt:lpstr>島尻郡北大東村</vt:lpstr>
      <vt:lpstr>島尻郡伊平屋村</vt:lpstr>
      <vt:lpstr>島尻郡伊是名村</vt:lpstr>
      <vt:lpstr>島尻郡久米島町</vt:lpstr>
      <vt:lpstr>島尻郡八重瀬町</vt:lpstr>
      <vt:lpstr>宮古郡多良間村</vt:lpstr>
      <vt:lpstr>八重山郡竹富町</vt:lpstr>
      <vt:lpstr>八重山郡与那国町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2023-08-17T02:23:05Z</dcterms:created>
  <dcterms:modified xsi:type="dcterms:W3CDTF">2023-08-17T02:23:05Z</dcterms:modified>
</cp:coreProperties>
</file>