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F497C1CA-8671-465A-9C38-FCBD3D314693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2" r:id="rId1"/>
    <sheet name="産業大分類" sheetId="5" r:id="rId2"/>
    <sheet name="産業中分類" sheetId="6" r:id="rId3"/>
    <sheet name="産業小分類" sheetId="7" r:id="rId4"/>
    <sheet name="鹿児島県" sheetId="8" r:id="rId5"/>
    <sheet name="鹿児島市" sheetId="9" r:id="rId6"/>
    <sheet name="鹿屋市" sheetId="10" r:id="rId7"/>
    <sheet name="枕崎市" sheetId="11" r:id="rId8"/>
    <sheet name="阿久根市" sheetId="12" r:id="rId9"/>
    <sheet name="出水市" sheetId="13" r:id="rId10"/>
    <sheet name="指宿市" sheetId="14" r:id="rId11"/>
    <sheet name="西之表市" sheetId="15" r:id="rId12"/>
    <sheet name="垂水市" sheetId="16" r:id="rId13"/>
    <sheet name="薩摩川内市" sheetId="17" r:id="rId14"/>
    <sheet name="日置市" sheetId="18" r:id="rId15"/>
    <sheet name="曽於市" sheetId="19" r:id="rId16"/>
    <sheet name="霧島市" sheetId="20" r:id="rId17"/>
    <sheet name="いちき串木野市" sheetId="21" r:id="rId18"/>
    <sheet name="南さつま市" sheetId="22" r:id="rId19"/>
    <sheet name="志布志市" sheetId="23" r:id="rId20"/>
    <sheet name="奄美市" sheetId="24" r:id="rId21"/>
    <sheet name="南九州市" sheetId="25" r:id="rId22"/>
    <sheet name="伊佐市" sheetId="26" r:id="rId23"/>
    <sheet name="姶良市" sheetId="27" r:id="rId24"/>
    <sheet name="鹿児島郡三島村" sheetId="28" r:id="rId25"/>
    <sheet name="鹿児島郡十島村" sheetId="29" r:id="rId26"/>
    <sheet name="薩摩郡さつま町" sheetId="30" r:id="rId27"/>
    <sheet name="出水郡長島町" sheetId="31" r:id="rId28"/>
    <sheet name="姶良郡湧水町" sheetId="32" r:id="rId29"/>
    <sheet name="曽於郡大崎町" sheetId="33" r:id="rId30"/>
    <sheet name="肝属郡東串良町" sheetId="34" r:id="rId31"/>
    <sheet name="肝属郡錦江町" sheetId="35" r:id="rId32"/>
    <sheet name="肝属郡南大隅町" sheetId="36" r:id="rId33"/>
    <sheet name="肝属郡肝付町" sheetId="37" r:id="rId34"/>
    <sheet name="熊毛郡中種子町" sheetId="38" r:id="rId35"/>
    <sheet name="熊毛郡南種子町" sheetId="39" r:id="rId36"/>
    <sheet name="熊毛郡屋久島町" sheetId="40" r:id="rId37"/>
    <sheet name="大島郡大和村" sheetId="41" r:id="rId38"/>
    <sheet name="大島郡宇検村" sheetId="42" r:id="rId39"/>
    <sheet name="大島郡瀬戸内町" sheetId="43" r:id="rId40"/>
    <sheet name="大島郡龍郷町" sheetId="44" r:id="rId41"/>
    <sheet name="大島郡喜界町" sheetId="45" r:id="rId42"/>
    <sheet name="大島郡徳之島町" sheetId="46" r:id="rId43"/>
    <sheet name="大島郡天城町" sheetId="47" r:id="rId44"/>
    <sheet name="大島郡伊仙町" sheetId="48" r:id="rId45"/>
    <sheet name="大島郡和泊町" sheetId="49" r:id="rId46"/>
    <sheet name="大島郡知名町" sheetId="50" r:id="rId47"/>
    <sheet name="大島郡与論町" sheetId="51" r:id="rId48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63" r:id="rId49"/>
    <pivotCache cacheId="2264" r:id="rId50"/>
    <pivotCache cacheId="2265" r:id="rId5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1" l="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<sst xmlns="http://schemas.openxmlformats.org/spreadsheetml/2006/main" count="6512" uniqueCount="333">
  <si>
    <t>46000 鹿児島県</t>
  </si>
  <si>
    <t>46201 鹿児島市</t>
  </si>
  <si>
    <t>46203 鹿屋市</t>
  </si>
  <si>
    <t>46204 枕崎市</t>
  </si>
  <si>
    <t>46206 阿久根市</t>
  </si>
  <si>
    <t>46208 出水市</t>
  </si>
  <si>
    <t>46210 指宿市</t>
  </si>
  <si>
    <t>46213 西之表市</t>
  </si>
  <si>
    <t>46214 垂水市</t>
  </si>
  <si>
    <t>46215 薩摩川内市</t>
  </si>
  <si>
    <t>46216 日置市</t>
  </si>
  <si>
    <t>46217 曽於市</t>
  </si>
  <si>
    <t>46218 霧島市</t>
  </si>
  <si>
    <t>46219 いちき串木野市</t>
  </si>
  <si>
    <t>46220 南さつま市</t>
  </si>
  <si>
    <t>46221 志布志市</t>
  </si>
  <si>
    <t>46222 奄美市</t>
  </si>
  <si>
    <t>46223 南九州市</t>
  </si>
  <si>
    <t>46224 伊佐市</t>
  </si>
  <si>
    <t>46225 姶良市</t>
  </si>
  <si>
    <t>46303 鹿児島郡三島村</t>
  </si>
  <si>
    <t>46304 鹿児島郡十島村</t>
  </si>
  <si>
    <t>46392 薩摩郡さつま町</t>
  </si>
  <si>
    <t>46404 出水郡長島町</t>
  </si>
  <si>
    <t>46452 姶良郡湧水町</t>
  </si>
  <si>
    <t>46468 曽於郡大崎町</t>
  </si>
  <si>
    <t>46482 肝属郡東串良町</t>
  </si>
  <si>
    <t>46490 肝属郡錦江町</t>
  </si>
  <si>
    <t>46491 肝属郡南大隅町</t>
  </si>
  <si>
    <t>46492 肝属郡肝付町</t>
  </si>
  <si>
    <t>46501 熊毛郡中種子町</t>
  </si>
  <si>
    <t>46502 熊毛郡南種子町</t>
  </si>
  <si>
    <t>46505 熊毛郡屋久島町</t>
  </si>
  <si>
    <t>46523 大島郡大和村</t>
  </si>
  <si>
    <t>46524 大島郡宇検村</t>
  </si>
  <si>
    <t>46525 大島郡瀬戸内町</t>
  </si>
  <si>
    <t>46527 大島郡龍郷町</t>
  </si>
  <si>
    <t>46529 大島郡喜界町</t>
  </si>
  <si>
    <t>46530 大島郡徳之島町</t>
  </si>
  <si>
    <t>46531 大島郡天城町</t>
  </si>
  <si>
    <t>46532 大島郡伊仙町</t>
  </si>
  <si>
    <t>46533 大島郡和泊町</t>
  </si>
  <si>
    <t>46534 大島郡知名町</t>
  </si>
  <si>
    <t>46535 大島郡与論町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</si>
  <si>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</si>
  <si>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</si>
  <si>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</si>
  <si>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</si>
  <si>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</si>
  <si>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</si>
  <si>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</si>
  <si>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</si>
  <si>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</si>
  <si>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</si>
  <si>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</si>
  <si>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</si>
  <si>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</si>
  <si>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</si>
  <si>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</si>
  <si>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</si>
  <si>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</si>
  <si>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</si>
  <si>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</si>
  <si>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</si>
  <si>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</si>
  <si>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</si>
  <si>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</si>
  <si>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</si>
  <si>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</si>
  <si>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</si>
  <si>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</si>
  <si>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</si>
  <si>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</si>
  <si>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</si>
  <si>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</si>
  <si>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</si>
  <si>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</si>
  <si>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</si>
  <si>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</si>
  <si>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</si>
  <si>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</si>
  <si>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</si>
  <si>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</si>
  <si>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</si>
  <si>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</si>
  <si>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</si>
  <si>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</si>
  <si>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53 建築材料，鉱物・金属材料等卸売業</t>
  </si>
  <si>
    <t>54 機械器具卸売業</t>
  </si>
  <si>
    <t>55 その他の卸売業</t>
  </si>
  <si>
    <t>10 飲料・たばこ・飼料製造業</t>
  </si>
  <si>
    <t>79 その他の生活関連サービス業</t>
  </si>
  <si>
    <t>33 電気業</t>
  </si>
  <si>
    <t>77 持ち帰り・配達飲食サービス業</t>
  </si>
  <si>
    <t>80 娯楽業</t>
  </si>
  <si>
    <t>92 その他の事業サービス業</t>
  </si>
  <si>
    <t>24 金属製品製造業</t>
  </si>
  <si>
    <t>67 保険業（保険媒介代理業，保険サービス業を含む）</t>
  </si>
  <si>
    <t>21 窯業・土石製品製造業</t>
  </si>
  <si>
    <t>90 機械等修理業（別掲を除く）</t>
  </si>
  <si>
    <t>47 倉庫業</t>
  </si>
  <si>
    <t>11 繊維工業</t>
  </si>
  <si>
    <t>13 家具・装備品製造業</t>
  </si>
  <si>
    <t>32 その他の製造業</t>
  </si>
  <si>
    <t>12 木材・木製品製造業（家具を除く）</t>
  </si>
  <si>
    <t>61 無店舗小売業</t>
  </si>
  <si>
    <t>48 運輸に附帯するサービス業</t>
  </si>
  <si>
    <t>95 その他のサービス業</t>
  </si>
  <si>
    <t>16 化学工業</t>
  </si>
  <si>
    <t>31 輸送用機械器具製造業</t>
  </si>
  <si>
    <t>45 水運業</t>
  </si>
  <si>
    <t>88 廃棄物処理業</t>
  </si>
  <si>
    <t>71 学術・開発研究機関</t>
  </si>
  <si>
    <t>70 物品賃貸業</t>
  </si>
  <si>
    <t>39 情報サービス業</t>
  </si>
  <si>
    <t>05 鉱業，採石業，砂利採取業</t>
  </si>
  <si>
    <t>29 電気機械器具製造業</t>
  </si>
  <si>
    <t>36 水道業</t>
  </si>
  <si>
    <t>38 放送業</t>
  </si>
  <si>
    <t>44 道路貨物運送業</t>
  </si>
  <si>
    <t>37 通信業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</si>
  <si>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</si>
  <si>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</si>
  <si>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</si>
  <si>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</si>
  <si>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</si>
  <si>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</si>
  <si>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</si>
  <si>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</si>
  <si>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</si>
  <si>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</si>
  <si>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</si>
  <si>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</si>
  <si>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</si>
  <si>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</si>
  <si>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</si>
  <si>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</si>
  <si>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</si>
  <si>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</si>
  <si>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</si>
  <si>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</si>
  <si>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</si>
  <si>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</si>
  <si>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</si>
  <si>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682 不動産代理業・仲介業</t>
  </si>
  <si>
    <t>691 不動産賃貸業（貸家業，貸間業を除く）</t>
  </si>
  <si>
    <t>781 洗濯業</t>
  </si>
  <si>
    <t>593 機械器具小売業（自動車，自転車を除く）</t>
  </si>
  <si>
    <t>799 他に分類されない生活関連サービス業</t>
  </si>
  <si>
    <t>092 水産食料品製造業</t>
  </si>
  <si>
    <t>103 茶・コーヒー製造業（清涼飲料を除く）</t>
  </si>
  <si>
    <t>331 電気業</t>
  </si>
  <si>
    <t>573 婦人・子供服小売業</t>
  </si>
  <si>
    <t>582 野菜・果実小売業</t>
  </si>
  <si>
    <t>521 農畜産物・水産物卸売業</t>
  </si>
  <si>
    <t>522 食料・飲料卸売業</t>
  </si>
  <si>
    <t>761 食堂，レストラン（専門料理店を除く）</t>
  </si>
  <si>
    <t>065 木造建築工事業</t>
  </si>
  <si>
    <t>751 旅館，ホテル</t>
  </si>
  <si>
    <t>097 パン・菓子製造業</t>
  </si>
  <si>
    <t>581 各種食料品小売業</t>
  </si>
  <si>
    <t>101 清涼飲料製造業</t>
  </si>
  <si>
    <t>244 建設用・建築用金属製品製造業（製缶板金業を含む）</t>
  </si>
  <si>
    <t>559 他に分類されない卸売業</t>
  </si>
  <si>
    <t>674 保険媒介代理業</t>
  </si>
  <si>
    <t>821 社会教育</t>
  </si>
  <si>
    <t>823 学習塾</t>
  </si>
  <si>
    <t>767 喫茶店</t>
  </si>
  <si>
    <t>604 農耕用品小売業</t>
  </si>
  <si>
    <t>083 管工事業（さく井工事業を除く）</t>
  </si>
  <si>
    <t>772 配達飲食サービス業</t>
  </si>
  <si>
    <t>471 倉庫業（冷蔵倉庫業を除く）</t>
  </si>
  <si>
    <t>112 織物業</t>
  </si>
  <si>
    <t>132 宗教用具製造業</t>
  </si>
  <si>
    <t>601 家具・建具・畳小売業</t>
  </si>
  <si>
    <t>121 製材業，木製品製造業</t>
  </si>
  <si>
    <t>855 障害者福祉事業</t>
  </si>
  <si>
    <t>093 野菜缶詰・果実缶詰・農産保存食料品製造業</t>
  </si>
  <si>
    <t>098 動植物油脂製造業</t>
  </si>
  <si>
    <t>102 酒類製造業</t>
  </si>
  <si>
    <t>485 運輸施設提供業</t>
  </si>
  <si>
    <t>489 その他の運輸に附帯するサービス業</t>
  </si>
  <si>
    <t>729 その他の専門サービス業</t>
  </si>
  <si>
    <t>752 簡易宿所</t>
  </si>
  <si>
    <t>951 集会場</t>
  </si>
  <si>
    <t>094 調味料製造業</t>
  </si>
  <si>
    <t>162 無機化学工業製品製造業</t>
  </si>
  <si>
    <t>853 児童福祉事業</t>
  </si>
  <si>
    <t>854 老人福祉・介護事業</t>
  </si>
  <si>
    <t>071 大工工事業</t>
  </si>
  <si>
    <t>096 精穀・製粉業</t>
  </si>
  <si>
    <t>212 セメント・同製品製造業</t>
  </si>
  <si>
    <t>452 沿海海運業</t>
  </si>
  <si>
    <t>077 塗装工事業</t>
  </si>
  <si>
    <t>079 その他の職別工事業</t>
  </si>
  <si>
    <t>133 建具製造業</t>
  </si>
  <si>
    <t>784 一般公衆浴場業</t>
  </si>
  <si>
    <t>061 一般土木建築工事業</t>
  </si>
  <si>
    <t>722 公証人役場，司法書士事務所，土地家屋調査士事務所</t>
  </si>
  <si>
    <t>771 持ち帰り飲食サービス業</t>
  </si>
  <si>
    <t>901 機械修理業（電気機械器具を除く）</t>
  </si>
  <si>
    <t>929 他に分類されない事業サービス業</t>
  </si>
  <si>
    <t>075 左官工事業</t>
  </si>
  <si>
    <t>106 飼料・有機質肥料製造業</t>
  </si>
  <si>
    <t>584 鮮魚小売業</t>
  </si>
  <si>
    <t>809 その他の娯楽業</t>
  </si>
  <si>
    <t>711 自然科学研究所</t>
  </si>
  <si>
    <t>099 その他の食料品製造業</t>
  </si>
  <si>
    <t>704 自動車賃貸業</t>
  </si>
  <si>
    <t>769 その他の飲食店</t>
  </si>
  <si>
    <t>607 スポーツ用品・がん具・娯楽用品・楽器小売業</t>
  </si>
  <si>
    <t>129 その他の木製品製造業（竹，とうを含む）</t>
  </si>
  <si>
    <t>054 採石業，砂・砂利・玉石採取業</t>
  </si>
  <si>
    <t>294 電球・電気照明器具製造業</t>
  </si>
  <si>
    <t>328 畳等生活雑貨製品製造業</t>
  </si>
  <si>
    <t>361 上水道業</t>
  </si>
  <si>
    <t>602 じゅう器小売業</t>
  </si>
  <si>
    <t>611 通信販売・訪問販売小売業</t>
  </si>
  <si>
    <t>727 著述・芸術家業</t>
  </si>
  <si>
    <t>881 一般廃棄物処理業</t>
  </si>
  <si>
    <t>903 表具業</t>
  </si>
  <si>
    <t>909 その他の修理業</t>
  </si>
  <si>
    <t>066 建築リフォーム工事業</t>
  </si>
  <si>
    <t>210 管理，補助的経済活動を行う事業所</t>
  </si>
  <si>
    <t>360 管理，補助的経済活動を行う事業所</t>
  </si>
  <si>
    <t>382 民間放送業（有線放送業を除く）</t>
  </si>
  <si>
    <t>702 産業用機械器具賃貸業</t>
  </si>
  <si>
    <t>705 スポーツ・娯楽用品賃貸業</t>
  </si>
  <si>
    <t>728 経営コンサルタント業，純粋持株会社</t>
  </si>
  <si>
    <t>833 歯科診療所</t>
  </si>
  <si>
    <t>606 書籍・文房具小売業</t>
  </si>
  <si>
    <t>789 その他の洗濯・理容・美容・浴場業</t>
  </si>
  <si>
    <t>095 糖類製造業</t>
  </si>
  <si>
    <t>723 行政書士事務所</t>
  </si>
  <si>
    <t>583 食肉小売業</t>
  </si>
  <si>
    <t>441 一般貨物自動車運送業</t>
  </si>
  <si>
    <t>072 とび・土工・コンクリート工事業</t>
  </si>
  <si>
    <t>764 すし店</t>
  </si>
  <si>
    <t>産業小分類</t>
  </si>
  <si>
    <t>46000　鹿児島県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</si>
  <si>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</si>
  <si>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</si>
  <si>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</si>
  <si>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</si>
  <si>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</si>
  <si>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46201　鹿児島市</t>
  </si>
  <si>
    <t>46203　鹿屋市</t>
  </si>
  <si>
    <t>46204　枕崎市</t>
  </si>
  <si>
    <t>46206　阿久根市</t>
  </si>
  <si>
    <t>46208　出水市</t>
  </si>
  <si>
    <t>46210　指宿市</t>
  </si>
  <si>
    <t>46213　西之表市</t>
  </si>
  <si>
    <t>46214　垂水市</t>
  </si>
  <si>
    <t>46215　薩摩川内市</t>
  </si>
  <si>
    <t>46216　日置市</t>
  </si>
  <si>
    <t>46217　曽於市</t>
  </si>
  <si>
    <t>46218　霧島市</t>
  </si>
  <si>
    <t>46219　いちき串木野市</t>
  </si>
  <si>
    <t>46220　南さつま市</t>
  </si>
  <si>
    <t>46221　志布志市</t>
  </si>
  <si>
    <t>46222　奄美市</t>
  </si>
  <si>
    <t>46223　南九州市</t>
  </si>
  <si>
    <t>46224　伊佐市</t>
  </si>
  <si>
    <t>46225　姶良市</t>
  </si>
  <si>
    <t>46303　鹿児島郡三島村</t>
  </si>
  <si>
    <t>46304　鹿児島郡十島村</t>
  </si>
  <si>
    <t>46392　薩摩郡さつま町</t>
  </si>
  <si>
    <t>46404　出水郡長島町</t>
  </si>
  <si>
    <t>46452　姶良郡湧水町</t>
  </si>
  <si>
    <t>46468　曽於郡大崎町</t>
  </si>
  <si>
    <t>46482　肝属郡東串良町</t>
  </si>
  <si>
    <t>46490　肝属郡錦江町</t>
  </si>
  <si>
    <t>46491　肝属郡南大隅町</t>
  </si>
  <si>
    <t>46492　肝属郡肝付町</t>
  </si>
  <si>
    <t>46501　熊毛郡中種子町</t>
  </si>
  <si>
    <t>46502　熊毛郡南種子町</t>
  </si>
  <si>
    <t>46505　熊毛郡屋久島町</t>
  </si>
  <si>
    <t>46523　大島郡大和村</t>
  </si>
  <si>
    <t>46524　大島郡宇検村</t>
  </si>
  <si>
    <t>46525　大島郡瀬戸内町</t>
  </si>
  <si>
    <t>46527　大島郡龍郷町</t>
  </si>
  <si>
    <t>46529　大島郡喜界町</t>
  </si>
  <si>
    <t>46530　大島郡徳之島町</t>
  </si>
  <si>
    <t>46531　大島郡天城町</t>
  </si>
  <si>
    <t>46532　大島郡伊仙町</t>
  </si>
  <si>
    <t>46533　大島郡和泊町</t>
  </si>
  <si>
    <t>46534　大島郡知名町</t>
  </si>
  <si>
    <t>46535　大島郡与論町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</si>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</sst>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6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0270949074" createdVersion="5" refreshedVersion="8" minRefreshableVersion="3" recordCount="660" xr:uid="{6E7C8619-F766-48FC-8EDC-7F5C5E6C576C}">
  <cacheSource type="external" connectionId="1"/>
  <cacheFields count="11">
    <cacheField name="都道府県" numFmtId="0" sqlType="-9">
      <sharedItems count="1">
        <s v="46 鹿児島県"/>
      </sharedItems>
    </cacheField>
    <cacheField name="自治体名" numFmtId="0" sqlType="-9">
      <sharedItems/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1433"/>
    </cacheField>
    <cacheField name="構成比" numFmtId="0" sqlType="3">
      <sharedItems containsSemiMixedTypes="0" containsString="0" containsNumber="1" minValue="0" maxValue="56.25"/>
    </cacheField>
    <cacheField name="総数（個人）" numFmtId="0" sqlType="4">
      <sharedItems containsSemiMixedTypes="0" containsString="0" containsNumber="1" containsInteger="1" minValue="0" maxValue="5722"/>
    </cacheField>
    <cacheField name="構成比（個人）" numFmtId="0" sqlType="3">
      <sharedItems containsSemiMixedTypes="0" containsString="0" containsNumber="1" minValue="0" maxValue="84.38"/>
    </cacheField>
    <cacheField name="総数（法人）" numFmtId="0" sqlType="4">
      <sharedItems containsSemiMixedTypes="0" containsString="0" containsNumber="1" containsInteger="1" minValue="0" maxValue="5636"/>
    </cacheField>
    <cacheField name="構成比（法人）" numFmtId="0" sqlType="3">
      <sharedItems containsSemiMixedTypes="0" containsString="0" containsNumber="1" minValue="0" maxValue="66.67"/>
    </cacheField>
    <cacheField name="総数（法人以外の団体）" numFmtId="0" sqlType="4">
      <sharedItems containsSemiMixedTypes="0" containsString="0" containsNumber="1" containsInteger="1" minValue="0" maxValue="73" count="15">
        <n v="0"/>
        <n v="14"/>
        <n v="1"/>
        <n v="5"/>
        <n v="73"/>
        <n v="2"/>
        <n v="3"/>
        <n v="18"/>
        <n v="26"/>
        <n v="35"/>
        <n v="32"/>
        <n v="6"/>
        <n v="15"/>
        <n v="9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0396412034" createdVersion="5" refreshedVersion="8" minRefreshableVersion="3" recordCount="911" xr:uid="{6E9C456A-DC7F-480E-8464-B934F60AE5B2}">
  <cacheSource type="external" connectionId="2"/>
  <cacheFields count="14">
    <cacheField name="都道府県" numFmtId="0" sqlType="-9">
      <sharedItems count="1">
        <s v="46 鹿児島県"/>
      </sharedItems>
    </cacheField>
    <cacheField name="自治体名" numFmtId="0" sqlType="-9">
      <sharedItems count="44">
        <s v="鹿児島県"/>
        <s v="鹿児島市"/>
        <s v="鹿屋市"/>
        <s v="枕崎市"/>
        <s v="阿久根市"/>
        <s v="出水市"/>
        <s v="指宿市"/>
        <s v="西之表市"/>
        <s v="垂水市"/>
        <s v="薩摩川内市"/>
        <s v="日置市"/>
        <s v="曽於市"/>
        <s v="霧島市"/>
        <s v="いちき串木野市"/>
        <s v="南さつま市"/>
        <s v="志布志市"/>
        <s v="奄美市"/>
        <s v="南九州市"/>
        <s v="伊佐市"/>
        <s v="姶良市"/>
        <s v="鹿児島郡三島村"/>
        <s v="鹿児島郡十島村"/>
        <s v="薩摩郡さつま町"/>
        <s v="出水郡長島町"/>
        <s v="姶良郡湧水町"/>
        <s v="曽於郡大崎町"/>
        <s v="肝属郡東串良町"/>
        <s v="肝属郡錦江町"/>
        <s v="肝属郡南大隅町"/>
        <s v="肝属郡肝付町"/>
        <s v="熊毛郡中種子町"/>
        <s v="熊毛郡南種子町"/>
        <s v="熊毛郡屋久島町"/>
        <s v="大島郡大和村"/>
        <s v="大島郡宇検村"/>
        <s v="大島郡瀬戸内町"/>
        <s v="大島郡龍郷町"/>
        <s v="大島郡喜界町"/>
        <s v="大島郡徳之島町"/>
        <s v="大島郡天城町"/>
        <s v="大島郡伊仙町"/>
        <s v="大島郡和泊町"/>
        <s v="大島郡知名町"/>
        <s v="大島郡与論町"/>
      </sharedItems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産業分類コード" numFmtId="0" sqlType="-8">
      <sharedItems count="55">
        <s v="76"/>
        <s v="78"/>
        <s v="60"/>
        <s v="58"/>
        <s v="06"/>
        <s v="69"/>
        <s v="59"/>
        <s v="83"/>
        <s v="82"/>
        <s v="07"/>
        <s v="08"/>
        <s v="72"/>
        <s v="74"/>
        <s v="57"/>
        <s v="89"/>
        <s v="85"/>
        <s v="09"/>
        <s v="68"/>
        <s v="75"/>
        <s v="52"/>
        <s v="54"/>
        <s v="55"/>
        <s v="53"/>
        <s v="79"/>
        <s v="10"/>
        <s v="33"/>
        <s v="77"/>
        <s v="80"/>
        <s v="92"/>
        <s v="24"/>
        <s v="67"/>
        <s v="21"/>
        <s v="90"/>
        <s v="47"/>
        <s v="11"/>
        <s v="13"/>
        <s v="32"/>
        <s v="12"/>
        <s v="61"/>
        <s v="95"/>
        <s v="48"/>
        <s v="16"/>
        <s v="45"/>
        <s v="31"/>
        <s v="88"/>
        <s v="71"/>
        <s v="70"/>
        <s v="39"/>
        <s v="05"/>
        <s v="29"/>
        <s v="36"/>
        <s v="38"/>
        <s v="44"/>
        <s v="37"/>
        <s v="91"/>
      </sharedItems>
    </cacheField>
    <cacheField name="産業分類" numFmtId="0" sqlType="-9">
      <sharedItems count="55">
        <s v="飲食店"/>
        <s v="洗濯・理容・美容・浴場業"/>
        <s v="その他の小売業"/>
        <s v="飲食料品小売業"/>
        <s v="総合工事業"/>
        <s v="不動産賃貸業・管理業"/>
        <s v="機械器具小売業"/>
        <s v="医療業"/>
        <s v="その他の教育，学習支援業"/>
        <s v="職別工事業（設備工事業を除く）"/>
        <s v="設備工事業"/>
        <s v="専門サービス業（他に分類されないもの）"/>
        <s v="技術サービス業（他に分類されないもの）"/>
        <s v="織物・衣服・身の回り品小売業"/>
        <s v="自動車整備業"/>
        <s v="社会保険・社会福祉・介護事業"/>
        <s v="食料品製造業"/>
        <s v="不動産取引業"/>
        <s v="宿泊業"/>
        <s v="飲食料品卸売業"/>
        <s v="機械器具卸売業"/>
        <s v="その他の卸売業"/>
        <s v="建築材料，鉱物・金属材料等卸売業"/>
        <s v="その他の生活関連サービス業"/>
        <s v="飲料・たばこ・飼料製造業"/>
        <s v="電気業"/>
        <s v="持ち帰り・配達飲食サービス業"/>
        <s v="娯楽業"/>
        <s v="その他の事業サービス業"/>
        <s v="金属製品製造業"/>
        <s v="保険業（保険媒介代理業，保険サービス業を含む）"/>
        <s v="窯業・土石製品製造業"/>
        <s v="機械等修理業（別掲を除く）"/>
        <s v="倉庫業"/>
        <s v="繊維工業"/>
        <s v="家具・装備品製造業"/>
        <s v="その他の製造業"/>
        <s v="木材・木製品製造業（家具を除く）"/>
        <s v="無店舗小売業"/>
        <s v="その他のサービス業"/>
        <s v="運輸に附帯するサービス業"/>
        <s v="化学工業"/>
        <s v="水運業"/>
        <s v="輸送用機械器具製造業"/>
        <s v="廃棄物処理業"/>
        <s v="学術・開発研究機関"/>
        <s v="物品賃貸業"/>
        <s v="情報サービス業"/>
        <s v="鉱業，採石業，砂利採取業"/>
        <s v="電気機械器具製造業"/>
        <s v="水道業"/>
        <s v="放送業"/>
        <s v="道路貨物運送業"/>
        <s v="通信業"/>
        <s v="職業紹介・労働者派遣業"/>
      </sharedItems>
    </cacheField>
    <cacheField name="産業中分類" numFmtId="0" sqlType="-9">
      <sharedItems count="55">
        <s v="76 飲食店"/>
        <s v="78 洗濯・理容・美容・浴場業"/>
        <s v="60 その他の小売業"/>
        <s v="58 飲食料品小売業"/>
        <s v="06 総合工事業"/>
        <s v="69 不動産賃貸業・管理業"/>
        <s v="59 機械器具小売業"/>
        <s v="83 医療業"/>
        <s v="82 その他の教育，学習支援業"/>
        <s v="07 職別工事業（設備工事業を除く）"/>
        <s v="08 設備工事業"/>
        <s v="72 専門サービス業（他に分類されないもの）"/>
        <s v="74 技術サービス業（他に分類されないもの）"/>
        <s v="57 織物・衣服・身の回り品小売業"/>
        <s v="89 自動車整備業"/>
        <s v="85 社会保険・社会福祉・介護事業"/>
        <s v="09 食料品製造業"/>
        <s v="68 不動産取引業"/>
        <s v="75 宿泊業"/>
        <s v="52 飲食料品卸売業"/>
        <s v="54 機械器具卸売業"/>
        <s v="55 その他の卸売業"/>
        <s v="53 建築材料，鉱物・金属材料等卸売業"/>
        <s v="79 その他の生活関連サービス業"/>
        <s v="10 飲料・たばこ・飼料製造業"/>
        <s v="33 電気業"/>
        <s v="77 持ち帰り・配達飲食サービス業"/>
        <s v="80 娯楽業"/>
        <s v="92 その他の事業サービス業"/>
        <s v="24 金属製品製造業"/>
        <s v="67 保険業（保険媒介代理業，保険サービス業を含む）"/>
        <s v="21 窯業・土石製品製造業"/>
        <s v="90 機械等修理業（別掲を除く）"/>
        <s v="47 倉庫業"/>
        <s v="11 繊維工業"/>
        <s v="13 家具・装備品製造業"/>
        <s v="32 その他の製造業"/>
        <s v="12 木材・木製品製造業（家具を除く）"/>
        <s v="61 無店舗小売業"/>
        <s v="95 その他のサービス業"/>
        <s v="48 運輸に附帯するサービス業"/>
        <s v="16 化学工業"/>
        <s v="45 水運業"/>
        <s v="31 輸送用機械器具製造業"/>
        <s v="88 廃棄物処理業"/>
        <s v="71 学術・開発研究機関"/>
        <s v="70 物品賃貸業"/>
        <s v="39 情報サービス業"/>
        <s v="05 鉱業，採石業，砂利採取業"/>
        <s v="29 電気機械器具製造業"/>
        <s v="36 水道業"/>
        <s v="38 放送業"/>
        <s v="44 道路貨物運送業"/>
        <s v="37 通信業"/>
        <s v="91 職業紹介・労働者派遣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648" count="161">
        <n v="4648"/>
        <n v="4522"/>
        <n v="3424"/>
        <n v="2869"/>
        <n v="2283"/>
        <n v="1666"/>
        <n v="1574"/>
        <n v="1444"/>
        <n v="1432"/>
        <n v="1431"/>
        <n v="1226"/>
        <n v="1063"/>
        <n v="999"/>
        <n v="951"/>
        <n v="847"/>
        <n v="723"/>
        <n v="670"/>
        <n v="642"/>
        <n v="636"/>
        <n v="596"/>
        <n v="1591"/>
        <n v="1459"/>
        <n v="1059"/>
        <n v="994"/>
        <n v="714"/>
        <n v="635"/>
        <n v="598"/>
        <n v="583"/>
        <n v="571"/>
        <n v="494"/>
        <n v="473"/>
        <n v="461"/>
        <n v="376"/>
        <n v="375"/>
        <n v="350"/>
        <n v="309"/>
        <n v="279"/>
        <n v="261"/>
        <n v="250"/>
        <n v="245"/>
        <n v="307"/>
        <n v="280"/>
        <n v="210"/>
        <n v="143"/>
        <n v="122"/>
        <n v="120"/>
        <n v="81"/>
        <n v="77"/>
        <n v="76"/>
        <n v="65"/>
        <n v="56"/>
        <n v="52"/>
        <n v="50"/>
        <n v="46"/>
        <n v="44"/>
        <n v="42"/>
        <n v="34"/>
        <n v="70"/>
        <n v="66"/>
        <n v="36"/>
        <n v="35"/>
        <n v="25"/>
        <n v="21"/>
        <n v="18"/>
        <n v="17"/>
        <n v="16"/>
        <n v="12"/>
        <n v="11"/>
        <n v="9"/>
        <n v="58"/>
        <n v="48"/>
        <n v="31"/>
        <n v="23"/>
        <n v="19"/>
        <n v="15"/>
        <n v="13"/>
        <n v="10"/>
        <n v="8"/>
        <n v="7"/>
        <n v="171"/>
        <n v="165"/>
        <n v="112"/>
        <n v="84"/>
        <n v="67"/>
        <n v="37"/>
        <n v="29"/>
        <n v="27"/>
        <n v="24"/>
        <n v="22"/>
        <n v="20"/>
        <n v="141"/>
        <n v="132"/>
        <n v="113"/>
        <n v="63"/>
        <n v="55"/>
        <n v="40"/>
        <n v="28"/>
        <n v="26"/>
        <n v="14"/>
        <n v="61"/>
        <n v="51"/>
        <n v="53"/>
        <n v="33"/>
        <n v="6"/>
        <n v="252"/>
        <n v="241"/>
        <n v="190"/>
        <n v="151"/>
        <n v="85"/>
        <n v="75"/>
        <n v="69"/>
        <n v="127"/>
        <n v="100"/>
        <n v="90"/>
        <n v="87"/>
        <n v="78"/>
        <n v="43"/>
        <n v="39"/>
        <n v="99"/>
        <n v="88"/>
        <n v="72"/>
        <n v="49"/>
        <n v="32"/>
        <n v="30"/>
        <n v="328"/>
        <n v="257"/>
        <n v="204"/>
        <n v="155"/>
        <n v="106"/>
        <n v="94"/>
        <n v="89"/>
        <n v="74"/>
        <n v="54"/>
        <n v="41"/>
        <n v="47"/>
        <n v="57"/>
        <n v="95"/>
        <n v="82"/>
        <n v="73"/>
        <n v="64"/>
        <n v="159"/>
        <n v="128"/>
        <n v="71"/>
        <n v="45"/>
        <n v="114"/>
        <n v="102"/>
        <n v="97"/>
        <n v="59"/>
        <n v="207"/>
        <n v="124"/>
        <n v="83"/>
        <n v="4"/>
        <n v="2"/>
        <n v="1"/>
        <n v="5"/>
        <n v="3"/>
        <n v="115"/>
        <n v="62"/>
        <n v="68"/>
        <n v="60"/>
        <n v="38"/>
      </sharedItems>
    </cacheField>
    <cacheField name="構成比" numFmtId="0" sqlType="3">
      <sharedItems containsSemiMixedTypes="0" containsString="0" containsNumber="1" minValue="0.6" maxValue="56.25" count="435">
        <n v="11.1"/>
        <n v="10.8"/>
        <n v="8.18"/>
        <n v="6.85"/>
        <n v="5.45"/>
        <n v="3.98"/>
        <n v="3.76"/>
        <n v="3.45"/>
        <n v="3.42"/>
        <n v="2.93"/>
        <n v="2.54"/>
        <n v="2.39"/>
        <n v="2.27"/>
        <n v="2.02"/>
        <n v="1.73"/>
        <n v="1.6"/>
        <n v="1.53"/>
        <n v="1.52"/>
        <n v="1.42"/>
        <n v="10.85"/>
        <n v="9.9499999999999993"/>
        <n v="7.22"/>
        <n v="6.78"/>
        <n v="4.87"/>
        <n v="4.33"/>
        <n v="4.08"/>
        <n v="3.89"/>
        <n v="3.37"/>
        <n v="3.23"/>
        <n v="3.14"/>
        <n v="2.56"/>
        <n v="2.11"/>
        <n v="1.9"/>
        <n v="1.78"/>
        <n v="1.71"/>
        <n v="1.67"/>
        <n v="12.75"/>
        <n v="11.63"/>
        <n v="8.7200000000000006"/>
        <n v="5.94"/>
        <n v="5.07"/>
        <n v="4.9800000000000004"/>
        <n v="3.36"/>
        <n v="3.2"/>
        <n v="3.16"/>
        <n v="2.7"/>
        <n v="2.33"/>
        <n v="2.16"/>
        <n v="2.08"/>
        <n v="1.91"/>
        <n v="1.83"/>
        <n v="1.74"/>
        <n v="1.41"/>
        <n v="11.58"/>
        <n v="10.53"/>
        <n v="9.92"/>
        <n v="7.82"/>
        <n v="5.41"/>
        <n v="5.26"/>
        <n v="5.1100000000000003"/>
        <n v="2.71"/>
        <n v="2.41"/>
        <n v="1.8"/>
        <n v="1.65"/>
        <n v="1.35"/>
        <n v="11.85"/>
        <n v="10.41"/>
        <n v="10.050000000000001"/>
        <n v="8.6199999999999992"/>
        <n v="5.57"/>
        <n v="4.49"/>
        <n v="4.13"/>
        <n v="3.77"/>
        <n v="3.41"/>
        <n v="2.69"/>
        <n v="1.97"/>
        <n v="1.62"/>
        <n v="1.44"/>
        <n v="1.26"/>
        <n v="12.3"/>
        <n v="8.35"/>
        <n v="6.26"/>
        <n v="5"/>
        <n v="3.58"/>
        <n v="3.28"/>
        <n v="2.76"/>
        <n v="2.68"/>
        <n v="2.31"/>
        <n v="2.0099999999999998"/>
        <n v="1.79"/>
        <n v="1.64"/>
        <n v="1.49"/>
        <n v="1.34"/>
        <n v="11.34"/>
        <n v="10.62"/>
        <n v="9.65"/>
        <n v="9.09"/>
        <n v="4.42"/>
        <n v="4.18"/>
        <n v="3.38"/>
        <n v="3.22"/>
        <n v="2.9"/>
        <n v="2.25"/>
        <n v="2.09"/>
        <n v="1.93"/>
        <n v="1.45"/>
        <n v="1.1299999999999999"/>
        <n v="13.41"/>
        <n v="11.69"/>
        <n v="9.77"/>
        <n v="9.1999999999999993"/>
        <n v="4.5999999999999996"/>
        <n v="3.83"/>
        <n v="3.64"/>
        <n v="2.87"/>
        <n v="2.2999999999999998"/>
        <n v="1.72"/>
        <n v="13.84"/>
        <n v="10.97"/>
        <n v="8.8800000000000008"/>
        <n v="7.05"/>
        <n v="4.4400000000000004"/>
        <n v="3.92"/>
        <n v="3.39"/>
        <n v="3.13"/>
        <n v="2.35"/>
        <n v="1.57"/>
        <n v="11.9"/>
        <n v="11.38"/>
        <n v="8.9700000000000006"/>
        <n v="7.13"/>
        <n v="6.66"/>
        <n v="4.0199999999999996"/>
        <n v="3.54"/>
        <n v="3.26"/>
        <n v="2.98"/>
        <n v="2.88"/>
        <n v="2.46"/>
        <n v="1.98"/>
        <n v="1.89"/>
        <n v="1.61"/>
        <n v="1.46"/>
        <n v="1.37"/>
        <n v="1.28"/>
        <n v="11.39"/>
        <n v="8.07"/>
        <n v="7.8"/>
        <n v="7"/>
        <n v="6.01"/>
        <n v="4.75"/>
        <n v="3.86"/>
        <n v="3.5"/>
        <n v="3.32"/>
        <n v="2.6"/>
        <n v="2.15"/>
        <n v="1.88"/>
        <n v="1.7"/>
        <n v="1.43"/>
        <n v="12.36"/>
        <n v="10.99"/>
        <n v="8.99"/>
        <n v="7.24"/>
        <n v="6.87"/>
        <n v="6.12"/>
        <n v="4.37"/>
        <n v="4"/>
        <n v="3.75"/>
        <n v="3"/>
        <n v="2.12"/>
        <n v="1.87"/>
        <n v="1.25"/>
        <n v="1.1200000000000001"/>
        <n v="13.07"/>
        <n v="10.24"/>
        <n v="8.1300000000000008"/>
        <n v="6.58"/>
        <n v="6.18"/>
        <n v="4.22"/>
        <n v="3.59"/>
        <n v="3.55"/>
        <n v="3.51"/>
        <n v="3.03"/>
        <n v="2.95"/>
        <n v="2.0699999999999998"/>
        <n v="1.95"/>
        <n v="1.75"/>
        <n v="1.63"/>
        <n v="1.59"/>
        <n v="11.72"/>
        <n v="8.98"/>
        <n v="8.1999999999999993"/>
        <n v="7.29"/>
        <n v="4.5599999999999996"/>
        <n v="4.04"/>
        <n v="3.78"/>
        <n v="3.65"/>
        <n v="1.82"/>
        <n v="1.69"/>
        <n v="1.56"/>
        <n v="10.59"/>
        <n v="9.39"/>
        <n v="9.27"/>
        <n v="8.9"/>
        <n v="6.86"/>
        <n v="6.38"/>
        <n v="4.09"/>
        <n v="3.49"/>
        <n v="2.5299999999999998"/>
        <n v="2.29"/>
        <n v="2.17"/>
        <n v="1.32"/>
        <n v="1.2"/>
        <n v="12.07"/>
        <n v="10.42"/>
        <n v="9.2799999999999994"/>
        <n v="5.46"/>
        <n v="4.32"/>
        <n v="3.81"/>
        <n v="3.3"/>
        <n v="2.8"/>
        <n v="2.0299999999999998"/>
        <n v="1.4"/>
        <n v="16.309999999999999"/>
        <n v="9.94"/>
        <n v="8.94"/>
        <n v="8"/>
        <n v="3.94"/>
        <n v="3.19"/>
        <n v="2.81"/>
        <n v="2.63"/>
        <n v="2.19"/>
        <n v="2.13"/>
        <n v="2"/>
        <n v="1.5"/>
        <n v="1.38"/>
        <n v="10.84"/>
        <n v="9.6999999999999993"/>
        <n v="9.2200000000000006"/>
        <n v="6.65"/>
        <n v="6.37"/>
        <n v="5.99"/>
        <n v="5.23"/>
        <n v="4.28"/>
        <n v="3.52"/>
        <n v="3.04"/>
        <n v="1.81"/>
        <n v="1.24"/>
        <n v="14.04"/>
        <n v="11.3"/>
        <n v="10.45"/>
        <n v="10.1"/>
        <n v="6.34"/>
        <n v="4.1100000000000003"/>
        <n v="3.08"/>
        <n v="2.57"/>
        <n v="2.4"/>
        <n v="2.23"/>
        <n v="2.0499999999999998"/>
        <n v="1.54"/>
        <n v="13.19"/>
        <n v="9.11"/>
        <n v="7.9"/>
        <n v="6.05"/>
        <n v="5.29"/>
        <n v="4.97"/>
        <n v="4.6500000000000004"/>
        <n v="4.21"/>
        <n v="3.31"/>
        <n v="1.47"/>
        <n v="37.93"/>
        <n v="24.14"/>
        <n v="13.79"/>
        <n v="6.9"/>
        <n v="56.25"/>
        <n v="22.92"/>
        <n v="6.25"/>
        <n v="12.54"/>
        <n v="9.85"/>
        <n v="7.46"/>
        <n v="5.37"/>
        <n v="4.63"/>
        <n v="3.88"/>
        <n v="2.99"/>
        <n v="2.2400000000000002"/>
        <n v="1.94"/>
        <n v="12.5"/>
        <n v="10.98"/>
        <n v="8.33"/>
        <n v="6.44"/>
        <n v="4.92"/>
        <n v="2.65"/>
        <n v="1.1399999999999999"/>
        <n v="10.14"/>
        <n v="8.39"/>
        <n v="8.0399999999999991"/>
        <n v="7.34"/>
        <n v="5.59"/>
        <n v="4.9000000000000004"/>
        <n v="4.2"/>
        <n v="2.4500000000000002"/>
        <n v="2.1"/>
        <n v="11.14"/>
        <n v="5.72"/>
        <n v="5.42"/>
        <n v="3.61"/>
        <n v="3.01"/>
        <n v="1.51"/>
        <n v="11.33"/>
        <n v="7.39"/>
        <n v="4.93"/>
        <n v="4.43"/>
        <n v="2.96"/>
        <n v="1.48"/>
        <n v="12.97"/>
        <n v="12.43"/>
        <n v="11.89"/>
        <n v="7.03"/>
        <n v="4.8600000000000003"/>
        <n v="3.24"/>
        <n v="1.08"/>
        <n v="14.07"/>
        <n v="10.55"/>
        <n v="8.5399999999999991"/>
        <n v="7.04"/>
        <n v="3.02"/>
        <n v="2.5099999999999998"/>
        <n v="14.76"/>
        <n v="9.16"/>
        <n v="8.14"/>
        <n v="7.89"/>
        <n v="7.63"/>
        <n v="4.83"/>
        <n v="3.82"/>
        <n v="2.04"/>
        <n v="1.27"/>
        <n v="14.29"/>
        <n v="9.52"/>
        <n v="9.1300000000000008"/>
        <n v="3.97"/>
        <n v="3.17"/>
        <n v="2.78"/>
        <n v="2.38"/>
        <n v="1.19"/>
        <n v="13.78"/>
        <n v="11.56"/>
        <n v="9.7799999999999994"/>
        <n v="9.33"/>
        <n v="8.44"/>
        <n v="7.56"/>
        <n v="4.8899999999999997"/>
        <n v="3.11"/>
        <n v="2.67"/>
        <n v="2.2200000000000002"/>
        <n v="1.33"/>
        <n v="17.27"/>
        <n v="14.86"/>
        <n v="9.31"/>
        <n v="7.51"/>
        <n v="5.86"/>
        <n v="4.8"/>
        <n v="2.5499999999999998"/>
        <n v="18.329999999999998"/>
        <n v="13.33"/>
        <n v="10"/>
        <n v="3.33"/>
        <n v="19.670000000000002"/>
        <n v="11.48"/>
        <n v="9.84"/>
        <n v="18.28"/>
        <n v="16.940000000000001"/>
        <n v="9.14"/>
        <n v="5.91"/>
        <n v="4.03"/>
        <n v="2.42"/>
        <n v="9.66"/>
        <n v="8.4"/>
        <n v="7.14"/>
        <n v="5.88"/>
        <n v="5.04"/>
        <n v="2.94"/>
        <n v="1.68"/>
        <n v="17.760000000000002"/>
        <n v="8.11"/>
        <n v="6.56"/>
        <n v="3.47"/>
        <n v="3.09"/>
        <n v="2.3199999999999998"/>
        <n v="1.1599999999999999"/>
        <n v="19.440000000000001"/>
        <n v="9.2899999999999991"/>
        <n v="8.86"/>
        <n v="8.42"/>
        <n v="6.7"/>
        <n v="2.59"/>
        <n v="1.3"/>
        <n v="12.23"/>
        <n v="11.17"/>
        <n v="10.11"/>
        <n v="3.72"/>
        <n v="2.66"/>
        <n v="1.06"/>
        <n v="16.27"/>
        <n v="14.46"/>
        <n v="11.45"/>
        <n v="7.83"/>
        <n v="0.6"/>
        <n v="21.2"/>
        <n v="11.31"/>
        <n v="7.77"/>
        <n v="5.3"/>
        <n v="4.24"/>
        <n v="3.53"/>
        <n v="3.18"/>
        <n v="2.83"/>
        <n v="2.4700000000000002"/>
        <n v="1.77"/>
        <n v="14.02"/>
        <n v="11.81"/>
        <n v="10.33"/>
        <n v="7.75"/>
        <n v="7.01"/>
        <n v="5.54"/>
        <n v="4.0599999999999996"/>
        <n v="2.58"/>
        <n v="2.21"/>
        <n v="1.85"/>
        <n v="1.1100000000000001"/>
        <n v="14.51"/>
        <n v="10.199999999999999"/>
        <n v="9.02"/>
        <n v="7.84"/>
        <n v="7.45"/>
        <n v="4.3099999999999996"/>
        <n v="2.75"/>
        <n v="1.96"/>
      </sharedItems>
    </cacheField>
    <cacheField name="総数（個人）" numFmtId="0" sqlType="4">
      <sharedItems containsSemiMixedTypes="0" containsString="0" containsNumber="1" containsInteger="1" minValue="0" maxValue="4096" count="133">
        <n v="4096"/>
        <n v="4046"/>
        <n v="1672"/>
        <n v="2096"/>
        <n v="395"/>
        <n v="626"/>
        <n v="983"/>
        <n v="1271"/>
        <n v="949"/>
        <n v="611"/>
        <n v="335"/>
        <n v="768"/>
        <n v="407"/>
        <n v="463"/>
        <n v="691"/>
        <n v="14"/>
        <n v="292"/>
        <n v="220"/>
        <n v="434"/>
        <n v="152"/>
        <n v="1297"/>
        <n v="1230"/>
        <n v="377"/>
        <n v="411"/>
        <n v="80"/>
        <n v="380"/>
        <n v="516"/>
        <n v="382"/>
        <n v="145"/>
        <n v="361"/>
        <n v="67"/>
        <n v="231"/>
        <n v="128"/>
        <n v="134"/>
        <n v="95"/>
        <n v="24"/>
        <n v="47"/>
        <n v="4"/>
        <n v="49"/>
        <n v="22"/>
        <n v="284"/>
        <n v="254"/>
        <n v="121"/>
        <n v="92"/>
        <n v="17"/>
        <n v="86"/>
        <n v="71"/>
        <n v="41"/>
        <n v="31"/>
        <n v="64"/>
        <n v="16"/>
        <n v="32"/>
        <n v="13"/>
        <n v="37"/>
        <n v="20"/>
        <n v="11"/>
        <n v="15"/>
        <n v="0"/>
        <n v="75"/>
        <n v="63"/>
        <n v="38"/>
        <n v="46"/>
        <n v="7"/>
        <n v="25"/>
        <n v="10"/>
        <n v="6"/>
        <n v="5"/>
        <n v="9"/>
        <n v="60"/>
        <n v="53"/>
        <n v="44"/>
        <n v="3"/>
        <n v="12"/>
        <n v="19"/>
        <n v="159"/>
        <n v="153"/>
        <n v="66"/>
        <n v="29"/>
        <n v="21"/>
        <n v="30"/>
        <n v="8"/>
        <n v="129"/>
        <n v="83"/>
        <n v="39"/>
        <n v="27"/>
        <n v="65"/>
        <n v="33"/>
        <n v="28"/>
        <n v="1"/>
        <n v="2"/>
        <n v="228"/>
        <n v="217"/>
        <n v="87"/>
        <n v="107"/>
        <n v="54"/>
        <n v="18"/>
        <n v="50"/>
        <n v="45"/>
        <n v="23"/>
        <n v="110"/>
        <n v="89"/>
        <n v="36"/>
        <n v="96"/>
        <n v="48"/>
        <n v="283"/>
        <n v="219"/>
        <n v="93"/>
        <n v="97"/>
        <n v="82"/>
        <n v="57"/>
        <n v="35"/>
        <n v="58"/>
        <n v="42"/>
        <n v="79"/>
        <n v="34"/>
        <n v="26"/>
        <n v="91"/>
        <n v="43"/>
        <n v="239"/>
        <n v="146"/>
        <n v="111"/>
        <n v="59"/>
        <n v="100"/>
        <n v="76"/>
        <n v="62"/>
        <n v="40"/>
        <n v="78"/>
        <n v="177"/>
        <n v="56"/>
        <n v="52"/>
        <n v="77"/>
        <n v="102"/>
        <n v="84"/>
      </sharedItems>
    </cacheField>
    <cacheField name="構成比（個人）" numFmtId="0" sqlType="3">
      <sharedItems containsSemiMixedTypes="0" containsString="0" containsNumber="1" minValue="0" maxValue="84.38" count="458">
        <n v="17.78"/>
        <n v="17.57"/>
        <n v="7.26"/>
        <n v="9.1"/>
        <n v="1.71"/>
        <n v="2.72"/>
        <n v="4.2699999999999996"/>
        <n v="5.52"/>
        <n v="4.12"/>
        <n v="2.65"/>
        <n v="1.45"/>
        <n v="3.33"/>
        <n v="1.77"/>
        <n v="2.0099999999999998"/>
        <n v="3"/>
        <n v="0.06"/>
        <n v="1.27"/>
        <n v="0.96"/>
        <n v="1.88"/>
        <n v="0.66"/>
        <n v="19.190000000000001"/>
        <n v="18.2"/>
        <n v="5.58"/>
        <n v="6.08"/>
        <n v="1.18"/>
        <n v="5.62"/>
        <n v="7.63"/>
        <n v="5.65"/>
        <n v="2.14"/>
        <n v="5.34"/>
        <n v="0.99"/>
        <n v="3.42"/>
        <n v="1.89"/>
        <n v="1.98"/>
        <n v="1.41"/>
        <n v="0.36"/>
        <n v="0.7"/>
        <n v="0.72"/>
        <n v="0.33"/>
        <n v="20.23"/>
        <n v="18.09"/>
        <n v="8.6199999999999992"/>
        <n v="6.55"/>
        <n v="1.21"/>
        <n v="6.13"/>
        <n v="5.0599999999999996"/>
        <n v="2.92"/>
        <n v="2.21"/>
        <n v="3.49"/>
        <n v="4.5599999999999996"/>
        <n v="1.1399999999999999"/>
        <n v="2.2799999999999998"/>
        <n v="0.93"/>
        <n v="2.64"/>
        <n v="1.42"/>
        <n v="0.78"/>
        <n v="1.07"/>
        <n v="0"/>
        <n v="17.52"/>
        <n v="14.72"/>
        <n v="8.8800000000000008"/>
        <n v="10.75"/>
        <n v="1.64"/>
        <n v="5.84"/>
        <n v="3.04"/>
        <n v="5.14"/>
        <n v="2.34"/>
        <n v="3.74"/>
        <n v="1.4"/>
        <n v="1.17"/>
        <n v="2.1"/>
        <n v="16.57"/>
        <n v="14.64"/>
        <n v="8.84"/>
        <n v="12.15"/>
        <n v="6.63"/>
        <n v="0.83"/>
        <n v="3.31"/>
        <n v="5.25"/>
        <n v="3.87"/>
        <n v="1.66"/>
        <n v="2.4900000000000002"/>
        <n v="1.93"/>
        <n v="1.1000000000000001"/>
        <n v="19.920000000000002"/>
        <n v="19.170000000000002"/>
        <n v="5.51"/>
        <n v="8.4"/>
        <n v="2.13"/>
        <n v="8.27"/>
        <n v="3.63"/>
        <n v="4.76"/>
        <n v="2.63"/>
        <n v="3.76"/>
        <n v="1.25"/>
        <n v="3.88"/>
        <n v="1.5"/>
        <n v="0.63"/>
        <n v="1.75"/>
        <n v="1"/>
        <n v="1.38"/>
        <n v="0.5"/>
        <n v="16.02"/>
        <n v="15.03"/>
        <n v="7.83"/>
        <n v="10.31"/>
        <n v="2.61"/>
        <n v="4.84"/>
        <n v="4.72"/>
        <n v="4.5999999999999996"/>
        <n v="1.74"/>
        <n v="1.24"/>
        <n v="2.36"/>
        <n v="3.35"/>
        <n v="1.37"/>
        <n v="2.11"/>
        <n v="1.1200000000000001"/>
        <n v="0.62"/>
        <n v="19.579999999999998"/>
        <n v="18.07"/>
        <n v="9.0399999999999991"/>
        <n v="9.94"/>
        <n v="1.2"/>
        <n v="4.82"/>
        <n v="0.9"/>
        <n v="3.61"/>
        <n v="1.81"/>
        <n v="1.51"/>
        <n v="2.71"/>
        <n v="2.41"/>
        <n v="20.81"/>
        <n v="16.739999999999998"/>
        <n v="12.67"/>
        <n v="6.79"/>
        <n v="3.17"/>
        <n v="5.43"/>
        <n v="1.36"/>
        <n v="4.07"/>
        <n v="2.2599999999999998"/>
        <n v="0.45"/>
        <n v="20.07"/>
        <n v="19.100000000000001"/>
        <n v="7.66"/>
        <n v="9.42"/>
        <n v="2.38"/>
        <n v="4.75"/>
        <n v="1.58"/>
        <n v="4.4000000000000004"/>
        <n v="3.96"/>
        <n v="2.02"/>
        <n v="1.67"/>
        <n v="2.82"/>
        <n v="1.85"/>
        <n v="0.35"/>
        <n v="0.18"/>
        <n v="16.79"/>
        <n v="13.59"/>
        <n v="7.18"/>
        <n v="3.05"/>
        <n v="9.16"/>
        <n v="6.26"/>
        <n v="5.5"/>
        <n v="3.66"/>
        <n v="3.36"/>
        <n v="3.51"/>
        <n v="1.53"/>
        <n v="0.92"/>
        <n v="2.6"/>
        <n v="1.22"/>
        <n v="0.76"/>
        <n v="19.010000000000002"/>
        <n v="9.5"/>
        <n v="2.77"/>
        <n v="8.91"/>
        <n v="7.33"/>
        <n v="5.35"/>
        <n v="4.95"/>
        <n v="4.16"/>
        <n v="1.39"/>
        <n v="1.19"/>
        <n v="0.2"/>
        <n v="22.07"/>
        <n v="17.079999999999998"/>
        <n v="7.25"/>
        <n v="2.1800000000000002"/>
        <n v="7.57"/>
        <n v="5.07"/>
        <n v="6.4"/>
        <n v="4.45"/>
        <n v="1.87"/>
        <n v="2.57"/>
        <n v="1.56"/>
        <n v="0.86"/>
        <n v="1.95"/>
        <n v="3.43"/>
        <n v="2.73"/>
        <n v="0.16"/>
        <n v="1.33"/>
        <n v="0.94"/>
        <n v="18.03"/>
        <n v="8.18"/>
        <n v="12.16"/>
        <n v="8.81"/>
        <n v="2.94"/>
        <n v="3.14"/>
        <n v="5.66"/>
        <n v="2.31"/>
        <n v="3.98"/>
        <n v="2.52"/>
        <n v="1.26"/>
        <n v="1.68"/>
        <n v="0.84"/>
        <n v="1.47"/>
        <n v="16.7"/>
        <n v="12.26"/>
        <n v="7.19"/>
        <n v="13.95"/>
        <n v="2.75"/>
        <n v="3.81"/>
        <n v="5.29"/>
        <n v="4.6500000000000004"/>
        <n v="1.9"/>
        <n v="1.06"/>
        <n v="2.33"/>
        <n v="0.21"/>
        <n v="20.399999999999999"/>
        <n v="17.940000000000001"/>
        <n v="9.64"/>
        <n v="10.76"/>
        <n v="0.67"/>
        <n v="5.16"/>
        <n v="1.79"/>
        <n v="2.91"/>
        <n v="4.26"/>
        <n v="1.35"/>
        <n v="2.2400000000000002"/>
        <n v="26.23"/>
        <n v="16.03"/>
        <n v="12.18"/>
        <n v="6.92"/>
        <n v="4.9400000000000004"/>
        <n v="2.09"/>
        <n v="2.85"/>
        <n v="2.74"/>
        <n v="1.65"/>
        <n v="1.54"/>
        <n v="9.02"/>
        <n v="15.29"/>
        <n v="11.62"/>
        <n v="9.48"/>
        <n v="6.12"/>
        <n v="5.05"/>
        <n v="2.4500000000000002"/>
        <n v="3.67"/>
        <n v="1.83"/>
        <n v="0.31"/>
        <n v="1.99"/>
        <n v="23.28"/>
        <n v="11.64"/>
        <n v="7.76"/>
        <n v="15.82"/>
        <n v="4.4800000000000004"/>
        <n v="2.39"/>
        <n v="1.49"/>
        <n v="3.28"/>
        <n v="0.3"/>
        <n v="0.6"/>
        <n v="21.48"/>
        <n v="15.66"/>
        <n v="6.8"/>
        <n v="6.31"/>
        <n v="7.89"/>
        <n v="4.37"/>
        <n v="3.16"/>
        <n v="1.94"/>
        <n v="2.06"/>
        <n v="4.49"/>
        <n v="1.46"/>
        <n v="1.0900000000000001"/>
        <n v="0.12"/>
        <n v="0.73"/>
        <n v="64.709999999999994"/>
        <n v="35.29"/>
        <n v="84.38"/>
        <n v="6.25"/>
        <n v="9.3800000000000008"/>
        <n v="17.579999999999998"/>
        <n v="14.61"/>
        <n v="8.2200000000000006"/>
        <n v="9.59"/>
        <n v="2.97"/>
        <n v="5.0199999999999996"/>
        <n v="4.1100000000000003"/>
        <n v="2.5099999999999998"/>
        <n v="3.2"/>
        <n v="3.65"/>
        <n v="0.91"/>
        <n v="2.0499999999999998"/>
        <n v="18.829999999999998"/>
        <n v="3.9"/>
        <n v="15.58"/>
        <n v="8.44"/>
        <n v="9.74"/>
        <n v="6.49"/>
        <n v="4.55"/>
        <n v="1.3"/>
        <n v="7.91"/>
        <n v="11.3"/>
        <n v="7.34"/>
        <n v="4.5199999999999996"/>
        <n v="1.1299999999999999"/>
        <n v="1.69"/>
        <n v="9.69"/>
        <n v="18.37"/>
        <n v="12.24"/>
        <n v="5.61"/>
        <n v="2.04"/>
        <n v="8.67"/>
        <n v="3.06"/>
        <n v="2.5499999999999998"/>
        <n v="4.59"/>
        <n v="3.57"/>
        <n v="0.51"/>
        <n v="1.02"/>
        <n v="16.670000000000002"/>
        <n v="17.420000000000002"/>
        <n v="9.85"/>
        <n v="3.03"/>
        <n v="6.82"/>
        <n v="2.27"/>
        <n v="1.52"/>
        <n v="3.79"/>
        <n v="9.09"/>
        <n v="18.18"/>
        <n v="16.53"/>
        <n v="8.26"/>
        <n v="7.44"/>
        <n v="5.79"/>
        <n v="2.48"/>
        <n v="4.13"/>
        <n v="18.940000000000001"/>
        <n v="15.91"/>
        <n v="6.06"/>
        <n v="21.69"/>
        <n v="12.05"/>
        <n v="10.84"/>
        <n v="12.45"/>
        <n v="8.43"/>
        <n v="0.8"/>
        <n v="1.61"/>
        <n v="0.4"/>
        <n v="19.53"/>
        <n v="14.2"/>
        <n v="5.92"/>
        <n v="11.83"/>
        <n v="4.1399999999999997"/>
        <n v="5.33"/>
        <n v="2.37"/>
        <n v="3.55"/>
        <n v="4.7300000000000004"/>
        <n v="1.78"/>
        <n v="0.59"/>
        <n v="20.13"/>
        <n v="12.08"/>
        <n v="14.09"/>
        <n v="12.75"/>
        <n v="6.71"/>
        <n v="2.68"/>
        <n v="4.03"/>
        <n v="4.7"/>
        <n v="1.34"/>
        <n v="22.27"/>
        <n v="20.309999999999999"/>
        <n v="10.48"/>
        <n v="6.11"/>
        <n v="2.62"/>
        <n v="7.21"/>
        <n v="5.68"/>
        <n v="2.4"/>
        <n v="1.31"/>
        <n v="0.44"/>
        <n v="26.83"/>
        <n v="19.510000000000002"/>
        <n v="9.76"/>
        <n v="12.2"/>
        <n v="7.32"/>
        <n v="4.88"/>
        <n v="2.44"/>
        <n v="21.21"/>
        <n v="24.91"/>
        <n v="20.38"/>
        <n v="5.28"/>
        <n v="8.3000000000000007"/>
        <n v="3.02"/>
        <n v="0.75"/>
        <n v="3.4"/>
        <n v="0.38"/>
        <n v="13.55"/>
        <n v="14.19"/>
        <n v="10.32"/>
        <n v="7.1"/>
        <n v="0.65"/>
        <n v="2.58"/>
        <n v="1.29"/>
        <n v="25"/>
        <n v="14.13"/>
        <n v="12.5"/>
        <n v="7.07"/>
        <n v="7.61"/>
        <n v="1.63"/>
        <n v="2.17"/>
        <n v="3.8"/>
        <n v="3.26"/>
        <n v="0.54"/>
        <n v="26.25"/>
        <n v="10"/>
        <n v="9.06"/>
        <n v="2.5"/>
        <n v="3.44"/>
        <n v="3.13"/>
        <n v="3.75"/>
        <n v="2.19"/>
        <n v="21.78"/>
        <n v="15.84"/>
        <n v="20.79"/>
        <n v="9.9"/>
        <n v="6.93"/>
        <n v="22.22"/>
        <n v="5.98"/>
        <n v="20.51"/>
        <n v="15.38"/>
        <n v="7.69"/>
        <n v="6.84"/>
        <n v="0.85"/>
        <n v="27"/>
        <n v="13.5"/>
        <n v="6.5"/>
        <n v="8.5"/>
        <n v="5"/>
        <n v="4.5"/>
        <n v="3.5"/>
        <n v="4"/>
        <n v="18.54"/>
        <n v="14.15"/>
        <n v="13.66"/>
        <n v="8.2899999999999991"/>
        <n v="4.3899999999999997"/>
        <n v="2.93"/>
        <n v="0.49"/>
        <n v="0.98"/>
        <n v="18.329999999999998"/>
        <n v="12.22"/>
        <n v="11.11"/>
        <n v="4.4400000000000004"/>
        <n v="1.1100000000000001"/>
        <n v="3.89"/>
        <n v="0.56000000000000005"/>
        <n v="2.2200000000000002"/>
      </sharedItems>
    </cacheField>
    <cacheField name="総数（法人）" numFmtId="0" sqlType="4">
      <sharedItems containsSemiMixedTypes="0" containsString="0" containsNumber="1" containsInteger="1" minValue="0" maxValue="1888" count="100">
        <n v="550"/>
        <n v="470"/>
        <n v="1718"/>
        <n v="745"/>
        <n v="1888"/>
        <n v="1030"/>
        <n v="591"/>
        <n v="170"/>
        <n v="252"/>
        <n v="820"/>
        <n v="891"/>
        <n v="295"/>
        <n v="576"/>
        <n v="478"/>
        <n v="155"/>
        <n v="627"/>
        <n v="370"/>
        <n v="422"/>
        <n v="182"/>
        <n v="443"/>
        <n v="294"/>
        <n v="229"/>
        <n v="682"/>
        <n v="562"/>
        <n v="634"/>
        <n v="82"/>
        <n v="201"/>
        <n v="426"/>
        <n v="126"/>
        <n v="406"/>
        <n v="230"/>
        <n v="245"/>
        <n v="233"/>
        <n v="255"/>
        <n v="285"/>
        <n v="232"/>
        <n v="238"/>
        <n v="223"/>
        <n v="23"/>
        <n v="26"/>
        <n v="89"/>
        <n v="49"/>
        <n v="105"/>
        <n v="34"/>
        <n v="10"/>
        <n v="45"/>
        <n v="18"/>
        <n v="12"/>
        <n v="28"/>
        <n v="36"/>
        <n v="9"/>
        <n v="31"/>
        <n v="2"/>
        <n v="7"/>
        <n v="27"/>
        <n v="6"/>
        <n v="29"/>
        <n v="21"/>
        <n v="3"/>
        <n v="4"/>
        <n v="13"/>
        <n v="5"/>
        <n v="0"/>
        <n v="24"/>
        <n v="22"/>
        <n v="11"/>
        <n v="8"/>
        <n v="1"/>
        <n v="65"/>
        <n v="17"/>
        <n v="50"/>
        <n v="19"/>
        <n v="14"/>
        <n v="57"/>
        <n v="42"/>
        <n v="16"/>
        <n v="15"/>
        <n v="103"/>
        <n v="114"/>
        <n v="48"/>
        <n v="51"/>
        <n v="33"/>
        <n v="30"/>
        <n v="43"/>
        <n v="67"/>
        <n v="40"/>
        <n v="44"/>
        <n v="38"/>
        <n v="110"/>
        <n v="137"/>
        <n v="58"/>
        <n v="41"/>
        <n v="55"/>
        <n v="46"/>
        <n v="39"/>
        <n v="20"/>
        <n v="62"/>
        <n v="52"/>
        <n v="35"/>
        <n v="32"/>
      </sharedItems>
    </cacheField>
    <cacheField name="構成比（法人）" numFmtId="0" sqlType="3">
      <sharedItems containsSemiMixedTypes="0" containsString="0" containsNumber="1" minValue="0" maxValue="50" count="369">
        <n v="3.02"/>
        <n v="2.58"/>
        <n v="9.4499999999999993"/>
        <n v="4.0999999999999996"/>
        <n v="10.38"/>
        <n v="5.66"/>
        <n v="3.25"/>
        <n v="0.93"/>
        <n v="1.39"/>
        <n v="4.51"/>
        <n v="4.9000000000000004"/>
        <n v="1.62"/>
        <n v="3.17"/>
        <n v="2.63"/>
        <n v="0.85"/>
        <n v="3.45"/>
        <n v="2.0299999999999998"/>
        <n v="2.3199999999999998"/>
        <n v="1"/>
        <n v="2.44"/>
        <n v="3.76"/>
        <n v="2.93"/>
        <n v="8.7200000000000006"/>
        <n v="7.18"/>
        <n v="8.1"/>
        <n v="3.22"/>
        <n v="1.05"/>
        <n v="2.57"/>
        <n v="5.45"/>
        <n v="1.61"/>
        <n v="5.19"/>
        <n v="2.94"/>
        <n v="3.13"/>
        <n v="2.98"/>
        <n v="3.26"/>
        <n v="3.64"/>
        <n v="2.97"/>
        <n v="3.04"/>
        <n v="2.85"/>
        <n v="2.39"/>
        <n v="2.71"/>
        <n v="9.26"/>
        <n v="5.0999999999999996"/>
        <n v="10.93"/>
        <n v="3.54"/>
        <n v="1.04"/>
        <n v="4.68"/>
        <n v="1.87"/>
        <n v="1.25"/>
        <n v="2.91"/>
        <n v="3.75"/>
        <n v="0.94"/>
        <n v="3.23"/>
        <n v="0.91"/>
        <n v="3.2"/>
        <n v="12.33"/>
        <n v="2.74"/>
        <n v="13.24"/>
        <n v="4.57"/>
        <n v="9.59"/>
        <n v="1.37"/>
        <n v="1.83"/>
        <n v="5.94"/>
        <n v="5.48"/>
        <n v="2.2799999999999998"/>
        <n v="0"/>
        <n v="2.6"/>
        <n v="12.5"/>
        <n v="2.08"/>
        <n v="3.65"/>
        <n v="11.46"/>
        <n v="5.73"/>
        <n v="4.17"/>
        <n v="0.52"/>
        <n v="1.56"/>
        <n v="2.2599999999999998"/>
        <n v="12.26"/>
        <n v="3.21"/>
        <n v="9.43"/>
        <n v="0.19"/>
        <n v="3.58"/>
        <n v="1.7"/>
        <n v="4.34"/>
        <n v="1.32"/>
        <n v="4.91"/>
        <n v="5.47"/>
        <n v="4.1500000000000004"/>
        <n v="1.89"/>
        <n v="2.64"/>
        <n v="1.51"/>
        <n v="1.1299999999999999"/>
        <n v="13.32"/>
        <n v="6.78"/>
        <n v="9.81"/>
        <n v="3.74"/>
        <n v="3.27"/>
        <n v="0.7"/>
        <n v="5.14"/>
        <n v="6.07"/>
        <n v="2.34"/>
        <n v="0.23"/>
        <n v="3.5"/>
        <n v="0.47"/>
        <n v="2.1"/>
        <n v="2.72"/>
        <n v="0.54"/>
        <n v="11.41"/>
        <n v="8.15"/>
        <n v="11.96"/>
        <n v="4.3499999999999996"/>
        <n v="2.17"/>
        <n v="6.52"/>
        <n v="1.0900000000000001"/>
        <n v="5.98"/>
        <n v="1.63"/>
        <n v="4.79"/>
        <n v="3.42"/>
        <n v="4.1100000000000003"/>
        <n v="14.38"/>
        <n v="2.0499999999999998"/>
        <n v="6.85"/>
        <n v="0.68"/>
        <n v="2.42"/>
        <n v="2.5299999999999998"/>
        <n v="10.84"/>
        <n v="4.42"/>
        <n v="12"/>
        <n v="5.05"/>
        <n v="5.37"/>
        <n v="1.26"/>
        <n v="0.95"/>
        <n v="3.05"/>
        <n v="3.47"/>
        <n v="1.79"/>
        <n v="3.16"/>
        <n v="2.84"/>
        <n v="4.05"/>
        <n v="2.62"/>
        <n v="10.24"/>
        <n v="15.95"/>
        <n v="3.81"/>
        <n v="4.5199999999999996"/>
        <n v="0.48"/>
        <n v="1.67"/>
        <n v="0.71"/>
        <n v="3.33"/>
        <n v="2.38"/>
        <n v="3.1"/>
        <n v="2.14"/>
        <n v="1.06"/>
        <n v="14.13"/>
        <n v="2.83"/>
        <n v="15.55"/>
        <n v="3.53"/>
        <n v="4.24"/>
        <n v="1.77"/>
        <n v="5.65"/>
        <n v="5.3"/>
        <n v="3.18"/>
        <n v="1.41"/>
        <n v="3.61"/>
        <n v="3.19"/>
        <n v="9.23"/>
        <n v="11.49"/>
        <n v="4.87"/>
        <n v="3.44"/>
        <n v="1.01"/>
        <n v="1.17"/>
        <n v="4.6100000000000003"/>
        <n v="3.86"/>
        <n v="2.27"/>
        <n v="0.42"/>
        <n v="0.76"/>
        <n v="1.85"/>
        <n v="2.35"/>
        <n v="1.44"/>
        <n v="10.79"/>
        <n v="1.8"/>
        <n v="4.32"/>
        <n v="11.87"/>
        <n v="5.76"/>
        <n v="0.72"/>
        <n v="6.12"/>
        <n v="0.36"/>
        <n v="2.88"/>
        <n v="3.24"/>
        <n v="3.96"/>
        <n v="2.16"/>
        <n v="1.08"/>
        <n v="2.75"/>
        <n v="5.81"/>
        <n v="13.15"/>
        <n v="2.4500000000000002"/>
        <n v="13.46"/>
        <n v="1.22"/>
        <n v="3.36"/>
        <n v="3.67"/>
        <n v="4.28"/>
        <n v="3.98"/>
        <n v="1.53"/>
        <n v="0.61"/>
        <n v="1.23"/>
        <n v="9.1999999999999993"/>
        <n v="4.5999999999999996"/>
        <n v="12.27"/>
        <n v="3.37"/>
        <n v="6.75"/>
        <n v="0.92"/>
        <n v="2.76"/>
        <n v="3.68"/>
        <n v="6.13"/>
        <n v="3.99"/>
        <n v="1.84"/>
        <n v="3.34"/>
        <n v="1.98"/>
        <n v="4.41"/>
        <n v="9.42"/>
        <n v="3.95"/>
        <n v="6.69"/>
        <n v="5.17"/>
        <n v="6.84"/>
        <n v="2.89"/>
        <n v="4.71"/>
        <n v="1.82"/>
        <n v="14.75"/>
        <n v="5.36"/>
        <n v="13.94"/>
        <n v="1.34"/>
        <n v="4.0199999999999996"/>
        <n v="0.8"/>
        <n v="2.68"/>
        <n v="1.69"/>
        <n v="11.44"/>
        <n v="14.83"/>
        <n v="2.54"/>
        <n v="13.14"/>
        <n v="8.0500000000000007"/>
        <n v="5.08"/>
        <n v="2.12"/>
        <n v="4.18"/>
        <n v="1.95"/>
        <n v="9.34"/>
        <n v="5.0199999999999996"/>
        <n v="2.37"/>
        <n v="9.07"/>
        <n v="1.1200000000000001"/>
        <n v="4.88"/>
        <n v="4.46"/>
        <n v="3.63"/>
        <n v="3.77"/>
        <n v="2.23"/>
        <n v="0.84"/>
        <n v="33.33"/>
        <n v="16.670000000000002"/>
        <n v="50"/>
        <n v="2.79"/>
        <n v="13.02"/>
        <n v="10.7"/>
        <n v="4.1900000000000004"/>
        <n v="4.6500000000000004"/>
        <n v="1.86"/>
        <n v="6.05"/>
        <n v="2.33"/>
        <n v="1.4"/>
        <n v="3.72"/>
        <n v="3.88"/>
        <n v="22.33"/>
        <n v="8.74"/>
        <n v="1.94"/>
        <n v="4.8499999999999996"/>
        <n v="0.97"/>
        <n v="16.190000000000001"/>
        <n v="2.86"/>
        <n v="20"/>
        <n v="5.71"/>
        <n v="6.67"/>
        <n v="1.9"/>
        <n v="4.76"/>
        <n v="14.06"/>
        <n v="6.25"/>
        <n v="10.94"/>
        <n v="0.78"/>
        <n v="4.6900000000000004"/>
        <n v="1.54"/>
        <n v="13.85"/>
        <n v="16.920000000000002"/>
        <n v="12.31"/>
        <n v="6.15"/>
        <n v="4.62"/>
        <n v="3.08"/>
        <n v="21.67"/>
        <n v="5"/>
        <n v="13.33"/>
        <n v="8.33"/>
        <n v="4.92"/>
        <n v="13.11"/>
        <n v="18.03"/>
        <n v="1.64"/>
        <n v="3.28"/>
        <n v="6.35"/>
        <n v="7.14"/>
        <n v="0.79"/>
        <n v="15.08"/>
        <n v="1.59"/>
        <n v="3.97"/>
        <n v="3.9"/>
        <n v="1.3"/>
        <n v="18.18"/>
        <n v="11.69"/>
        <n v="7.79"/>
        <n v="1.45"/>
        <n v="11.59"/>
        <n v="13.04"/>
        <n v="18.84"/>
        <n v="7.25"/>
        <n v="2.9"/>
        <n v="6.88"/>
        <n v="2.65"/>
        <n v="10.58"/>
        <n v="14.29"/>
        <n v="0.53"/>
        <n v="3.7"/>
        <n v="5.82"/>
        <n v="4.2300000000000004"/>
        <n v="46.15"/>
        <n v="7.69"/>
        <n v="15.38"/>
        <n v="4"/>
        <n v="16"/>
        <n v="8"/>
        <n v="2.11"/>
        <n v="9.4700000000000006"/>
        <n v="7.37"/>
        <n v="4.21"/>
        <n v="10.39"/>
        <n v="15.58"/>
        <n v="6.49"/>
        <n v="1.43"/>
        <n v="11.43"/>
        <n v="4.29"/>
        <n v="18.57"/>
        <n v="11.76"/>
        <n v="0.74"/>
        <n v="5.15"/>
        <n v="19.850000000000001"/>
        <n v="2.21"/>
        <n v="1.47"/>
        <n v="24.69"/>
        <n v="6.17"/>
        <n v="11.11"/>
        <n v="4.9400000000000004"/>
        <n v="2.4700000000000002"/>
        <n v="36.96"/>
        <n v="8.6999999999999993"/>
        <n v="8.11"/>
        <n v="6.76"/>
        <n v="12.16"/>
        <n v="1.35"/>
        <n v="5.41"/>
        <n v="2.7"/>
        <n v="18.97"/>
        <n v="15.52"/>
        <n v="1.72"/>
        <n v="8.6199999999999992"/>
        <n v="6.9"/>
        <n v="6.45"/>
        <n v="4.84"/>
        <n v="8.06"/>
        <n v="11.29"/>
      </sharedItems>
    </cacheField>
    <cacheField name="総数（法人以外の団体）" numFmtId="0" sqlType="4">
      <sharedItems containsSemiMixedTypes="0" containsString="0" containsNumber="1" containsInteger="1" minValue="0" maxValue="33" count="14">
        <n v="2"/>
        <n v="5"/>
        <n v="33"/>
        <n v="27"/>
        <n v="0"/>
        <n v="26"/>
        <n v="10"/>
        <n v="6"/>
        <n v="1"/>
        <n v="21"/>
        <n v="3"/>
        <n v="8"/>
        <n v="15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0536226851" createdVersion="5" refreshedVersion="8" minRefreshableVersion="3" recordCount="988" xr:uid="{D103F4BD-E56C-40DC-AF77-7C153F9F0AA2}">
  <cacheSource type="external" connectionId="3"/>
  <cacheFields count="14">
    <cacheField name="都道府県" numFmtId="0" sqlType="-9">
      <sharedItems count="1">
        <s v="46 鹿児島県"/>
      </sharedItems>
    </cacheField>
    <cacheField name="自治体名" numFmtId="0" sqlType="-9">
      <sharedItems count="44">
        <s v="鹿児島県"/>
        <s v="鹿児島市"/>
        <s v="鹿屋市"/>
        <s v="枕崎市"/>
        <s v="阿久根市"/>
        <s v="出水市"/>
        <s v="指宿市"/>
        <s v="西之表市"/>
        <s v="垂水市"/>
        <s v="薩摩川内市"/>
        <s v="日置市"/>
        <s v="曽於市"/>
        <s v="霧島市"/>
        <s v="いちき串木野市"/>
        <s v="南さつま市"/>
        <s v="志布志市"/>
        <s v="奄美市"/>
        <s v="南九州市"/>
        <s v="伊佐市"/>
        <s v="姶良市"/>
        <s v="鹿児島郡三島村"/>
        <s v="鹿児島郡十島村"/>
        <s v="薩摩郡さつま町"/>
        <s v="出水郡長島町"/>
        <s v="姶良郡湧水町"/>
        <s v="曽於郡大崎町"/>
        <s v="肝属郡東串良町"/>
        <s v="肝属郡錦江町"/>
        <s v="肝属郡南大隅町"/>
        <s v="肝属郡肝付町"/>
        <s v="熊毛郡中種子町"/>
        <s v="熊毛郡南種子町"/>
        <s v="熊毛郡屋久島町"/>
        <s v="大島郡大和村"/>
        <s v="大島郡宇検村"/>
        <s v="大島郡瀬戸内町"/>
        <s v="大島郡龍郷町"/>
        <s v="大島郡喜界町"/>
        <s v="大島郡徳之島町"/>
        <s v="大島郡天城町"/>
        <s v="大島郡伊仙町"/>
        <s v="大島郡和泊町"/>
        <s v="大島郡知名町"/>
        <s v="大島郡与論町"/>
      </sharedItems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産業分類コード" numFmtId="0" sqlType="-8">
      <sharedItems count="114">
        <s v="783"/>
        <s v="782"/>
        <s v="765"/>
        <s v="766"/>
        <s v="591"/>
        <s v="835"/>
        <s v="762"/>
        <s v="589"/>
        <s v="692"/>
        <s v="062"/>
        <s v="609"/>
        <s v="891"/>
        <s v="824"/>
        <s v="603"/>
        <s v="742"/>
        <s v="081"/>
        <s v="585"/>
        <s v="605"/>
        <s v="586"/>
        <s v="064"/>
        <s v="682"/>
        <s v="691"/>
        <s v="781"/>
        <s v="593"/>
        <s v="799"/>
        <s v="103"/>
        <s v="092"/>
        <s v="331"/>
        <s v="582"/>
        <s v="573"/>
        <s v="521"/>
        <s v="522"/>
        <s v="761"/>
        <s v="065"/>
        <s v="751"/>
        <s v="097"/>
        <s v="581"/>
        <s v="821"/>
        <s v="101"/>
        <s v="244"/>
        <s v="559"/>
        <s v="674"/>
        <s v="823"/>
        <s v="767"/>
        <s v="604"/>
        <s v="083"/>
        <s v="772"/>
        <s v="471"/>
        <s v="112"/>
        <s v="132"/>
        <s v="601"/>
        <s v="855"/>
        <s v="121"/>
        <s v="951"/>
        <s v="093"/>
        <s v="098"/>
        <s v="102"/>
        <s v="485"/>
        <s v="489"/>
        <s v="729"/>
        <s v="752"/>
        <s v="853"/>
        <s v="854"/>
        <s v="094"/>
        <s v="162"/>
        <s v="452"/>
        <s v="071"/>
        <s v="096"/>
        <s v="212"/>
        <s v="784"/>
        <s v="077"/>
        <s v="079"/>
        <s v="133"/>
        <s v="061"/>
        <s v="722"/>
        <s v="771"/>
        <s v="901"/>
        <s v="929"/>
        <s v="106"/>
        <s v="075"/>
        <s v="809"/>
        <s v="584"/>
        <s v="711"/>
        <s v="099"/>
        <s v="704"/>
        <s v="769"/>
        <s v="607"/>
        <s v="129"/>
        <s v="602"/>
        <s v="881"/>
        <s v="054"/>
        <s v="294"/>
        <s v="328"/>
        <s v="361"/>
        <s v="611"/>
        <s v="727"/>
        <s v="903"/>
        <s v="909"/>
        <s v="702"/>
        <s v="066"/>
        <s v="210"/>
        <s v="360"/>
        <s v="382"/>
        <s v="705"/>
        <s v="728"/>
        <s v="833"/>
        <s v="606"/>
        <s v="789"/>
        <s v="095"/>
        <s v="723"/>
        <s v="583"/>
        <s v="441"/>
        <s v="072"/>
        <s v="764"/>
      </sharedItems>
    </cacheField>
    <cacheField name="産業分類" numFmtId="0" sqlType="-9">
      <sharedItems count="113">
        <s v="美容業"/>
        <s v="理容業"/>
        <s v="酒場，ビヤホール"/>
        <s v="バー，キャバレー，ナイトクラブ"/>
        <s v="自動車小売業"/>
        <s v="療術業"/>
        <s v="専門料理店"/>
        <s v="その他の飲食料品小売業"/>
        <s v="貸家業，貸間業"/>
        <s v="土木工事業（舗装工事業を除く）"/>
        <s v="他に分類されない小売業"/>
        <s v="自動車整備業"/>
        <s v="教養・技能教授業"/>
        <s v="医薬品・化粧品小売業"/>
        <s v="土木建築サービス業"/>
        <s v="電気工事業"/>
        <s v="酒小売業"/>
        <s v="燃料小売業"/>
        <s v="菓子・パン小売業"/>
        <s v="建築工事業（木造建築工事業を除く）"/>
        <s v="不動産代理業・仲介業"/>
        <s v="不動産賃貸業（貸家業，貸間業を除く）"/>
        <s v="洗濯業"/>
        <s v="機械器具小売業（自動車，自転車を除く）"/>
        <s v="他に分類されない生活関連サービス業"/>
        <s v="茶・コーヒー製造業（清涼飲料を除く）"/>
        <s v="水産食料品製造業"/>
        <s v="電気業"/>
        <s v="野菜・果実小売業"/>
        <s v="婦人・子供服小売業"/>
        <s v="農畜産物・水産物卸売業"/>
        <s v="食料・飲料卸売業"/>
        <s v="食堂，レストラン（専門料理店を除く）"/>
        <s v="木造建築工事業"/>
        <s v="旅館，ホテル"/>
        <s v="パン・菓子製造業"/>
        <s v="各種食料品小売業"/>
        <s v="社会教育"/>
        <s v="清涼飲料製造業"/>
        <s v="建設用・建築用金属製品製造業（製缶板金業を含む）"/>
        <s v="他に分類されない卸売業"/>
        <s v="保険媒介代理業"/>
        <s v="学習塾"/>
        <s v="喫茶店"/>
        <s v="農耕用品小売業"/>
        <s v="管工事業（さく井工事業を除く）"/>
        <s v="配達飲食サービス業"/>
        <s v="倉庫業（冷蔵倉庫業を除く）"/>
        <s v="織物業"/>
        <s v="宗教用具製造業"/>
        <s v="家具・建具・畳小売業"/>
        <s v="障害者福祉事業"/>
        <s v="製材業，木製品製造業"/>
        <s v="集会場"/>
        <s v="野菜缶詰・果実缶詰・農産保存食料品製造業"/>
        <s v="動植物油脂製造業"/>
        <s v="酒類製造業"/>
        <s v="運輸施設提供業"/>
        <s v="その他の運輸に附帯するサービス業"/>
        <s v="その他の専門サービス業"/>
        <s v="簡易宿所"/>
        <s v="児童福祉事業"/>
        <s v="老人福祉・介護事業"/>
        <s v="調味料製造業"/>
        <s v="無機化学工業製品製造業"/>
        <s v="沿海海運業"/>
        <s v="大工工事業"/>
        <s v="精穀・製粉業"/>
        <s v="セメント・同製品製造業"/>
        <s v="一般公衆浴場業"/>
        <s v="塗装工事業"/>
        <s v="その他の職別工事業"/>
        <s v="建具製造業"/>
        <s v="一般土木建築工事業"/>
        <s v="公証人役場，司法書士事務所，土地家屋調査士事務所"/>
        <s v="持ち帰り飲食サービス業"/>
        <s v="機械修理業（電気機械器具を除く）"/>
        <s v="他に分類されない事業サービス業"/>
        <s v="飼料・有機質肥料製造業"/>
        <s v="左官工事業"/>
        <s v="その他の娯楽業"/>
        <s v="鮮魚小売業"/>
        <s v="自然科学研究所"/>
        <s v="その他の食料品製造業"/>
        <s v="自動車賃貸業"/>
        <s v="その他の飲食店"/>
        <s v="スポーツ用品・がん具・娯楽用品・楽器小売業"/>
        <s v="その他の木製品製造業（竹，とうを含む）"/>
        <s v="じゅう器小売業"/>
        <s v="一般廃棄物処理業"/>
        <s v="採石業，砂・砂利・玉石採取業"/>
        <s v="電球・電気照明器具製造業"/>
        <s v="畳等生活雑貨製品製造業"/>
        <s v="上水道業"/>
        <s v="通信販売・訪問販売小売業"/>
        <s v="著述・芸術家業"/>
        <s v="表具業"/>
        <s v="その他の修理業"/>
        <s v="産業用機械器具賃貸業"/>
        <s v="建築リフォーム工事業"/>
        <s v="管理，補助的経済活動を行う事業所"/>
        <s v="民間放送業（有線放送業を除く）"/>
        <s v="スポーツ・娯楽用品賃貸業"/>
        <s v="経営コンサルタント業，純粋持株会社"/>
        <s v="歯科診療所"/>
        <s v="書籍・文房具小売業"/>
        <s v="その他の洗濯・理容・美容・浴場業"/>
        <s v="糖類製造業"/>
        <s v="行政書士事務所"/>
        <s v="食肉小売業"/>
        <s v="一般貨物自動車運送業"/>
        <s v="とび・土工・コンクリート工事業"/>
        <s v="すし店"/>
      </sharedItems>
    </cacheField>
    <cacheField name="産業小分類" numFmtId="0" sqlType="-9">
      <sharedItems count="114">
        <s v="783 美容業"/>
        <s v="782 理容業"/>
        <s v="765 酒場，ビヤホール"/>
        <s v="766 バー，キャバレー，ナイトクラブ"/>
        <s v="591 自動車小売業"/>
        <s v="835 療術業"/>
        <s v="762 専門料理店"/>
        <s v="589 その他の飲食料品小売業"/>
        <s v="692 貸家業，貸間業"/>
        <s v="062 土木工事業（舗装工事業を除く）"/>
        <s v="609 他に分類されない小売業"/>
        <s v="891 自動車整備業"/>
        <s v="824 教養・技能教授業"/>
        <s v="603 医薬品・化粧品小売業"/>
        <s v="742 土木建築サービス業"/>
        <s v="081 電気工事業"/>
        <s v="585 酒小売業"/>
        <s v="605 燃料小売業"/>
        <s v="586 菓子・パン小売業"/>
        <s v="064 建築工事業（木造建築工事業を除く）"/>
        <s v="682 不動産代理業・仲介業"/>
        <s v="691 不動産賃貸業（貸家業，貸間業を除く）"/>
        <s v="781 洗濯業"/>
        <s v="593 機械器具小売業（自動車，自転車を除く）"/>
        <s v="799 他に分類されない生活関連サービス業"/>
        <s v="103 茶・コーヒー製造業（清涼飲料を除く）"/>
        <s v="092 水産食料品製造業"/>
        <s v="331 電気業"/>
        <s v="582 野菜・果実小売業"/>
        <s v="573 婦人・子供服小売業"/>
        <s v="521 農畜産物・水産物卸売業"/>
        <s v="522 食料・飲料卸売業"/>
        <s v="761 食堂，レストラン（専門料理店を除く）"/>
        <s v="065 木造建築工事業"/>
        <s v="751 旅館，ホテル"/>
        <s v="097 パン・菓子製造業"/>
        <s v="581 各種食料品小売業"/>
        <s v="821 社会教育"/>
        <s v="101 清涼飲料製造業"/>
        <s v="244 建設用・建築用金属製品製造業（製缶板金業を含む）"/>
        <s v="559 他に分類されない卸売業"/>
        <s v="674 保険媒介代理業"/>
        <s v="823 学習塾"/>
        <s v="767 喫茶店"/>
        <s v="604 農耕用品小売業"/>
        <s v="083 管工事業（さく井工事業を除く）"/>
        <s v="772 配達飲食サービス業"/>
        <s v="471 倉庫業（冷蔵倉庫業を除く）"/>
        <s v="112 織物業"/>
        <s v="132 宗教用具製造業"/>
        <s v="601 家具・建具・畳小売業"/>
        <s v="855 障害者福祉事業"/>
        <s v="121 製材業，木製品製造業"/>
        <s v="951 集会場"/>
        <s v="093 野菜缶詰・果実缶詰・農産保存食料品製造業"/>
        <s v="098 動植物油脂製造業"/>
        <s v="102 酒類製造業"/>
        <s v="485 運輸施設提供業"/>
        <s v="489 その他の運輸に附帯するサービス業"/>
        <s v="729 その他の専門サービス業"/>
        <s v="752 簡易宿所"/>
        <s v="853 児童福祉事業"/>
        <s v="854 老人福祉・介護事業"/>
        <s v="094 調味料製造業"/>
        <s v="162 無機化学工業製品製造業"/>
        <s v="452 沿海海運業"/>
        <s v="071 大工工事業"/>
        <s v="096 精穀・製粉業"/>
        <s v="212 セメント・同製品製造業"/>
        <s v="784 一般公衆浴場業"/>
        <s v="077 塗装工事業"/>
        <s v="079 その他の職別工事業"/>
        <s v="133 建具製造業"/>
        <s v="061 一般土木建築工事業"/>
        <s v="722 公証人役場，司法書士事務所，土地家屋調査士事務所"/>
        <s v="771 持ち帰り飲食サービス業"/>
        <s v="901 機械修理業（電気機械器具を除く）"/>
        <s v="929 他に分類されない事業サービス業"/>
        <s v="106 飼料・有機質肥料製造業"/>
        <s v="075 左官工事業"/>
        <s v="809 その他の娯楽業"/>
        <s v="584 鮮魚小売業"/>
        <s v="711 自然科学研究所"/>
        <s v="099 その他の食料品製造業"/>
        <s v="704 自動車賃貸業"/>
        <s v="769 その他の飲食店"/>
        <s v="607 スポーツ用品・がん具・娯楽用品・楽器小売業"/>
        <s v="129 その他の木製品製造業（竹，とうを含む）"/>
        <s v="602 じゅう器小売業"/>
        <s v="881 一般廃棄物処理業"/>
        <s v="054 採石業，砂・砂利・玉石採取業"/>
        <s v="294 電球・電気照明器具製造業"/>
        <s v="328 畳等生活雑貨製品製造業"/>
        <s v="361 上水道業"/>
        <s v="611 通信販売・訪問販売小売業"/>
        <s v="727 著述・芸術家業"/>
        <s v="903 表具業"/>
        <s v="909 その他の修理業"/>
        <s v="702 産業用機械器具賃貸業"/>
        <s v="066 建築リフォーム工事業"/>
        <s v="210 管理，補助的経済活動を行う事業所"/>
        <s v="360 管理，補助的経済活動を行う事業所"/>
        <s v="382 民間放送業（有線放送業を除く）"/>
        <s v="705 スポーツ・娯楽用品賃貸業"/>
        <s v="728 経営コンサルタント業，純粋持株会社"/>
        <s v="833 歯科診療所"/>
        <s v="606 書籍・文房具小売業"/>
        <s v="789 その他の洗濯・理容・美容・浴場業"/>
        <s v="095 糖類製造業"/>
        <s v="723 行政書士事務所"/>
        <s v="583 食肉小売業"/>
        <s v="441 一般貨物自動車運送業"/>
        <s v="072 とび・土工・コンクリート工事業"/>
        <s v="764 すし店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403" count="118">
        <n v="2403"/>
        <n v="1279"/>
        <n v="1198"/>
        <n v="1114"/>
        <n v="1062"/>
        <n v="1058"/>
        <n v="1055"/>
        <n v="1053"/>
        <n v="1043"/>
        <n v="880"/>
        <n v="872"/>
        <n v="847"/>
        <n v="760"/>
        <n v="628"/>
        <n v="612"/>
        <n v="605"/>
        <n v="603"/>
        <n v="599"/>
        <n v="551"/>
        <n v="537"/>
        <n v="766"/>
        <n v="630"/>
        <n v="440"/>
        <n v="406"/>
        <n v="398"/>
        <n v="392"/>
        <n v="382"/>
        <n v="323"/>
        <n v="309"/>
        <n v="289"/>
        <n v="272"/>
        <n v="270"/>
        <n v="252"/>
        <n v="240"/>
        <n v="216"/>
        <n v="210"/>
        <n v="209"/>
        <n v="203"/>
        <n v="190"/>
        <n v="185"/>
        <n v="146"/>
        <n v="96"/>
        <n v="82"/>
        <n v="79"/>
        <n v="76"/>
        <n v="75"/>
        <n v="72"/>
        <n v="61"/>
        <n v="57"/>
        <n v="42"/>
        <n v="41"/>
        <n v="40"/>
        <n v="39"/>
        <n v="37"/>
        <n v="36"/>
        <n v="34"/>
        <n v="31"/>
        <n v="24"/>
        <n v="23"/>
        <n v="22"/>
        <n v="20"/>
        <n v="19"/>
        <n v="18"/>
        <n v="13"/>
        <n v="11"/>
        <n v="10"/>
        <n v="9"/>
        <n v="21"/>
        <n v="16"/>
        <n v="15"/>
        <n v="14"/>
        <n v="12"/>
        <n v="8"/>
        <n v="97"/>
        <n v="59"/>
        <n v="32"/>
        <n v="30"/>
        <n v="29"/>
        <n v="69"/>
        <n v="50"/>
        <n v="43"/>
        <n v="33"/>
        <n v="28"/>
        <n v="26"/>
        <n v="25"/>
        <n v="17"/>
        <n v="7"/>
        <n v="6"/>
        <n v="5"/>
        <n v="124"/>
        <n v="68"/>
        <n v="67"/>
        <n v="56"/>
        <n v="53"/>
        <n v="49"/>
        <n v="38"/>
        <n v="70"/>
        <n v="52"/>
        <n v="170"/>
        <n v="94"/>
        <n v="55"/>
        <n v="47"/>
        <n v="45"/>
        <n v="44"/>
        <n v="35"/>
        <n v="27"/>
        <n v="58"/>
        <n v="100"/>
        <n v="90"/>
        <n v="62"/>
        <n v="46"/>
        <n v="120"/>
        <n v="64"/>
        <n v="4"/>
        <n v="1"/>
        <n v="3"/>
        <n v="73"/>
        <n v="2"/>
      </sharedItems>
    </cacheField>
    <cacheField name="構成比" numFmtId="0" sqlType="3">
      <sharedItems containsSemiMixedTypes="0" containsString="0" containsNumber="1" minValue="1.08" maxValue="43.75" count="293">
        <n v="5.74"/>
        <n v="3.05"/>
        <n v="2.86"/>
        <n v="2.66"/>
        <n v="2.54"/>
        <n v="2.5299999999999998"/>
        <n v="2.52"/>
        <n v="2.5099999999999998"/>
        <n v="2.4900000000000002"/>
        <n v="2.1"/>
        <n v="2.08"/>
        <n v="2.02"/>
        <n v="1.81"/>
        <n v="1.5"/>
        <n v="1.46"/>
        <n v="1.44"/>
        <n v="1.43"/>
        <n v="1.32"/>
        <n v="1.28"/>
        <n v="5.22"/>
        <n v="4.3"/>
        <n v="3"/>
        <n v="2.77"/>
        <n v="2.71"/>
        <n v="2.67"/>
        <n v="2.61"/>
        <n v="2.2000000000000002"/>
        <n v="2.11"/>
        <n v="1.97"/>
        <n v="1.86"/>
        <n v="1.84"/>
        <n v="1.72"/>
        <n v="1.64"/>
        <n v="1.47"/>
        <n v="1.38"/>
        <n v="1.3"/>
        <n v="1.26"/>
        <n v="6.06"/>
        <n v="3.99"/>
        <n v="3.41"/>
        <n v="3.28"/>
        <n v="3.16"/>
        <n v="3.11"/>
        <n v="2.99"/>
        <n v="2.37"/>
        <n v="1.74"/>
        <n v="1.7"/>
        <n v="1.66"/>
        <n v="1.62"/>
        <n v="1.54"/>
        <n v="1.41"/>
        <n v="1.29"/>
        <n v="5.41"/>
        <n v="4.66"/>
        <n v="3.61"/>
        <n v="3.46"/>
        <n v="3.31"/>
        <n v="3.01"/>
        <n v="1.95"/>
        <n v="1.65"/>
        <n v="1.35"/>
        <n v="4.13"/>
        <n v="3.95"/>
        <n v="3.77"/>
        <n v="2.87"/>
        <n v="2.69"/>
        <n v="2.15"/>
        <n v="1.8"/>
        <n v="7.23"/>
        <n v="4.4000000000000004"/>
        <n v="4.25"/>
        <n v="2.76"/>
        <n v="2.39"/>
        <n v="2.31"/>
        <n v="2.2400000000000002"/>
        <n v="2.16"/>
        <n v="1.79"/>
        <n v="1.57"/>
        <n v="1.49"/>
        <n v="1.34"/>
        <n v="1.19"/>
        <n v="5.55"/>
        <n v="4.0199999999999996"/>
        <n v="3.14"/>
        <n v="2.74"/>
        <n v="2.65"/>
        <n v="2.57"/>
        <n v="2.33"/>
        <n v="2.25"/>
        <n v="2.09"/>
        <n v="2.0099999999999998"/>
        <n v="1.77"/>
        <n v="1.61"/>
        <n v="1.53"/>
        <n v="1.45"/>
        <n v="7.66"/>
        <n v="4.79"/>
        <n v="3.64"/>
        <n v="3.26"/>
        <n v="2.68"/>
        <n v="2.2999999999999998"/>
        <n v="1.92"/>
        <n v="4.4400000000000004"/>
        <n v="4.18"/>
        <n v="3.92"/>
        <n v="3.66"/>
        <n v="3.39"/>
        <n v="3.13"/>
        <n v="2.35"/>
        <n v="1.83"/>
        <n v="1.31"/>
        <n v="5.86"/>
        <n v="3.21"/>
        <n v="2.5"/>
        <n v="2.0299999999999998"/>
        <n v="1.98"/>
        <n v="1.75"/>
        <n v="1.51"/>
        <n v="1.42"/>
        <n v="1.37"/>
        <n v="6.28"/>
        <n v="3.86"/>
        <n v="3.5"/>
        <n v="2.6"/>
        <n v="2.06"/>
        <n v="1.88"/>
        <n v="1.52"/>
        <n v="6.49"/>
        <n v="4.62"/>
        <n v="4"/>
        <n v="3.75"/>
        <n v="2.62"/>
        <n v="2.12"/>
        <n v="1.87"/>
        <n v="6.78"/>
        <n v="3.27"/>
        <n v="2.79"/>
        <n v="2.4300000000000002"/>
        <n v="2.23"/>
        <n v="2.19"/>
        <n v="1.71"/>
        <n v="1.67"/>
        <n v="1.39"/>
        <n v="6.9"/>
        <n v="3.52"/>
        <n v="2.73"/>
        <n v="2.4700000000000002"/>
        <n v="2.21"/>
        <n v="1.82"/>
        <n v="1.69"/>
        <n v="1.56"/>
        <n v="1.17"/>
        <n v="6.98"/>
        <n v="3.85"/>
        <n v="3.37"/>
        <n v="2.41"/>
        <n v="2.29"/>
        <n v="2.17"/>
        <n v="2.0499999999999998"/>
        <n v="1.68"/>
        <n v="6.73"/>
        <n v="3.68"/>
        <n v="3.43"/>
        <n v="3.3"/>
        <n v="2.92"/>
        <n v="1.78"/>
        <n v="6.25"/>
        <n v="5.63"/>
        <n v="3.81"/>
        <n v="3.56"/>
        <n v="2.75"/>
        <n v="2.38"/>
        <n v="2"/>
        <n v="1.25"/>
        <n v="5.89"/>
        <n v="5.04"/>
        <n v="4.37"/>
        <n v="3.42"/>
        <n v="1.33"/>
        <n v="1.24"/>
        <n v="7.36"/>
        <n v="4.45"/>
        <n v="3.25"/>
        <n v="3.08"/>
        <n v="2.4"/>
        <n v="7.65"/>
        <n v="4.08"/>
        <n v="3.51"/>
        <n v="3.19"/>
        <n v="2.04"/>
        <n v="1.91"/>
        <n v="1.59"/>
        <n v="34.479999999999997"/>
        <n v="13.79"/>
        <n v="3.45"/>
        <n v="43.75"/>
        <n v="12.5"/>
        <n v="10.42"/>
        <n v="5.37"/>
        <n v="4.33"/>
        <n v="2.84"/>
        <n v="1.94"/>
        <n v="5.3"/>
        <n v="4.92"/>
        <n v="2.27"/>
        <n v="1.89"/>
        <n v="3.15"/>
        <n v="2.8"/>
        <n v="2.4500000000000002"/>
        <n v="1.4"/>
        <n v="5.42"/>
        <n v="4.22"/>
        <n v="1.2"/>
        <n v="6.4"/>
        <n v="5.91"/>
        <n v="4.43"/>
        <n v="2.96"/>
        <n v="2.46"/>
        <n v="1.48"/>
        <n v="5.95"/>
        <n v="4.8600000000000003"/>
        <n v="4.32"/>
        <n v="3.78"/>
        <n v="3.24"/>
        <n v="2.7"/>
        <n v="6.53"/>
        <n v="4.5199999999999996"/>
        <n v="3.02"/>
        <n v="9.67"/>
        <n v="5.6"/>
        <n v="3.82"/>
        <n v="1.27"/>
        <n v="3.57"/>
        <n v="3.17"/>
        <n v="2.78"/>
        <n v="9.33"/>
        <n v="5.33"/>
        <n v="2.2200000000000002"/>
        <n v="10.96"/>
        <n v="4.5"/>
        <n v="2.85"/>
        <n v="2.5499999999999998"/>
        <n v="18.329999999999998"/>
        <n v="8.33"/>
        <n v="6.67"/>
        <n v="5"/>
        <n v="3.33"/>
        <n v="6.56"/>
        <n v="7.26"/>
        <n v="6.18"/>
        <n v="5.38"/>
        <n v="4.84"/>
        <n v="3.49"/>
        <n v="2.42"/>
        <n v="1.08"/>
        <n v="5.88"/>
        <n v="4.2"/>
        <n v="2.94"/>
        <n v="7.72"/>
        <n v="4.63"/>
        <n v="3.09"/>
        <n v="2.3199999999999998"/>
        <n v="1.93"/>
        <n v="6.05"/>
        <n v="5.83"/>
        <n v="5.18"/>
        <n v="4.0999999999999996"/>
        <n v="2.81"/>
        <n v="1.73"/>
        <n v="6.38"/>
        <n v="4.26"/>
        <n v="3.72"/>
        <n v="2.13"/>
        <n v="1.6"/>
        <n v="9.64"/>
        <n v="6.63"/>
        <n v="4.82"/>
        <n v="7.77"/>
        <n v="4.24"/>
        <n v="3.89"/>
        <n v="3.18"/>
        <n v="2.83"/>
        <n v="6.64"/>
        <n v="5.54"/>
        <n v="5.17"/>
        <n v="3.32"/>
        <n v="2.95"/>
        <n v="2.58"/>
        <n v="1.85"/>
        <n v="5.0999999999999996"/>
        <n v="3.53"/>
        <n v="1.96"/>
        <n v="1.18"/>
      </sharedItems>
    </cacheField>
    <cacheField name="総数（個人）" numFmtId="0" sqlType="4">
      <sharedItems containsSemiMixedTypes="0" containsString="0" containsNumber="1" containsInteger="1" minValue="0" maxValue="2258" count="102">
        <n v="2258"/>
        <n v="1242"/>
        <n v="1079"/>
        <n v="1052"/>
        <n v="681"/>
        <n v="961"/>
        <n v="871"/>
        <n v="741"/>
        <n v="460"/>
        <n v="57"/>
        <n v="568"/>
        <n v="691"/>
        <n v="617"/>
        <n v="225"/>
        <n v="198"/>
        <n v="201"/>
        <n v="471"/>
        <n v="146"/>
        <n v="369"/>
        <n v="81"/>
        <n v="694"/>
        <n v="259"/>
        <n v="377"/>
        <n v="354"/>
        <n v="366"/>
        <n v="284"/>
        <n v="159"/>
        <n v="241"/>
        <n v="172"/>
        <n v="83"/>
        <n v="75"/>
        <n v="141"/>
        <n v="69"/>
        <n v="149"/>
        <n v="34"/>
        <n v="12"/>
        <n v="19"/>
        <n v="36"/>
        <n v="102"/>
        <n v="136"/>
        <n v="95"/>
        <n v="80"/>
        <n v="72"/>
        <n v="64"/>
        <n v="61"/>
        <n v="66"/>
        <n v="49"/>
        <n v="54"/>
        <n v="40"/>
        <n v="2"/>
        <n v="22"/>
        <n v="6"/>
        <n v="21"/>
        <n v="24"/>
        <n v="27"/>
        <n v="16"/>
        <n v="7"/>
        <n v="26"/>
        <n v="10"/>
        <n v="23"/>
        <n v="20"/>
        <n v="17"/>
        <n v="18"/>
        <n v="0"/>
        <n v="11"/>
        <n v="4"/>
        <n v="8"/>
        <n v="5"/>
        <n v="13"/>
        <n v="9"/>
        <n v="93"/>
        <n v="58"/>
        <n v="33"/>
        <n v="37"/>
        <n v="31"/>
        <n v="1"/>
        <n v="14"/>
        <n v="3"/>
        <n v="65"/>
        <n v="38"/>
        <n v="39"/>
        <n v="25"/>
        <n v="32"/>
        <n v="30"/>
        <n v="15"/>
        <n v="120"/>
        <n v="68"/>
        <n v="35"/>
        <n v="29"/>
        <n v="51"/>
        <n v="156"/>
        <n v="47"/>
        <n v="28"/>
        <n v="44"/>
        <n v="42"/>
        <n v="52"/>
        <n v="85"/>
        <n v="60"/>
        <n v="43"/>
        <n v="53"/>
        <n v="106"/>
        <n v="59"/>
      </sharedItems>
    </cacheField>
    <cacheField name="構成比（個人）" numFmtId="0" sqlType="3">
      <sharedItems containsSemiMixedTypes="0" containsString="0" containsNumber="1" minValue="0" maxValue="65.63" count="402">
        <n v="9.8000000000000007"/>
        <n v="5.39"/>
        <n v="4.68"/>
        <n v="4.57"/>
        <n v="2.96"/>
        <n v="4.17"/>
        <n v="3.78"/>
        <n v="3.22"/>
        <n v="2"/>
        <n v="0.25"/>
        <n v="2.4700000000000002"/>
        <n v="3"/>
        <n v="2.68"/>
        <n v="0.98"/>
        <n v="0.86"/>
        <n v="0.87"/>
        <n v="2.04"/>
        <n v="0.63"/>
        <n v="1.6"/>
        <n v="0.35"/>
        <n v="10.27"/>
        <n v="3.83"/>
        <n v="5.58"/>
        <n v="5.24"/>
        <n v="5.41"/>
        <n v="4.2"/>
        <n v="2.35"/>
        <n v="3.57"/>
        <n v="2.54"/>
        <n v="1.23"/>
        <n v="1.1100000000000001"/>
        <n v="2.09"/>
        <n v="1.02"/>
        <n v="2.2000000000000002"/>
        <n v="0.5"/>
        <n v="0.18"/>
        <n v="0.28000000000000003"/>
        <n v="0.53"/>
        <n v="1.51"/>
        <n v="9.69"/>
        <n v="6.77"/>
        <n v="5.7"/>
        <n v="5.13"/>
        <n v="4.5599999999999996"/>
        <n v="4.34"/>
        <n v="4.7"/>
        <n v="3.49"/>
        <n v="3.85"/>
        <n v="2.85"/>
        <n v="0.14000000000000001"/>
        <n v="1.57"/>
        <n v="0.43"/>
        <n v="1.5"/>
        <n v="1.71"/>
        <n v="1.92"/>
        <n v="1.1399999999999999"/>
        <n v="1.85"/>
        <n v="0.71"/>
        <n v="8.41"/>
        <n v="1.64"/>
        <n v="4.4400000000000004"/>
        <n v="5.37"/>
        <n v="2.34"/>
        <n v="4.67"/>
        <n v="3.97"/>
        <n v="4.21"/>
        <n v="3.74"/>
        <n v="1.4"/>
        <n v="0"/>
        <n v="2.57"/>
        <n v="0.93"/>
        <n v="0.47"/>
        <n v="1.87"/>
        <n v="1.17"/>
        <n v="6.08"/>
        <n v="5.52"/>
        <n v="4.97"/>
        <n v="4.42"/>
        <n v="2.76"/>
        <n v="3.59"/>
        <n v="1.93"/>
        <n v="1.66"/>
        <n v="0.55000000000000004"/>
        <n v="2.4900000000000002"/>
        <n v="3.04"/>
        <n v="1.1000000000000001"/>
        <n v="1.38"/>
        <n v="11.65"/>
        <n v="7.27"/>
        <n v="7.14"/>
        <n v="4.1399999999999997"/>
        <n v="4.6399999999999997"/>
        <n v="2.88"/>
        <n v="2.38"/>
        <n v="3.88"/>
        <n v="3.38"/>
        <n v="1"/>
        <n v="1.25"/>
        <n v="0.13"/>
        <n v="2.13"/>
        <n v="2.2599999999999998"/>
        <n v="1.75"/>
        <n v="0.38"/>
        <n v="8.07"/>
        <n v="4.0999999999999996"/>
        <n v="4.72"/>
        <n v="4.84"/>
        <n v="3.11"/>
        <n v="3.98"/>
        <n v="3.73"/>
        <n v="0.99"/>
        <n v="3.35"/>
        <n v="2.86"/>
        <n v="1.49"/>
        <n v="1.86"/>
        <n v="1.74"/>
        <n v="1.99"/>
        <n v="1.37"/>
        <n v="12.05"/>
        <n v="6.63"/>
        <n v="6.33"/>
        <n v="5.72"/>
        <n v="4.22"/>
        <n v="3.01"/>
        <n v="3.31"/>
        <n v="1.81"/>
        <n v="2.71"/>
        <n v="0.6"/>
        <n v="0.9"/>
        <n v="8.6"/>
        <n v="4.9800000000000004"/>
        <n v="6.79"/>
        <n v="5.88"/>
        <n v="1.36"/>
        <n v="4.5199999999999996"/>
        <n v="3.17"/>
        <n v="4.07"/>
        <n v="0.45"/>
        <n v="10.56"/>
        <n v="5.99"/>
        <n v="5.63"/>
        <n v="2.9"/>
        <n v="0.09"/>
        <n v="3.08"/>
        <n v="3.43"/>
        <n v="3.52"/>
        <n v="2.82"/>
        <n v="2.5499999999999998"/>
        <n v="0.97"/>
        <n v="1.06"/>
        <n v="0.44"/>
        <n v="2.02"/>
        <n v="1.32"/>
        <n v="10.08"/>
        <n v="4.7300000000000004"/>
        <n v="0.31"/>
        <n v="5.04"/>
        <n v="4.58"/>
        <n v="3.66"/>
        <n v="3.36"/>
        <n v="1.53"/>
        <n v="2.14"/>
        <n v="1.98"/>
        <n v="1.83"/>
        <n v="2.29"/>
        <n v="0.92"/>
        <n v="10.1"/>
        <n v="5.94"/>
        <n v="6.34"/>
        <n v="5.35"/>
        <n v="4.95"/>
        <n v="1.39"/>
        <n v="3.96"/>
        <n v="3.76"/>
        <n v="3.37"/>
        <n v="1.19"/>
        <n v="2.1800000000000002"/>
        <n v="0.4"/>
        <n v="12.17"/>
        <n v="7.25"/>
        <n v="3.82"/>
        <n v="4.76"/>
        <n v="0.39"/>
        <n v="3.67"/>
        <n v="0.94"/>
        <n v="3.28"/>
        <n v="10.9"/>
        <n v="4.1900000000000004"/>
        <n v="2.31"/>
        <n v="0.21"/>
        <n v="2.73"/>
        <n v="3.77"/>
        <n v="2.1"/>
        <n v="1.05"/>
        <n v="1.68"/>
        <n v="1.26"/>
        <n v="1.47"/>
        <n v="2.52"/>
        <n v="1.89"/>
        <n v="0.42"/>
        <n v="11.42"/>
        <n v="4.6500000000000004"/>
        <n v="4.0199999999999996"/>
        <n v="0.85"/>
        <n v="1.48"/>
        <n v="2.75"/>
        <n v="2.11"/>
        <n v="11.66"/>
        <n v="6.5"/>
        <n v="4.26"/>
        <n v="5.83"/>
        <n v="1.79"/>
        <n v="4.04"/>
        <n v="2.69"/>
        <n v="0.67"/>
        <n v="3.14"/>
        <n v="2.2400000000000002"/>
        <n v="10.43"/>
        <n v="9.33"/>
        <n v="6.59"/>
        <n v="3.95"/>
        <n v="2.41"/>
        <n v="1.54"/>
        <n v="1.21"/>
        <n v="2.63"/>
        <n v="1.65"/>
        <n v="0.22"/>
        <n v="1.43"/>
        <n v="8.1"/>
        <n v="4.74"/>
        <n v="5.81"/>
        <n v="5.05"/>
        <n v="4.13"/>
        <n v="3.21"/>
        <n v="0.76"/>
        <n v="0.15"/>
        <n v="1.07"/>
        <n v="12.54"/>
        <n v="8.36"/>
        <n v="4.18"/>
        <n v="5.07"/>
        <n v="4.4800000000000004"/>
        <n v="2.39"/>
        <n v="3.58"/>
        <n v="0.3"/>
        <n v="2.99"/>
        <n v="12.86"/>
        <n v="7.16"/>
        <n v="6.55"/>
        <n v="2.67"/>
        <n v="3.64"/>
        <n v="0.49"/>
        <n v="1.46"/>
        <n v="1.0900000000000001"/>
        <n v="3.03"/>
        <n v="2.4300000000000002"/>
        <n v="2.06"/>
        <n v="1.33"/>
        <n v="0.24"/>
        <n v="58.82"/>
        <n v="23.53"/>
        <n v="65.63"/>
        <n v="18.75"/>
        <n v="9.3800000000000008"/>
        <n v="3.13"/>
        <n v="7.99"/>
        <n v="6.62"/>
        <n v="3.65"/>
        <n v="3.2"/>
        <n v="2.5099999999999998"/>
        <n v="2.0499999999999998"/>
        <n v="2.97"/>
        <n v="2.74"/>
        <n v="0.68"/>
        <n v="2.2799999999999998"/>
        <n v="0.65"/>
        <n v="7.79"/>
        <n v="8.44"/>
        <n v="5.19"/>
        <n v="3.25"/>
        <n v="5.84"/>
        <n v="2.6"/>
        <n v="4.55"/>
        <n v="3.9"/>
        <n v="1.3"/>
        <n v="1.95"/>
        <n v="6.21"/>
        <n v="5.08"/>
        <n v="1.1299999999999999"/>
        <n v="3.39"/>
        <n v="1.69"/>
        <n v="0.56000000000000005"/>
        <n v="9.18"/>
        <n v="4.08"/>
        <n v="6.12"/>
        <n v="5.0999999999999996"/>
        <n v="0.51"/>
        <n v="9.85"/>
        <n v="8.33"/>
        <n v="6.82"/>
        <n v="2.27"/>
        <n v="5.3"/>
        <n v="1.52"/>
        <n v="9.09"/>
        <n v="7.44"/>
        <n v="6.61"/>
        <n v="4.96"/>
        <n v="2.48"/>
        <n v="6.06"/>
        <n v="3.79"/>
        <n v="14.46"/>
        <n v="6.83"/>
        <n v="1.2"/>
        <n v="6.02"/>
        <n v="5.22"/>
        <n v="3.61"/>
        <n v="2.81"/>
        <n v="1.61"/>
        <n v="2.0099999999999998"/>
        <n v="0.8"/>
        <n v="8.8800000000000008"/>
        <n v="6.51"/>
        <n v="1.78"/>
        <n v="2.37"/>
        <n v="3.55"/>
        <n v="10.74"/>
        <n v="7.38"/>
        <n v="6.71"/>
        <n v="4.03"/>
        <n v="1.34"/>
        <n v="14.41"/>
        <n v="7.21"/>
        <n v="5.46"/>
        <n v="4.59"/>
        <n v="4.1500000000000004"/>
        <n v="3.71"/>
        <n v="4.37"/>
        <n v="2.62"/>
        <n v="1.97"/>
        <n v="26.83"/>
        <n v="12.2"/>
        <n v="7.32"/>
        <n v="4.88"/>
        <n v="2.44"/>
        <n v="8.68"/>
        <n v="6.04"/>
        <n v="5.28"/>
        <n v="4.91"/>
        <n v="3.02"/>
        <n v="2.64"/>
        <n v="0.75"/>
        <n v="8.39"/>
        <n v="7.74"/>
        <n v="5.16"/>
        <n v="2.58"/>
        <n v="3.87"/>
        <n v="1.29"/>
        <n v="3.23"/>
        <n v="1.94"/>
        <n v="10.87"/>
        <n v="7.61"/>
        <n v="6.52"/>
        <n v="5.43"/>
        <n v="3.8"/>
        <n v="4.3499999999999996"/>
        <n v="2.72"/>
        <n v="3.26"/>
        <n v="0.54"/>
        <n v="1.63"/>
        <n v="2.17"/>
        <n v="7.81"/>
        <n v="7.5"/>
        <n v="2.5"/>
        <n v="3.44"/>
        <n v="4.38"/>
        <n v="4.0599999999999996"/>
        <n v="2.19"/>
        <n v="1.56"/>
        <n v="1.88"/>
        <n v="11.88"/>
        <n v="7.92"/>
        <n v="6.93"/>
        <n v="10.26"/>
        <n v="9.4"/>
        <n v="3.42"/>
        <n v="4.2699999999999996"/>
        <n v="2.56"/>
        <n v="10"/>
        <n v="6"/>
        <n v="4.5"/>
        <n v="3.5"/>
        <n v="8.7799999999999994"/>
        <n v="4.3899999999999997"/>
        <n v="3.41"/>
        <n v="9.44"/>
        <n v="7.22"/>
        <n v="5"/>
        <n v="3.33"/>
        <n v="3.89"/>
        <n v="2.78"/>
        <n v="2.2200000000000002"/>
        <n v="1.67"/>
      </sharedItems>
    </cacheField>
    <cacheField name="総数（法人）" numFmtId="0" sqlType="4">
      <sharedItems containsSemiMixedTypes="0" containsString="0" containsNumber="1" containsInteger="1" minValue="0" maxValue="823" count="71">
        <n v="145"/>
        <n v="37"/>
        <n v="119"/>
        <n v="62"/>
        <n v="381"/>
        <n v="97"/>
        <n v="184"/>
        <n v="301"/>
        <n v="575"/>
        <n v="823"/>
        <n v="299"/>
        <n v="155"/>
        <n v="136"/>
        <n v="403"/>
        <n v="402"/>
        <n v="404"/>
        <n v="132"/>
        <n v="453"/>
        <n v="176"/>
        <n v="456"/>
        <n v="72"/>
        <n v="371"/>
        <n v="63"/>
        <n v="52"/>
        <n v="44"/>
        <n v="26"/>
        <n v="98"/>
        <n v="164"/>
        <n v="66"/>
        <n v="117"/>
        <n v="189"/>
        <n v="193"/>
        <n v="111"/>
        <n v="171"/>
        <n v="197"/>
        <n v="154"/>
        <n v="83"/>
        <n v="10"/>
        <n v="1"/>
        <n v="2"/>
        <n v="7"/>
        <n v="12"/>
        <n v="14"/>
        <n v="6"/>
        <n v="16"/>
        <n v="40"/>
        <n v="19"/>
        <n v="34"/>
        <n v="18"/>
        <n v="20"/>
        <n v="27"/>
        <n v="21"/>
        <n v="0"/>
        <n v="24"/>
        <n v="4"/>
        <n v="13"/>
        <n v="3"/>
        <n v="11"/>
        <n v="8"/>
        <n v="5"/>
        <n v="9"/>
        <n v="22"/>
        <n v="17"/>
        <n v="15"/>
        <n v="23"/>
        <n v="33"/>
        <n v="28"/>
        <n v="31"/>
        <n v="29"/>
        <n v="32"/>
        <n v="30"/>
      </sharedItems>
    </cacheField>
    <cacheField name="構成比（法人）" numFmtId="0" sqlType="3">
      <sharedItems containsSemiMixedTypes="0" containsString="0" containsNumber="1" minValue="0" maxValue="50" count="272">
        <n v="0.8"/>
        <n v="0.2"/>
        <n v="0.65"/>
        <n v="0.34"/>
        <n v="2.09"/>
        <n v="0.53"/>
        <n v="1.01"/>
        <n v="1.66"/>
        <n v="3.16"/>
        <n v="4.53"/>
        <n v="1.64"/>
        <n v="0.85"/>
        <n v="0.75"/>
        <n v="2.2200000000000002"/>
        <n v="2.21"/>
        <n v="0.73"/>
        <n v="2.4900000000000002"/>
        <n v="0.97"/>
        <n v="2.5099999999999998"/>
        <n v="0.92"/>
        <n v="4.74"/>
        <n v="0.81"/>
        <n v="0.66"/>
        <n v="0.56000000000000005"/>
        <n v="0.33"/>
        <n v="1.25"/>
        <n v="2.1"/>
        <n v="0.84"/>
        <n v="1.5"/>
        <n v="2.42"/>
        <n v="2.4700000000000002"/>
        <n v="1.42"/>
        <n v="2.19"/>
        <n v="2.25"/>
        <n v="2.52"/>
        <n v="2.35"/>
        <n v="1.97"/>
        <n v="1.06"/>
        <n v="1.04"/>
        <n v="0.1"/>
        <n v="0.21"/>
        <n v="1.46"/>
        <n v="0.62"/>
        <n v="4.16"/>
        <n v="1.98"/>
        <n v="3.54"/>
        <n v="1.87"/>
        <n v="2.08"/>
        <n v="2.81"/>
        <n v="0"/>
        <n v="10.96"/>
        <n v="1.83"/>
        <n v="0.46"/>
        <n v="5.94"/>
        <n v="1.37"/>
        <n v="0.91"/>
        <n v="3.2"/>
        <n v="5.0199999999999996"/>
        <n v="2.74"/>
        <n v="3.65"/>
        <n v="0.52"/>
        <n v="2.6"/>
        <n v="7.29"/>
        <n v="3.13"/>
        <n v="4.6900000000000004"/>
        <n v="1.56"/>
        <n v="0.19"/>
        <n v="1.7"/>
        <n v="2.2599999999999998"/>
        <n v="0.56999999999999995"/>
        <n v="0.38"/>
        <n v="3.02"/>
        <n v="2.64"/>
        <n v="4.1500000000000004"/>
        <n v="3.4"/>
        <n v="1.51"/>
        <n v="2.4500000000000002"/>
        <n v="0.93"/>
        <n v="3.97"/>
        <n v="1.17"/>
        <n v="0.23"/>
        <n v="0.47"/>
        <n v="4.91"/>
        <n v="0.7"/>
        <n v="3.04"/>
        <n v="2.34"/>
        <n v="3.5"/>
        <n v="1.63"/>
        <n v="2.72"/>
        <n v="2.17"/>
        <n v="4.3499999999999996"/>
        <n v="6.52"/>
        <n v="1.0900000000000001"/>
        <n v="3.8"/>
        <n v="0.68"/>
        <n v="4.1100000000000003"/>
        <n v="8.9"/>
        <n v="6.85"/>
        <n v="6.16"/>
        <n v="2.0499999999999998"/>
        <n v="0.42"/>
        <n v="0.11"/>
        <n v="5.47"/>
        <n v="1.05"/>
        <n v="1.68"/>
        <n v="0.32"/>
        <n v="0.95"/>
        <n v="2.5299999999999998"/>
        <n v="2.11"/>
        <n v="2.84"/>
        <n v="2.86"/>
        <n v="8.81"/>
        <n v="0.24"/>
        <n v="0.48"/>
        <n v="1.19"/>
        <n v="3.1"/>
        <n v="1.67"/>
        <n v="1.9"/>
        <n v="0.71"/>
        <n v="3.33"/>
        <n v="2.14"/>
        <n v="0.35"/>
        <n v="9.5399999999999991"/>
        <n v="1.77"/>
        <n v="6.01"/>
        <n v="3.18"/>
        <n v="3.53"/>
        <n v="2.83"/>
        <n v="0.08"/>
        <n v="2.77"/>
        <n v="0.76"/>
        <n v="5.29"/>
        <n v="2.4300000000000002"/>
        <n v="2.68"/>
        <n v="0.17"/>
        <n v="2.0099999999999998"/>
        <n v="0.36"/>
        <n v="1.8"/>
        <n v="3.6"/>
        <n v="6.83"/>
        <n v="2.16"/>
        <n v="0.72"/>
        <n v="1.44"/>
        <n v="3.24"/>
        <n v="1.22"/>
        <n v="1.53"/>
        <n v="3.06"/>
        <n v="4.8899999999999997"/>
        <n v="5.5"/>
        <n v="0.31"/>
        <n v="0.61"/>
        <n v="3.98"/>
        <n v="3.36"/>
        <n v="2.15"/>
        <n v="4.5999999999999996"/>
        <n v="6.13"/>
        <n v="5.83"/>
        <n v="4.29"/>
        <n v="2.76"/>
        <n v="1.23"/>
        <n v="0.15"/>
        <n v="1.52"/>
        <n v="4.5599999999999996"/>
        <n v="1.82"/>
        <n v="3.34"/>
        <n v="2.13"/>
        <n v="11.8"/>
        <n v="4.0199999999999996"/>
        <n v="5.09"/>
        <n v="6.43"/>
        <n v="0.54"/>
        <n v="1.07"/>
        <n v="1.34"/>
        <n v="3.22"/>
        <n v="3.49"/>
        <n v="1.61"/>
        <n v="1.88"/>
        <n v="5.51"/>
        <n v="8.4700000000000006"/>
        <n v="2.54"/>
        <n v="3.39"/>
        <n v="2.97"/>
        <n v="3.81"/>
        <n v="1.69"/>
        <n v="1.95"/>
        <n v="0.14000000000000001"/>
        <n v="2.37"/>
        <n v="3.63"/>
        <n v="1.39"/>
        <n v="3.35"/>
        <n v="2.65"/>
        <n v="2.23"/>
        <n v="33.33"/>
        <n v="16.670000000000002"/>
        <n v="50"/>
        <n v="2.79"/>
        <n v="1.86"/>
        <n v="2.33"/>
        <n v="4.6500000000000004"/>
        <n v="1.4"/>
        <n v="5.12"/>
        <n v="3.26"/>
        <n v="12.62"/>
        <n v="1.94"/>
        <n v="3.88"/>
        <n v="2.91"/>
        <n v="4.8499999999999996"/>
        <n v="8.57"/>
        <n v="6.67"/>
        <n v="0.78"/>
        <n v="3.91"/>
        <n v="1.54"/>
        <n v="6.15"/>
        <n v="9.23"/>
        <n v="3.08"/>
        <n v="4.62"/>
        <n v="11.67"/>
        <n v="10"/>
        <n v="5"/>
        <n v="3.28"/>
        <n v="11.48"/>
        <n v="4.92"/>
        <n v="1.59"/>
        <n v="9.52"/>
        <n v="2.38"/>
        <n v="0.79"/>
        <n v="3.17"/>
        <n v="1.3"/>
        <n v="5.19"/>
        <n v="7.79"/>
        <n v="6.49"/>
        <n v="7.25"/>
        <n v="1.45"/>
        <n v="11.59"/>
        <n v="2.9"/>
        <n v="5.8"/>
        <n v="3.7"/>
        <n v="2.12"/>
        <n v="4.76"/>
        <n v="4.2300000000000004"/>
        <n v="30.77"/>
        <n v="7.69"/>
        <n v="15.38"/>
        <n v="12"/>
        <n v="4"/>
        <n v="8"/>
        <n v="4.21"/>
        <n v="6.32"/>
        <n v="5.26"/>
        <n v="9.09"/>
        <n v="17.14"/>
        <n v="1.43"/>
        <n v="5.71"/>
        <n v="1.47"/>
        <n v="13.97"/>
        <n v="4.41"/>
        <n v="0.74"/>
        <n v="2.94"/>
        <n v="14.81"/>
        <n v="6.17"/>
        <n v="30.43"/>
        <n v="8.6999999999999993"/>
        <n v="2.7"/>
        <n v="1.35"/>
        <n v="6.76"/>
        <n v="4.05"/>
        <n v="1.72"/>
        <n v="6.9"/>
        <n v="5.17"/>
        <n v="3.45"/>
        <n v="4.84"/>
        <n v="3.23"/>
      </sharedItems>
    </cacheField>
    <cacheField name="総数（法人以外の団体）" numFmtId="0" sqlType="4">
      <sharedItems containsSemiMixedTypes="0" containsString="0" containsNumber="1" containsInteger="1" minValue="0" maxValue="11" count="8">
        <n v="0"/>
        <n v="11"/>
        <n v="4"/>
        <n v="7"/>
        <n v="6"/>
        <n v="2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0">
  <r>
    <x v="0"/>
    <s v="鹿児島県"/>
    <x v="0"/>
    <x v="0"/>
    <n v="17"/>
    <n v="0.04"/>
    <n v="1"/>
    <n v="0"/>
    <n v="16"/>
    <n v="0.09"/>
    <x v="0"/>
  </r>
  <r>
    <x v="0"/>
    <s v="鹿児島県"/>
    <x v="0"/>
    <x v="1"/>
    <n v="4940"/>
    <n v="11.8"/>
    <n v="1341"/>
    <n v="5.82"/>
    <n v="3599"/>
    <n v="19.79"/>
    <x v="0"/>
  </r>
  <r>
    <x v="0"/>
    <s v="鹿児島県"/>
    <x v="0"/>
    <x v="2"/>
    <n v="3002"/>
    <n v="7.17"/>
    <n v="1232"/>
    <n v="5.35"/>
    <n v="1748"/>
    <n v="9.61"/>
    <x v="1"/>
  </r>
  <r>
    <x v="0"/>
    <s v="鹿児島県"/>
    <x v="0"/>
    <x v="3"/>
    <n v="177"/>
    <n v="0.42"/>
    <n v="3"/>
    <n v="0.01"/>
    <n v="160"/>
    <n v="0.88"/>
    <x v="0"/>
  </r>
  <r>
    <x v="0"/>
    <s v="鹿児島県"/>
    <x v="0"/>
    <x v="4"/>
    <n v="261"/>
    <n v="0.62"/>
    <n v="22"/>
    <n v="0.1"/>
    <n v="238"/>
    <n v="1.31"/>
    <x v="2"/>
  </r>
  <r>
    <x v="0"/>
    <s v="鹿児島県"/>
    <x v="0"/>
    <x v="5"/>
    <n v="515"/>
    <n v="1.23"/>
    <n v="171"/>
    <n v="0.74"/>
    <n v="334"/>
    <n v="1.84"/>
    <x v="3"/>
  </r>
  <r>
    <x v="0"/>
    <s v="鹿児島県"/>
    <x v="0"/>
    <x v="6"/>
    <n v="11433"/>
    <n v="27.3"/>
    <n v="5722"/>
    <n v="24.84"/>
    <n v="5636"/>
    <n v="30.99"/>
    <x v="4"/>
  </r>
  <r>
    <x v="0"/>
    <s v="鹿児島県"/>
    <x v="0"/>
    <x v="7"/>
    <n v="332"/>
    <n v="0.79"/>
    <n v="64"/>
    <n v="0.28000000000000003"/>
    <n v="268"/>
    <n v="1.47"/>
    <x v="0"/>
  </r>
  <r>
    <x v="0"/>
    <s v="鹿児島県"/>
    <x v="0"/>
    <x v="8"/>
    <n v="2575"/>
    <n v="6.15"/>
    <n v="884"/>
    <n v="3.84"/>
    <n v="1681"/>
    <n v="9.24"/>
    <x v="0"/>
  </r>
  <r>
    <x v="0"/>
    <s v="鹿児島県"/>
    <x v="0"/>
    <x v="9"/>
    <n v="2149"/>
    <n v="5.13"/>
    <n v="1184"/>
    <n v="5.14"/>
    <n v="945"/>
    <n v="5.2"/>
    <x v="5"/>
  </r>
  <r>
    <x v="0"/>
    <s v="鹿児島県"/>
    <x v="0"/>
    <x v="10"/>
    <n v="5631"/>
    <n v="13.44"/>
    <n v="4681"/>
    <n v="20.32"/>
    <n v="904"/>
    <n v="4.97"/>
    <x v="6"/>
  </r>
  <r>
    <x v="0"/>
    <s v="鹿児島県"/>
    <x v="0"/>
    <x v="11"/>
    <n v="5464"/>
    <n v="13.05"/>
    <n v="4555"/>
    <n v="19.78"/>
    <n v="869"/>
    <n v="4.78"/>
    <x v="7"/>
  </r>
  <r>
    <x v="0"/>
    <s v="鹿児島県"/>
    <x v="0"/>
    <x v="12"/>
    <n v="1432"/>
    <n v="3.42"/>
    <n v="949"/>
    <n v="4.12"/>
    <n v="252"/>
    <n v="1.39"/>
    <x v="8"/>
  </r>
  <r>
    <x v="0"/>
    <s v="鹿児島県"/>
    <x v="0"/>
    <x v="13"/>
    <n v="2167"/>
    <n v="5.17"/>
    <n v="1285"/>
    <n v="5.58"/>
    <n v="797"/>
    <n v="4.38"/>
    <x v="8"/>
  </r>
  <r>
    <x v="0"/>
    <s v="鹿児島県"/>
    <x v="0"/>
    <x v="14"/>
    <n v="1787"/>
    <n v="4.2699999999999996"/>
    <n v="939"/>
    <n v="4.08"/>
    <n v="740"/>
    <n v="4.07"/>
    <x v="9"/>
  </r>
  <r>
    <x v="0"/>
    <s v="鹿児島市"/>
    <x v="1"/>
    <x v="0"/>
    <n v="3"/>
    <n v="0.02"/>
    <n v="1"/>
    <n v="0.01"/>
    <n v="2"/>
    <n v="0.03"/>
    <x v="0"/>
  </r>
  <r>
    <x v="0"/>
    <s v="鹿児島市"/>
    <x v="1"/>
    <x v="1"/>
    <n v="1758"/>
    <n v="11.99"/>
    <n v="292"/>
    <n v="4.32"/>
    <n v="1466"/>
    <n v="18.739999999999998"/>
    <x v="0"/>
  </r>
  <r>
    <x v="0"/>
    <s v="鹿児島市"/>
    <x v="1"/>
    <x v="2"/>
    <n v="733"/>
    <n v="5"/>
    <n v="222"/>
    <n v="3.28"/>
    <n v="510"/>
    <n v="6.52"/>
    <x v="2"/>
  </r>
  <r>
    <x v="0"/>
    <s v="鹿児島市"/>
    <x v="1"/>
    <x v="3"/>
    <n v="32"/>
    <n v="0.22"/>
    <n v="1"/>
    <n v="0.01"/>
    <n v="31"/>
    <n v="0.4"/>
    <x v="0"/>
  </r>
  <r>
    <x v="0"/>
    <s v="鹿児島市"/>
    <x v="1"/>
    <x v="4"/>
    <n v="146"/>
    <n v="1"/>
    <n v="13"/>
    <n v="0.19"/>
    <n v="133"/>
    <n v="1.7"/>
    <x v="0"/>
  </r>
  <r>
    <x v="0"/>
    <s v="鹿児島市"/>
    <x v="1"/>
    <x v="5"/>
    <n v="212"/>
    <n v="1.45"/>
    <n v="96"/>
    <n v="1.42"/>
    <n v="114"/>
    <n v="1.46"/>
    <x v="0"/>
  </r>
  <r>
    <x v="0"/>
    <s v="鹿児島市"/>
    <x v="1"/>
    <x v="6"/>
    <n v="3721"/>
    <n v="25.38"/>
    <n v="1318"/>
    <n v="19.5"/>
    <n v="2371"/>
    <n v="30.31"/>
    <x v="10"/>
  </r>
  <r>
    <x v="0"/>
    <s v="鹿児島市"/>
    <x v="1"/>
    <x v="7"/>
    <n v="160"/>
    <n v="1.0900000000000001"/>
    <n v="22"/>
    <n v="0.33"/>
    <n v="138"/>
    <n v="1.76"/>
    <x v="0"/>
  </r>
  <r>
    <x v="0"/>
    <s v="鹿児島市"/>
    <x v="1"/>
    <x v="8"/>
    <n v="1502"/>
    <n v="10.24"/>
    <n v="483"/>
    <n v="7.14"/>
    <n v="1019"/>
    <n v="13.03"/>
    <x v="0"/>
  </r>
  <r>
    <x v="0"/>
    <s v="鹿児島市"/>
    <x v="1"/>
    <x v="9"/>
    <n v="1007"/>
    <n v="6.87"/>
    <n v="514"/>
    <n v="7.6"/>
    <n v="490"/>
    <n v="6.26"/>
    <x v="2"/>
  </r>
  <r>
    <x v="0"/>
    <s v="鹿児島市"/>
    <x v="1"/>
    <x v="10"/>
    <n v="1743"/>
    <n v="11.89"/>
    <n v="1347"/>
    <n v="19.93"/>
    <n v="388"/>
    <n v="4.96"/>
    <x v="0"/>
  </r>
  <r>
    <x v="0"/>
    <s v="鹿児島市"/>
    <x v="1"/>
    <x v="11"/>
    <n v="1713"/>
    <n v="11.68"/>
    <n v="1337"/>
    <n v="19.78"/>
    <n v="375"/>
    <n v="4.79"/>
    <x v="2"/>
  </r>
  <r>
    <x v="0"/>
    <s v="鹿児島市"/>
    <x v="1"/>
    <x v="12"/>
    <n v="494"/>
    <n v="3.37"/>
    <n v="361"/>
    <n v="5.34"/>
    <n v="126"/>
    <n v="1.61"/>
    <x v="11"/>
  </r>
  <r>
    <x v="0"/>
    <s v="鹿児島市"/>
    <x v="1"/>
    <x v="13"/>
    <n v="859"/>
    <n v="5.86"/>
    <n v="520"/>
    <n v="7.69"/>
    <n v="320"/>
    <n v="4.09"/>
    <x v="12"/>
  </r>
  <r>
    <x v="0"/>
    <s v="鹿児島市"/>
    <x v="1"/>
    <x v="14"/>
    <n v="579"/>
    <n v="3.95"/>
    <n v="233"/>
    <n v="3.45"/>
    <n v="340"/>
    <n v="4.3499999999999996"/>
    <x v="3"/>
  </r>
  <r>
    <x v="0"/>
    <s v="鹿屋市"/>
    <x v="2"/>
    <x v="0"/>
    <n v="3"/>
    <n v="0.12"/>
    <n v="0"/>
    <n v="0"/>
    <n v="3"/>
    <n v="0.31"/>
    <x v="0"/>
  </r>
  <r>
    <x v="0"/>
    <s v="鹿屋市"/>
    <x v="2"/>
    <x v="1"/>
    <n v="263"/>
    <n v="10.92"/>
    <n v="64"/>
    <n v="4.5599999999999996"/>
    <n v="199"/>
    <n v="20.71"/>
    <x v="0"/>
  </r>
  <r>
    <x v="0"/>
    <s v="鹿屋市"/>
    <x v="2"/>
    <x v="2"/>
    <n v="166"/>
    <n v="6.89"/>
    <n v="77"/>
    <n v="5.48"/>
    <n v="87"/>
    <n v="9.0500000000000007"/>
    <x v="5"/>
  </r>
  <r>
    <x v="0"/>
    <s v="鹿屋市"/>
    <x v="2"/>
    <x v="3"/>
    <n v="12"/>
    <n v="0.5"/>
    <n v="1"/>
    <n v="7.0000000000000007E-2"/>
    <n v="11"/>
    <n v="1.1399999999999999"/>
    <x v="0"/>
  </r>
  <r>
    <x v="0"/>
    <s v="鹿屋市"/>
    <x v="2"/>
    <x v="4"/>
    <n v="12"/>
    <n v="0.5"/>
    <n v="0"/>
    <n v="0"/>
    <n v="12"/>
    <n v="1.25"/>
    <x v="0"/>
  </r>
  <r>
    <x v="0"/>
    <s v="鹿屋市"/>
    <x v="2"/>
    <x v="5"/>
    <n v="17"/>
    <n v="0.71"/>
    <n v="4"/>
    <n v="0.28000000000000003"/>
    <n v="13"/>
    <n v="1.35"/>
    <x v="0"/>
  </r>
  <r>
    <x v="0"/>
    <s v="鹿屋市"/>
    <x v="2"/>
    <x v="6"/>
    <n v="669"/>
    <n v="27.78"/>
    <n v="358"/>
    <n v="25.5"/>
    <n v="308"/>
    <n v="32.049999999999997"/>
    <x v="6"/>
  </r>
  <r>
    <x v="0"/>
    <s v="鹿屋市"/>
    <x v="2"/>
    <x v="7"/>
    <n v="17"/>
    <n v="0.71"/>
    <n v="1"/>
    <n v="7.0000000000000007E-2"/>
    <n v="16"/>
    <n v="1.66"/>
    <x v="0"/>
  </r>
  <r>
    <x v="0"/>
    <s v="鹿屋市"/>
    <x v="2"/>
    <x v="8"/>
    <n v="95"/>
    <n v="3.95"/>
    <n v="30"/>
    <n v="2.14"/>
    <n v="64"/>
    <n v="6.66"/>
    <x v="0"/>
  </r>
  <r>
    <x v="0"/>
    <s v="鹿屋市"/>
    <x v="2"/>
    <x v="9"/>
    <n v="127"/>
    <n v="5.27"/>
    <n v="78"/>
    <n v="5.56"/>
    <n v="47"/>
    <n v="4.8899999999999997"/>
    <x v="2"/>
  </r>
  <r>
    <x v="0"/>
    <s v="鹿屋市"/>
    <x v="2"/>
    <x v="10"/>
    <n v="340"/>
    <n v="14.12"/>
    <n v="295"/>
    <n v="21.01"/>
    <n v="43"/>
    <n v="4.47"/>
    <x v="0"/>
  </r>
  <r>
    <x v="0"/>
    <s v="鹿屋市"/>
    <x v="2"/>
    <x v="11"/>
    <n v="358"/>
    <n v="14.87"/>
    <n v="297"/>
    <n v="21.15"/>
    <n v="56"/>
    <n v="5.83"/>
    <x v="3"/>
  </r>
  <r>
    <x v="0"/>
    <s v="鹿屋市"/>
    <x v="2"/>
    <x v="12"/>
    <n v="76"/>
    <n v="3.16"/>
    <n v="49"/>
    <n v="3.49"/>
    <n v="18"/>
    <n v="1.87"/>
    <x v="5"/>
  </r>
  <r>
    <x v="0"/>
    <s v="鹿屋市"/>
    <x v="2"/>
    <x v="13"/>
    <n v="115"/>
    <n v="4.78"/>
    <n v="71"/>
    <n v="5.0599999999999996"/>
    <n v="44"/>
    <n v="4.58"/>
    <x v="0"/>
  </r>
  <r>
    <x v="0"/>
    <s v="鹿屋市"/>
    <x v="2"/>
    <x v="14"/>
    <n v="138"/>
    <n v="5.73"/>
    <n v="79"/>
    <n v="5.63"/>
    <n v="40"/>
    <n v="4.16"/>
    <x v="13"/>
  </r>
  <r>
    <x v="0"/>
    <s v="枕崎市"/>
    <x v="3"/>
    <x v="0"/>
    <n v="2"/>
    <n v="0.3"/>
    <n v="0"/>
    <n v="0"/>
    <n v="2"/>
    <n v="0.91"/>
    <x v="0"/>
  </r>
  <r>
    <x v="0"/>
    <s v="枕崎市"/>
    <x v="3"/>
    <x v="1"/>
    <n v="44"/>
    <n v="6.62"/>
    <n v="23"/>
    <n v="5.37"/>
    <n v="21"/>
    <n v="9.59"/>
    <x v="0"/>
  </r>
  <r>
    <x v="0"/>
    <s v="枕崎市"/>
    <x v="3"/>
    <x v="2"/>
    <n v="90"/>
    <n v="13.53"/>
    <n v="29"/>
    <n v="6.78"/>
    <n v="61"/>
    <n v="27.85"/>
    <x v="0"/>
  </r>
  <r>
    <x v="0"/>
    <s v="枕崎市"/>
    <x v="3"/>
    <x v="3"/>
    <n v="13"/>
    <n v="1.95"/>
    <n v="0"/>
    <n v="0"/>
    <n v="12"/>
    <n v="5.48"/>
    <x v="0"/>
  </r>
  <r>
    <x v="0"/>
    <s v="枕崎市"/>
    <x v="3"/>
    <x v="4"/>
    <n v="4"/>
    <n v="0.6"/>
    <n v="1"/>
    <n v="0.23"/>
    <n v="3"/>
    <n v="1.37"/>
    <x v="0"/>
  </r>
  <r>
    <x v="0"/>
    <s v="枕崎市"/>
    <x v="3"/>
    <x v="5"/>
    <n v="9"/>
    <n v="1.35"/>
    <n v="1"/>
    <n v="0.23"/>
    <n v="7"/>
    <n v="3.2"/>
    <x v="2"/>
  </r>
  <r>
    <x v="0"/>
    <s v="枕崎市"/>
    <x v="3"/>
    <x v="6"/>
    <n v="201"/>
    <n v="30.23"/>
    <n v="136"/>
    <n v="31.78"/>
    <n v="63"/>
    <n v="28.77"/>
    <x v="5"/>
  </r>
  <r>
    <x v="0"/>
    <s v="枕崎市"/>
    <x v="3"/>
    <x v="7"/>
    <n v="7"/>
    <n v="1.05"/>
    <n v="5"/>
    <n v="1.17"/>
    <n v="2"/>
    <n v="0.91"/>
    <x v="0"/>
  </r>
  <r>
    <x v="0"/>
    <s v="枕崎市"/>
    <x v="3"/>
    <x v="8"/>
    <n v="13"/>
    <n v="1.95"/>
    <n v="6"/>
    <n v="1.4"/>
    <n v="7"/>
    <n v="3.2"/>
    <x v="0"/>
  </r>
  <r>
    <x v="0"/>
    <s v="枕崎市"/>
    <x v="3"/>
    <x v="9"/>
    <n v="21"/>
    <n v="3.16"/>
    <n v="19"/>
    <n v="4.4400000000000004"/>
    <n v="2"/>
    <n v="0.91"/>
    <x v="0"/>
  </r>
  <r>
    <x v="0"/>
    <s v="枕崎市"/>
    <x v="3"/>
    <x v="10"/>
    <n v="89"/>
    <n v="13.38"/>
    <n v="82"/>
    <n v="19.16"/>
    <n v="6"/>
    <n v="2.74"/>
    <x v="0"/>
  </r>
  <r>
    <x v="0"/>
    <s v="枕崎市"/>
    <x v="3"/>
    <x v="11"/>
    <n v="86"/>
    <n v="12.93"/>
    <n v="74"/>
    <n v="17.29"/>
    <n v="11"/>
    <n v="5.0199999999999996"/>
    <x v="0"/>
  </r>
  <r>
    <x v="0"/>
    <s v="枕崎市"/>
    <x v="3"/>
    <x v="12"/>
    <n v="21"/>
    <n v="3.16"/>
    <n v="10"/>
    <n v="2.34"/>
    <n v="4"/>
    <n v="1.83"/>
    <x v="5"/>
  </r>
  <r>
    <x v="0"/>
    <s v="枕崎市"/>
    <x v="3"/>
    <x v="13"/>
    <n v="37"/>
    <n v="5.56"/>
    <n v="22"/>
    <n v="5.14"/>
    <n v="13"/>
    <n v="5.94"/>
    <x v="0"/>
  </r>
  <r>
    <x v="0"/>
    <s v="枕崎市"/>
    <x v="3"/>
    <x v="14"/>
    <n v="28"/>
    <n v="4.21"/>
    <n v="20"/>
    <n v="4.67"/>
    <n v="5"/>
    <n v="2.2799999999999998"/>
    <x v="2"/>
  </r>
  <r>
    <x v="0"/>
    <s v="阿久根市"/>
    <x v="4"/>
    <x v="0"/>
    <n v="1"/>
    <n v="0.18"/>
    <n v="0"/>
    <n v="0"/>
    <n v="1"/>
    <n v="0.52"/>
    <x v="0"/>
  </r>
  <r>
    <x v="0"/>
    <s v="阿久根市"/>
    <x v="4"/>
    <x v="1"/>
    <n v="57"/>
    <n v="10.23"/>
    <n v="20"/>
    <n v="5.52"/>
    <n v="37"/>
    <n v="19.27"/>
    <x v="0"/>
  </r>
  <r>
    <x v="0"/>
    <s v="阿久根市"/>
    <x v="4"/>
    <x v="2"/>
    <n v="46"/>
    <n v="8.26"/>
    <n v="20"/>
    <n v="5.52"/>
    <n v="26"/>
    <n v="13.54"/>
    <x v="0"/>
  </r>
  <r>
    <x v="0"/>
    <s v="阿久根市"/>
    <x v="4"/>
    <x v="3"/>
    <n v="3"/>
    <n v="0.54"/>
    <n v="0"/>
    <n v="0"/>
    <n v="3"/>
    <n v="1.56"/>
    <x v="0"/>
  </r>
  <r>
    <x v="0"/>
    <s v="阿久根市"/>
    <x v="4"/>
    <x v="4"/>
    <n v="2"/>
    <n v="0.36"/>
    <n v="0"/>
    <n v="0"/>
    <n v="2"/>
    <n v="1.04"/>
    <x v="0"/>
  </r>
  <r>
    <x v="0"/>
    <s v="阿久根市"/>
    <x v="4"/>
    <x v="5"/>
    <n v="9"/>
    <n v="1.62"/>
    <n v="2"/>
    <n v="0.55000000000000004"/>
    <n v="7"/>
    <n v="3.65"/>
    <x v="0"/>
  </r>
  <r>
    <x v="0"/>
    <s v="阿久根市"/>
    <x v="4"/>
    <x v="6"/>
    <n v="177"/>
    <n v="31.78"/>
    <n v="118"/>
    <n v="32.6"/>
    <n v="59"/>
    <n v="30.73"/>
    <x v="0"/>
  </r>
  <r>
    <x v="0"/>
    <s v="阿久根市"/>
    <x v="4"/>
    <x v="7"/>
    <n v="2"/>
    <n v="0.36"/>
    <n v="0"/>
    <n v="0"/>
    <n v="2"/>
    <n v="1.04"/>
    <x v="0"/>
  </r>
  <r>
    <x v="0"/>
    <s v="阿久根市"/>
    <x v="4"/>
    <x v="8"/>
    <n v="24"/>
    <n v="4.3099999999999996"/>
    <n v="15"/>
    <n v="4.1399999999999997"/>
    <n v="9"/>
    <n v="4.6900000000000004"/>
    <x v="0"/>
  </r>
  <r>
    <x v="0"/>
    <s v="阿久根市"/>
    <x v="4"/>
    <x v="9"/>
    <n v="26"/>
    <n v="4.67"/>
    <n v="21"/>
    <n v="5.8"/>
    <n v="4"/>
    <n v="2.08"/>
    <x v="0"/>
  </r>
  <r>
    <x v="0"/>
    <s v="阿久根市"/>
    <x v="4"/>
    <x v="10"/>
    <n v="80"/>
    <n v="14.36"/>
    <n v="65"/>
    <n v="17.96"/>
    <n v="14"/>
    <n v="7.29"/>
    <x v="0"/>
  </r>
  <r>
    <x v="0"/>
    <s v="阿久根市"/>
    <x v="4"/>
    <x v="11"/>
    <n v="71"/>
    <n v="12.75"/>
    <n v="59"/>
    <n v="16.3"/>
    <n v="12"/>
    <n v="6.25"/>
    <x v="0"/>
  </r>
  <r>
    <x v="0"/>
    <s v="阿久根市"/>
    <x v="4"/>
    <x v="12"/>
    <n v="11"/>
    <n v="1.97"/>
    <n v="9"/>
    <n v="2.4900000000000002"/>
    <n v="1"/>
    <n v="0.52"/>
    <x v="0"/>
  </r>
  <r>
    <x v="0"/>
    <s v="阿久根市"/>
    <x v="4"/>
    <x v="13"/>
    <n v="27"/>
    <n v="4.8499999999999996"/>
    <n v="19"/>
    <n v="5.25"/>
    <n v="8"/>
    <n v="4.17"/>
    <x v="0"/>
  </r>
  <r>
    <x v="0"/>
    <s v="阿久根市"/>
    <x v="4"/>
    <x v="14"/>
    <n v="21"/>
    <n v="3.77"/>
    <n v="14"/>
    <n v="3.87"/>
    <n v="7"/>
    <n v="3.65"/>
    <x v="0"/>
  </r>
  <r>
    <x v="0"/>
    <s v="出水市"/>
    <x v="5"/>
    <x v="0"/>
    <n v="0"/>
    <n v="0"/>
    <n v="0"/>
    <n v="0"/>
    <n v="0"/>
    <n v="0"/>
    <x v="0"/>
  </r>
  <r>
    <x v="0"/>
    <s v="出水市"/>
    <x v="5"/>
    <x v="1"/>
    <n v="138"/>
    <n v="10.29"/>
    <n v="43"/>
    <n v="5.39"/>
    <n v="95"/>
    <n v="17.920000000000002"/>
    <x v="0"/>
  </r>
  <r>
    <x v="0"/>
    <s v="出水市"/>
    <x v="5"/>
    <x v="2"/>
    <n v="99"/>
    <n v="7.38"/>
    <n v="35"/>
    <n v="4.3899999999999997"/>
    <n v="64"/>
    <n v="12.08"/>
    <x v="0"/>
  </r>
  <r>
    <x v="0"/>
    <s v="出水市"/>
    <x v="5"/>
    <x v="3"/>
    <n v="9"/>
    <n v="0.67"/>
    <n v="0"/>
    <n v="0"/>
    <n v="9"/>
    <n v="1.7"/>
    <x v="0"/>
  </r>
  <r>
    <x v="0"/>
    <s v="出水市"/>
    <x v="5"/>
    <x v="4"/>
    <n v="6"/>
    <n v="0.45"/>
    <n v="1"/>
    <n v="0.13"/>
    <n v="5"/>
    <n v="0.94"/>
    <x v="0"/>
  </r>
  <r>
    <x v="0"/>
    <s v="出水市"/>
    <x v="5"/>
    <x v="5"/>
    <n v="14"/>
    <n v="1.04"/>
    <n v="3"/>
    <n v="0.38"/>
    <n v="10"/>
    <n v="1.89"/>
    <x v="2"/>
  </r>
  <r>
    <x v="0"/>
    <s v="出水市"/>
    <x v="5"/>
    <x v="6"/>
    <n v="345"/>
    <n v="25.73"/>
    <n v="172"/>
    <n v="21.55"/>
    <n v="169"/>
    <n v="31.89"/>
    <x v="14"/>
  </r>
  <r>
    <x v="0"/>
    <s v="出水市"/>
    <x v="5"/>
    <x v="7"/>
    <n v="12"/>
    <n v="0.89"/>
    <n v="0"/>
    <n v="0"/>
    <n v="12"/>
    <n v="2.2599999999999998"/>
    <x v="0"/>
  </r>
  <r>
    <x v="0"/>
    <s v="出水市"/>
    <x v="5"/>
    <x v="8"/>
    <n v="69"/>
    <n v="5.15"/>
    <n v="25"/>
    <n v="3.13"/>
    <n v="44"/>
    <n v="8.3000000000000007"/>
    <x v="0"/>
  </r>
  <r>
    <x v="0"/>
    <s v="出水市"/>
    <x v="5"/>
    <x v="9"/>
    <n v="61"/>
    <n v="4.55"/>
    <n v="44"/>
    <n v="5.51"/>
    <n v="17"/>
    <n v="3.21"/>
    <x v="0"/>
  </r>
  <r>
    <x v="0"/>
    <s v="出水市"/>
    <x v="5"/>
    <x v="10"/>
    <n v="196"/>
    <n v="14.62"/>
    <n v="167"/>
    <n v="20.93"/>
    <n v="26"/>
    <n v="4.91"/>
    <x v="0"/>
  </r>
  <r>
    <x v="0"/>
    <s v="出水市"/>
    <x v="5"/>
    <x v="11"/>
    <n v="191"/>
    <n v="14.24"/>
    <n v="166"/>
    <n v="20.8"/>
    <n v="24"/>
    <n v="4.53"/>
    <x v="0"/>
  </r>
  <r>
    <x v="0"/>
    <s v="出水市"/>
    <x v="5"/>
    <x v="12"/>
    <n v="48"/>
    <n v="3.58"/>
    <n v="38"/>
    <n v="4.76"/>
    <n v="9"/>
    <n v="1.7"/>
    <x v="0"/>
  </r>
  <r>
    <x v="0"/>
    <s v="出水市"/>
    <x v="5"/>
    <x v="13"/>
    <n v="96"/>
    <n v="7.16"/>
    <n v="66"/>
    <n v="8.27"/>
    <n v="30"/>
    <n v="5.66"/>
    <x v="0"/>
  </r>
  <r>
    <x v="0"/>
    <s v="出水市"/>
    <x v="5"/>
    <x v="14"/>
    <n v="57"/>
    <n v="4.25"/>
    <n v="38"/>
    <n v="4.76"/>
    <n v="16"/>
    <n v="3.02"/>
    <x v="0"/>
  </r>
  <r>
    <x v="0"/>
    <s v="指宿市"/>
    <x v="6"/>
    <x v="0"/>
    <n v="0"/>
    <n v="0"/>
    <n v="0"/>
    <n v="0"/>
    <n v="0"/>
    <n v="0"/>
    <x v="0"/>
  </r>
  <r>
    <x v="0"/>
    <s v="指宿市"/>
    <x v="6"/>
    <x v="1"/>
    <n v="154"/>
    <n v="12.39"/>
    <n v="74"/>
    <n v="9.19"/>
    <n v="80"/>
    <n v="18.690000000000001"/>
    <x v="0"/>
  </r>
  <r>
    <x v="0"/>
    <s v="指宿市"/>
    <x v="6"/>
    <x v="2"/>
    <n v="94"/>
    <n v="7.56"/>
    <n v="45"/>
    <n v="5.59"/>
    <n v="49"/>
    <n v="11.45"/>
    <x v="0"/>
  </r>
  <r>
    <x v="0"/>
    <s v="指宿市"/>
    <x v="6"/>
    <x v="3"/>
    <n v="7"/>
    <n v="0.56000000000000005"/>
    <n v="0"/>
    <n v="0"/>
    <n v="7"/>
    <n v="1.64"/>
    <x v="0"/>
  </r>
  <r>
    <x v="0"/>
    <s v="指宿市"/>
    <x v="6"/>
    <x v="4"/>
    <n v="3"/>
    <n v="0.24"/>
    <n v="0"/>
    <n v="0"/>
    <n v="3"/>
    <n v="0.7"/>
    <x v="0"/>
  </r>
  <r>
    <x v="0"/>
    <s v="指宿市"/>
    <x v="6"/>
    <x v="5"/>
    <n v="18"/>
    <n v="1.45"/>
    <n v="8"/>
    <n v="0.99"/>
    <n v="10"/>
    <n v="2.34"/>
    <x v="0"/>
  </r>
  <r>
    <x v="0"/>
    <s v="指宿市"/>
    <x v="6"/>
    <x v="6"/>
    <n v="373"/>
    <n v="30.01"/>
    <n v="220"/>
    <n v="27.33"/>
    <n v="152"/>
    <n v="35.51"/>
    <x v="2"/>
  </r>
  <r>
    <x v="0"/>
    <s v="指宿市"/>
    <x v="6"/>
    <x v="7"/>
    <n v="10"/>
    <n v="0.8"/>
    <n v="4"/>
    <n v="0.5"/>
    <n v="6"/>
    <n v="1.4"/>
    <x v="0"/>
  </r>
  <r>
    <x v="0"/>
    <s v="指宿市"/>
    <x v="6"/>
    <x v="8"/>
    <n v="41"/>
    <n v="3.3"/>
    <n v="21"/>
    <n v="2.61"/>
    <n v="20"/>
    <n v="4.67"/>
    <x v="0"/>
  </r>
  <r>
    <x v="0"/>
    <s v="指宿市"/>
    <x v="6"/>
    <x v="9"/>
    <n v="47"/>
    <n v="3.78"/>
    <n v="31"/>
    <n v="3.85"/>
    <n v="15"/>
    <n v="3.5"/>
    <x v="0"/>
  </r>
  <r>
    <x v="0"/>
    <s v="指宿市"/>
    <x v="6"/>
    <x v="10"/>
    <n v="174"/>
    <n v="14"/>
    <n v="146"/>
    <n v="18.14"/>
    <n v="26"/>
    <n v="6.07"/>
    <x v="0"/>
  </r>
  <r>
    <x v="0"/>
    <s v="指宿市"/>
    <x v="6"/>
    <x v="11"/>
    <n v="168"/>
    <n v="13.52"/>
    <n v="141"/>
    <n v="17.52"/>
    <n v="25"/>
    <n v="5.84"/>
    <x v="5"/>
  </r>
  <r>
    <x v="0"/>
    <s v="指宿市"/>
    <x v="6"/>
    <x v="12"/>
    <n v="42"/>
    <n v="3.38"/>
    <n v="37"/>
    <n v="4.5999999999999996"/>
    <n v="4"/>
    <n v="0.93"/>
    <x v="2"/>
  </r>
  <r>
    <x v="0"/>
    <s v="指宿市"/>
    <x v="6"/>
    <x v="13"/>
    <n v="51"/>
    <n v="4.0999999999999996"/>
    <n v="37"/>
    <n v="4.5999999999999996"/>
    <n v="14"/>
    <n v="3.27"/>
    <x v="0"/>
  </r>
  <r>
    <x v="0"/>
    <s v="指宿市"/>
    <x v="6"/>
    <x v="14"/>
    <n v="61"/>
    <n v="4.91"/>
    <n v="41"/>
    <n v="5.09"/>
    <n v="17"/>
    <n v="3.97"/>
    <x v="5"/>
  </r>
  <r>
    <x v="0"/>
    <s v="西之表市"/>
    <x v="7"/>
    <x v="0"/>
    <n v="0"/>
    <n v="0"/>
    <n v="0"/>
    <n v="0"/>
    <n v="0"/>
    <n v="0"/>
    <x v="0"/>
  </r>
  <r>
    <x v="0"/>
    <s v="西之表市"/>
    <x v="7"/>
    <x v="1"/>
    <n v="49"/>
    <n v="9.39"/>
    <n v="15"/>
    <n v="4.5199999999999996"/>
    <n v="34"/>
    <n v="18.48"/>
    <x v="0"/>
  </r>
  <r>
    <x v="0"/>
    <s v="西之表市"/>
    <x v="7"/>
    <x v="2"/>
    <n v="40"/>
    <n v="7.66"/>
    <n v="24"/>
    <n v="7.23"/>
    <n v="16"/>
    <n v="8.6999999999999993"/>
    <x v="0"/>
  </r>
  <r>
    <x v="0"/>
    <s v="西之表市"/>
    <x v="7"/>
    <x v="3"/>
    <n v="2"/>
    <n v="0.38"/>
    <n v="0"/>
    <n v="0"/>
    <n v="1"/>
    <n v="0.54"/>
    <x v="0"/>
  </r>
  <r>
    <x v="0"/>
    <s v="西之表市"/>
    <x v="7"/>
    <x v="4"/>
    <n v="2"/>
    <n v="0.38"/>
    <n v="0"/>
    <n v="0"/>
    <n v="1"/>
    <n v="0.54"/>
    <x v="2"/>
  </r>
  <r>
    <x v="0"/>
    <s v="西之表市"/>
    <x v="7"/>
    <x v="5"/>
    <n v="3"/>
    <n v="0.56999999999999995"/>
    <n v="1"/>
    <n v="0.3"/>
    <n v="2"/>
    <n v="1.0900000000000001"/>
    <x v="0"/>
  </r>
  <r>
    <x v="0"/>
    <s v="西之表市"/>
    <x v="7"/>
    <x v="6"/>
    <n v="160"/>
    <n v="30.65"/>
    <n v="94"/>
    <n v="28.31"/>
    <n v="66"/>
    <n v="35.869999999999997"/>
    <x v="0"/>
  </r>
  <r>
    <x v="0"/>
    <s v="西之表市"/>
    <x v="7"/>
    <x v="7"/>
    <n v="3"/>
    <n v="0.56999999999999995"/>
    <n v="1"/>
    <n v="0.3"/>
    <n v="2"/>
    <n v="1.0900000000000001"/>
    <x v="0"/>
  </r>
  <r>
    <x v="0"/>
    <s v="西之表市"/>
    <x v="7"/>
    <x v="8"/>
    <n v="22"/>
    <n v="4.21"/>
    <n v="10"/>
    <n v="3.01"/>
    <n v="12"/>
    <n v="6.52"/>
    <x v="0"/>
  </r>
  <r>
    <x v="0"/>
    <s v="西之表市"/>
    <x v="7"/>
    <x v="9"/>
    <n v="25"/>
    <n v="4.79"/>
    <n v="12"/>
    <n v="3.61"/>
    <n v="13"/>
    <n v="7.07"/>
    <x v="0"/>
  </r>
  <r>
    <x v="0"/>
    <s v="西之表市"/>
    <x v="7"/>
    <x v="10"/>
    <n v="91"/>
    <n v="17.43"/>
    <n v="81"/>
    <n v="24.4"/>
    <n v="10"/>
    <n v="5.43"/>
    <x v="0"/>
  </r>
  <r>
    <x v="0"/>
    <s v="西之表市"/>
    <x v="7"/>
    <x v="11"/>
    <n v="67"/>
    <n v="12.84"/>
    <n v="62"/>
    <n v="18.670000000000002"/>
    <n v="5"/>
    <n v="2.72"/>
    <x v="0"/>
  </r>
  <r>
    <x v="0"/>
    <s v="西之表市"/>
    <x v="7"/>
    <x v="12"/>
    <n v="9"/>
    <n v="1.72"/>
    <n v="6"/>
    <n v="1.81"/>
    <n v="3"/>
    <n v="1.63"/>
    <x v="0"/>
  </r>
  <r>
    <x v="0"/>
    <s v="西之表市"/>
    <x v="7"/>
    <x v="13"/>
    <n v="26"/>
    <n v="4.9800000000000004"/>
    <n v="12"/>
    <n v="3.61"/>
    <n v="13"/>
    <n v="7.07"/>
    <x v="0"/>
  </r>
  <r>
    <x v="0"/>
    <s v="西之表市"/>
    <x v="7"/>
    <x v="14"/>
    <n v="23"/>
    <n v="4.41"/>
    <n v="14"/>
    <n v="4.22"/>
    <n v="6"/>
    <n v="3.26"/>
    <x v="2"/>
  </r>
  <r>
    <x v="0"/>
    <s v="垂水市"/>
    <x v="8"/>
    <x v="0"/>
    <n v="0"/>
    <n v="0"/>
    <n v="0"/>
    <n v="0"/>
    <n v="0"/>
    <n v="0"/>
    <x v="0"/>
  </r>
  <r>
    <x v="0"/>
    <s v="垂水市"/>
    <x v="8"/>
    <x v="1"/>
    <n v="42"/>
    <n v="10.97"/>
    <n v="13"/>
    <n v="5.88"/>
    <n v="29"/>
    <n v="19.86"/>
    <x v="0"/>
  </r>
  <r>
    <x v="0"/>
    <s v="垂水市"/>
    <x v="8"/>
    <x v="2"/>
    <n v="40"/>
    <n v="10.44"/>
    <n v="16"/>
    <n v="7.24"/>
    <n v="23"/>
    <n v="15.75"/>
    <x v="0"/>
  </r>
  <r>
    <x v="0"/>
    <s v="垂水市"/>
    <x v="8"/>
    <x v="3"/>
    <n v="1"/>
    <n v="0.26"/>
    <n v="0"/>
    <n v="0"/>
    <n v="0"/>
    <n v="0"/>
    <x v="0"/>
  </r>
  <r>
    <x v="0"/>
    <s v="垂水市"/>
    <x v="8"/>
    <x v="4"/>
    <n v="3"/>
    <n v="0.78"/>
    <n v="0"/>
    <n v="0"/>
    <n v="3"/>
    <n v="2.0499999999999998"/>
    <x v="0"/>
  </r>
  <r>
    <x v="0"/>
    <s v="垂水市"/>
    <x v="8"/>
    <x v="5"/>
    <n v="4"/>
    <n v="1.04"/>
    <n v="1"/>
    <n v="0.45"/>
    <n v="3"/>
    <n v="2.0499999999999998"/>
    <x v="0"/>
  </r>
  <r>
    <x v="0"/>
    <s v="垂水市"/>
    <x v="8"/>
    <x v="6"/>
    <n v="132"/>
    <n v="34.46"/>
    <n v="82"/>
    <n v="37.1"/>
    <n v="50"/>
    <n v="34.25"/>
    <x v="0"/>
  </r>
  <r>
    <x v="0"/>
    <s v="垂水市"/>
    <x v="8"/>
    <x v="7"/>
    <n v="6"/>
    <n v="1.57"/>
    <n v="3"/>
    <n v="1.36"/>
    <n v="3"/>
    <n v="2.0499999999999998"/>
    <x v="0"/>
  </r>
  <r>
    <x v="0"/>
    <s v="垂水市"/>
    <x v="8"/>
    <x v="8"/>
    <n v="7"/>
    <n v="1.83"/>
    <n v="2"/>
    <n v="0.9"/>
    <n v="5"/>
    <n v="3.42"/>
    <x v="0"/>
  </r>
  <r>
    <x v="0"/>
    <s v="垂水市"/>
    <x v="8"/>
    <x v="9"/>
    <n v="4"/>
    <n v="1.04"/>
    <n v="3"/>
    <n v="1.36"/>
    <n v="1"/>
    <n v="0.68"/>
    <x v="0"/>
  </r>
  <r>
    <x v="0"/>
    <s v="垂水市"/>
    <x v="8"/>
    <x v="10"/>
    <n v="42"/>
    <n v="10.97"/>
    <n v="31"/>
    <n v="14.03"/>
    <n v="11"/>
    <n v="7.53"/>
    <x v="0"/>
  </r>
  <r>
    <x v="0"/>
    <s v="垂水市"/>
    <x v="8"/>
    <x v="11"/>
    <n v="50"/>
    <n v="13.05"/>
    <n v="42"/>
    <n v="19"/>
    <n v="7"/>
    <n v="4.79"/>
    <x v="0"/>
  </r>
  <r>
    <x v="0"/>
    <s v="垂水市"/>
    <x v="8"/>
    <x v="12"/>
    <n v="17"/>
    <n v="4.4400000000000004"/>
    <n v="7"/>
    <n v="3.17"/>
    <n v="0"/>
    <n v="0"/>
    <x v="0"/>
  </r>
  <r>
    <x v="0"/>
    <s v="垂水市"/>
    <x v="8"/>
    <x v="13"/>
    <n v="21"/>
    <n v="5.48"/>
    <n v="12"/>
    <n v="5.43"/>
    <n v="9"/>
    <n v="6.16"/>
    <x v="0"/>
  </r>
  <r>
    <x v="0"/>
    <s v="垂水市"/>
    <x v="8"/>
    <x v="14"/>
    <n v="14"/>
    <n v="3.66"/>
    <n v="9"/>
    <n v="4.07"/>
    <n v="2"/>
    <n v="1.37"/>
    <x v="2"/>
  </r>
  <r>
    <x v="0"/>
    <s v="薩摩川内市"/>
    <x v="9"/>
    <x v="0"/>
    <n v="0"/>
    <n v="0"/>
    <n v="0"/>
    <n v="0"/>
    <n v="0"/>
    <n v="0"/>
    <x v="0"/>
  </r>
  <r>
    <x v="0"/>
    <s v="薩摩川内市"/>
    <x v="9"/>
    <x v="1"/>
    <n v="285"/>
    <n v="13.46"/>
    <n v="72"/>
    <n v="6.34"/>
    <n v="213"/>
    <n v="22.42"/>
    <x v="0"/>
  </r>
  <r>
    <x v="0"/>
    <s v="薩摩川内市"/>
    <x v="9"/>
    <x v="2"/>
    <n v="140"/>
    <n v="6.61"/>
    <n v="38"/>
    <n v="3.35"/>
    <n v="102"/>
    <n v="10.74"/>
    <x v="0"/>
  </r>
  <r>
    <x v="0"/>
    <s v="薩摩川内市"/>
    <x v="9"/>
    <x v="3"/>
    <n v="13"/>
    <n v="0.61"/>
    <n v="0"/>
    <n v="0"/>
    <n v="13"/>
    <n v="1.37"/>
    <x v="0"/>
  </r>
  <r>
    <x v="0"/>
    <s v="薩摩川内市"/>
    <x v="9"/>
    <x v="4"/>
    <n v="9"/>
    <n v="0.43"/>
    <n v="0"/>
    <n v="0"/>
    <n v="9"/>
    <n v="0.95"/>
    <x v="0"/>
  </r>
  <r>
    <x v="0"/>
    <s v="薩摩川内市"/>
    <x v="9"/>
    <x v="5"/>
    <n v="31"/>
    <n v="1.46"/>
    <n v="6"/>
    <n v="0.53"/>
    <n v="25"/>
    <n v="2.63"/>
    <x v="0"/>
  </r>
  <r>
    <x v="0"/>
    <s v="薩摩川内市"/>
    <x v="9"/>
    <x v="6"/>
    <n v="588"/>
    <n v="27.78"/>
    <n v="285"/>
    <n v="25.09"/>
    <n v="301"/>
    <n v="31.68"/>
    <x v="5"/>
  </r>
  <r>
    <x v="0"/>
    <s v="薩摩川内市"/>
    <x v="9"/>
    <x v="7"/>
    <n v="15"/>
    <n v="0.71"/>
    <n v="3"/>
    <n v="0.26"/>
    <n v="12"/>
    <n v="1.26"/>
    <x v="0"/>
  </r>
  <r>
    <x v="0"/>
    <s v="薩摩川内市"/>
    <x v="9"/>
    <x v="8"/>
    <n v="94"/>
    <n v="4.4400000000000004"/>
    <n v="30"/>
    <n v="2.64"/>
    <n v="64"/>
    <n v="6.74"/>
    <x v="0"/>
  </r>
  <r>
    <x v="0"/>
    <s v="薩摩川内市"/>
    <x v="9"/>
    <x v="9"/>
    <n v="82"/>
    <n v="3.87"/>
    <n v="51"/>
    <n v="4.49"/>
    <n v="30"/>
    <n v="3.16"/>
    <x v="0"/>
  </r>
  <r>
    <x v="0"/>
    <s v="薩摩川内市"/>
    <x v="9"/>
    <x v="10"/>
    <n v="322"/>
    <n v="15.21"/>
    <n v="264"/>
    <n v="23.24"/>
    <n v="49"/>
    <n v="5.16"/>
    <x v="2"/>
  </r>
  <r>
    <x v="0"/>
    <s v="薩摩川内市"/>
    <x v="9"/>
    <x v="11"/>
    <n v="292"/>
    <n v="13.79"/>
    <n v="251"/>
    <n v="22.1"/>
    <n v="41"/>
    <n v="4.32"/>
    <x v="0"/>
  </r>
  <r>
    <x v="0"/>
    <s v="薩摩川内市"/>
    <x v="9"/>
    <x v="12"/>
    <n v="61"/>
    <n v="2.88"/>
    <n v="45"/>
    <n v="3.96"/>
    <n v="9"/>
    <n v="0.95"/>
    <x v="0"/>
  </r>
  <r>
    <x v="0"/>
    <s v="薩摩川内市"/>
    <x v="9"/>
    <x v="13"/>
    <n v="94"/>
    <n v="4.4400000000000004"/>
    <n v="52"/>
    <n v="4.58"/>
    <n v="39"/>
    <n v="4.1100000000000003"/>
    <x v="2"/>
  </r>
  <r>
    <x v="0"/>
    <s v="薩摩川内市"/>
    <x v="9"/>
    <x v="14"/>
    <n v="91"/>
    <n v="4.3"/>
    <n v="39"/>
    <n v="3.43"/>
    <n v="43"/>
    <n v="4.53"/>
    <x v="5"/>
  </r>
  <r>
    <x v="0"/>
    <s v="日置市"/>
    <x v="10"/>
    <x v="0"/>
    <n v="0"/>
    <n v="0"/>
    <n v="0"/>
    <n v="0"/>
    <n v="0"/>
    <n v="0"/>
    <x v="0"/>
  </r>
  <r>
    <x v="0"/>
    <s v="日置市"/>
    <x v="10"/>
    <x v="1"/>
    <n v="167"/>
    <n v="14.98"/>
    <n v="58"/>
    <n v="8.85"/>
    <n v="109"/>
    <n v="25.95"/>
    <x v="0"/>
  </r>
  <r>
    <x v="0"/>
    <s v="日置市"/>
    <x v="10"/>
    <x v="2"/>
    <n v="98"/>
    <n v="8.7899999999999991"/>
    <n v="42"/>
    <n v="6.41"/>
    <n v="56"/>
    <n v="13.33"/>
    <x v="0"/>
  </r>
  <r>
    <x v="0"/>
    <s v="日置市"/>
    <x v="10"/>
    <x v="3"/>
    <n v="8"/>
    <n v="0.72"/>
    <n v="0"/>
    <n v="0"/>
    <n v="5"/>
    <n v="1.19"/>
    <x v="0"/>
  </r>
  <r>
    <x v="0"/>
    <s v="日置市"/>
    <x v="10"/>
    <x v="4"/>
    <n v="2"/>
    <n v="0.18"/>
    <n v="0"/>
    <n v="0"/>
    <n v="2"/>
    <n v="0.48"/>
    <x v="0"/>
  </r>
  <r>
    <x v="0"/>
    <s v="日置市"/>
    <x v="10"/>
    <x v="5"/>
    <n v="9"/>
    <n v="0.81"/>
    <n v="4"/>
    <n v="0.61"/>
    <n v="5"/>
    <n v="1.19"/>
    <x v="0"/>
  </r>
  <r>
    <x v="0"/>
    <s v="日置市"/>
    <x v="10"/>
    <x v="6"/>
    <n v="294"/>
    <n v="26.37"/>
    <n v="180"/>
    <n v="27.48"/>
    <n v="112"/>
    <n v="26.67"/>
    <x v="5"/>
  </r>
  <r>
    <x v="0"/>
    <s v="日置市"/>
    <x v="10"/>
    <x v="7"/>
    <n v="3"/>
    <n v="0.27"/>
    <n v="0"/>
    <n v="0"/>
    <n v="3"/>
    <n v="0.71"/>
    <x v="0"/>
  </r>
  <r>
    <x v="0"/>
    <s v="日置市"/>
    <x v="10"/>
    <x v="8"/>
    <n v="37"/>
    <n v="3.32"/>
    <n v="14"/>
    <n v="2.14"/>
    <n v="23"/>
    <n v="5.48"/>
    <x v="0"/>
  </r>
  <r>
    <x v="0"/>
    <s v="日置市"/>
    <x v="10"/>
    <x v="9"/>
    <n v="52"/>
    <n v="4.66"/>
    <n v="28"/>
    <n v="4.2699999999999996"/>
    <n v="24"/>
    <n v="5.71"/>
    <x v="0"/>
  </r>
  <r>
    <x v="0"/>
    <s v="日置市"/>
    <x v="10"/>
    <x v="10"/>
    <n v="123"/>
    <n v="11.03"/>
    <n v="99"/>
    <n v="15.11"/>
    <n v="24"/>
    <n v="5.71"/>
    <x v="0"/>
  </r>
  <r>
    <x v="0"/>
    <s v="日置市"/>
    <x v="10"/>
    <x v="11"/>
    <n v="156"/>
    <n v="13.99"/>
    <n v="129"/>
    <n v="19.690000000000001"/>
    <n v="23"/>
    <n v="5.48"/>
    <x v="0"/>
  </r>
  <r>
    <x v="0"/>
    <s v="日置市"/>
    <x v="10"/>
    <x v="12"/>
    <n v="67"/>
    <n v="6.01"/>
    <n v="41"/>
    <n v="6.26"/>
    <n v="4"/>
    <n v="0.95"/>
    <x v="0"/>
  </r>
  <r>
    <x v="0"/>
    <s v="日置市"/>
    <x v="10"/>
    <x v="13"/>
    <n v="57"/>
    <n v="5.1100000000000003"/>
    <n v="37"/>
    <n v="5.65"/>
    <n v="15"/>
    <n v="3.57"/>
    <x v="0"/>
  </r>
  <r>
    <x v="0"/>
    <s v="日置市"/>
    <x v="10"/>
    <x v="14"/>
    <n v="42"/>
    <n v="3.77"/>
    <n v="23"/>
    <n v="3.51"/>
    <n v="15"/>
    <n v="3.57"/>
    <x v="2"/>
  </r>
  <r>
    <x v="0"/>
    <s v="曽於市"/>
    <x v="11"/>
    <x v="0"/>
    <n v="0"/>
    <n v="0"/>
    <n v="0"/>
    <n v="0"/>
    <n v="0"/>
    <n v="0"/>
    <x v="0"/>
  </r>
  <r>
    <x v="0"/>
    <s v="曽於市"/>
    <x v="11"/>
    <x v="1"/>
    <n v="118"/>
    <n v="14.73"/>
    <n v="46"/>
    <n v="9.11"/>
    <n v="72"/>
    <n v="25.44"/>
    <x v="0"/>
  </r>
  <r>
    <x v="0"/>
    <s v="曽於市"/>
    <x v="11"/>
    <x v="2"/>
    <n v="79"/>
    <n v="9.86"/>
    <n v="54"/>
    <n v="10.69"/>
    <n v="25"/>
    <n v="8.83"/>
    <x v="0"/>
  </r>
  <r>
    <x v="0"/>
    <s v="曽於市"/>
    <x v="11"/>
    <x v="3"/>
    <n v="10"/>
    <n v="1.25"/>
    <n v="0"/>
    <n v="0"/>
    <n v="10"/>
    <n v="3.53"/>
    <x v="0"/>
  </r>
  <r>
    <x v="0"/>
    <s v="曽於市"/>
    <x v="11"/>
    <x v="4"/>
    <n v="2"/>
    <n v="0.25"/>
    <n v="0"/>
    <n v="0"/>
    <n v="2"/>
    <n v="0.71"/>
    <x v="0"/>
  </r>
  <r>
    <x v="0"/>
    <s v="曽於市"/>
    <x v="11"/>
    <x v="5"/>
    <n v="4"/>
    <n v="0.5"/>
    <n v="1"/>
    <n v="0.2"/>
    <n v="3"/>
    <n v="1.06"/>
    <x v="0"/>
  </r>
  <r>
    <x v="0"/>
    <s v="曽於市"/>
    <x v="11"/>
    <x v="6"/>
    <n v="237"/>
    <n v="29.59"/>
    <n v="146"/>
    <n v="28.91"/>
    <n v="91"/>
    <n v="32.159999999999997"/>
    <x v="0"/>
  </r>
  <r>
    <x v="0"/>
    <s v="曽於市"/>
    <x v="11"/>
    <x v="7"/>
    <n v="2"/>
    <n v="0.25"/>
    <n v="0"/>
    <n v="0"/>
    <n v="2"/>
    <n v="0.71"/>
    <x v="0"/>
  </r>
  <r>
    <x v="0"/>
    <s v="曽於市"/>
    <x v="11"/>
    <x v="8"/>
    <n v="19"/>
    <n v="2.37"/>
    <n v="6"/>
    <n v="1.19"/>
    <n v="11"/>
    <n v="3.89"/>
    <x v="0"/>
  </r>
  <r>
    <x v="0"/>
    <s v="曽於市"/>
    <x v="11"/>
    <x v="9"/>
    <n v="40"/>
    <n v="4.99"/>
    <n v="19"/>
    <n v="3.76"/>
    <n v="20"/>
    <n v="7.07"/>
    <x v="0"/>
  </r>
  <r>
    <x v="0"/>
    <s v="曽於市"/>
    <x v="11"/>
    <x v="10"/>
    <n v="77"/>
    <n v="9.61"/>
    <n v="66"/>
    <n v="13.07"/>
    <n v="11"/>
    <n v="3.89"/>
    <x v="0"/>
  </r>
  <r>
    <x v="0"/>
    <s v="曽於市"/>
    <x v="11"/>
    <x v="11"/>
    <n v="117"/>
    <n v="14.61"/>
    <n v="106"/>
    <n v="20.99"/>
    <n v="10"/>
    <n v="3.53"/>
    <x v="0"/>
  </r>
  <r>
    <x v="0"/>
    <s v="曽於市"/>
    <x v="11"/>
    <x v="12"/>
    <n v="18"/>
    <n v="2.25"/>
    <n v="10"/>
    <n v="1.98"/>
    <n v="5"/>
    <n v="1.77"/>
    <x v="2"/>
  </r>
  <r>
    <x v="0"/>
    <s v="曽於市"/>
    <x v="11"/>
    <x v="13"/>
    <n v="39"/>
    <n v="4.87"/>
    <n v="21"/>
    <n v="4.16"/>
    <n v="12"/>
    <n v="4.24"/>
    <x v="6"/>
  </r>
  <r>
    <x v="0"/>
    <s v="曽於市"/>
    <x v="11"/>
    <x v="14"/>
    <n v="39"/>
    <n v="4.87"/>
    <n v="30"/>
    <n v="5.94"/>
    <n v="9"/>
    <n v="3.18"/>
    <x v="0"/>
  </r>
  <r>
    <x v="0"/>
    <s v="霧島市"/>
    <x v="12"/>
    <x v="0"/>
    <n v="0"/>
    <n v="0"/>
    <n v="0"/>
    <n v="0"/>
    <n v="0"/>
    <n v="0"/>
    <x v="0"/>
  </r>
  <r>
    <x v="0"/>
    <s v="霧島市"/>
    <x v="12"/>
    <x v="1"/>
    <n v="342"/>
    <n v="13.63"/>
    <n v="85"/>
    <n v="6.63"/>
    <n v="257"/>
    <n v="21.56"/>
    <x v="0"/>
  </r>
  <r>
    <x v="0"/>
    <s v="霧島市"/>
    <x v="12"/>
    <x v="2"/>
    <n v="164"/>
    <n v="6.54"/>
    <n v="71"/>
    <n v="5.54"/>
    <n v="92"/>
    <n v="7.72"/>
    <x v="0"/>
  </r>
  <r>
    <x v="0"/>
    <s v="霧島市"/>
    <x v="12"/>
    <x v="3"/>
    <n v="12"/>
    <n v="0.48"/>
    <n v="0"/>
    <n v="0"/>
    <n v="12"/>
    <n v="1.01"/>
    <x v="0"/>
  </r>
  <r>
    <x v="0"/>
    <s v="霧島市"/>
    <x v="12"/>
    <x v="4"/>
    <n v="7"/>
    <n v="0.28000000000000003"/>
    <n v="0"/>
    <n v="0"/>
    <n v="7"/>
    <n v="0.59"/>
    <x v="0"/>
  </r>
  <r>
    <x v="0"/>
    <s v="霧島市"/>
    <x v="12"/>
    <x v="5"/>
    <n v="23"/>
    <n v="0.92"/>
    <n v="1"/>
    <n v="0.08"/>
    <n v="22"/>
    <n v="1.85"/>
    <x v="0"/>
  </r>
  <r>
    <x v="0"/>
    <s v="霧島市"/>
    <x v="12"/>
    <x v="6"/>
    <n v="675"/>
    <n v="26.9"/>
    <n v="295"/>
    <n v="23.01"/>
    <n v="379"/>
    <n v="31.8"/>
    <x v="2"/>
  </r>
  <r>
    <x v="0"/>
    <s v="霧島市"/>
    <x v="12"/>
    <x v="7"/>
    <n v="14"/>
    <n v="0.56000000000000005"/>
    <n v="3"/>
    <n v="0.23"/>
    <n v="11"/>
    <n v="0.92"/>
    <x v="0"/>
  </r>
  <r>
    <x v="0"/>
    <s v="霧島市"/>
    <x v="12"/>
    <x v="8"/>
    <n v="143"/>
    <n v="5.7"/>
    <n v="33"/>
    <n v="2.57"/>
    <n v="109"/>
    <n v="9.14"/>
    <x v="0"/>
  </r>
  <r>
    <x v="0"/>
    <s v="霧島市"/>
    <x v="12"/>
    <x v="9"/>
    <n v="122"/>
    <n v="4.8600000000000003"/>
    <n v="62"/>
    <n v="4.84"/>
    <n v="59"/>
    <n v="4.95"/>
    <x v="0"/>
  </r>
  <r>
    <x v="0"/>
    <s v="霧島市"/>
    <x v="12"/>
    <x v="10"/>
    <n v="311"/>
    <n v="12.4"/>
    <n v="234"/>
    <n v="18.25"/>
    <n v="76"/>
    <n v="6.38"/>
    <x v="0"/>
  </r>
  <r>
    <x v="0"/>
    <s v="霧島市"/>
    <x v="12"/>
    <x v="11"/>
    <n v="374"/>
    <n v="14.91"/>
    <n v="305"/>
    <n v="23.79"/>
    <n v="66"/>
    <n v="5.54"/>
    <x v="5"/>
  </r>
  <r>
    <x v="0"/>
    <s v="霧島市"/>
    <x v="12"/>
    <x v="12"/>
    <n v="90"/>
    <n v="3.59"/>
    <n v="57"/>
    <n v="4.45"/>
    <n v="14"/>
    <n v="1.17"/>
    <x v="0"/>
  </r>
  <r>
    <x v="0"/>
    <s v="霧島市"/>
    <x v="12"/>
    <x v="13"/>
    <n v="132"/>
    <n v="5.26"/>
    <n v="83"/>
    <n v="6.47"/>
    <n v="46"/>
    <n v="3.86"/>
    <x v="2"/>
  </r>
  <r>
    <x v="0"/>
    <s v="霧島市"/>
    <x v="12"/>
    <x v="14"/>
    <n v="100"/>
    <n v="3.99"/>
    <n v="53"/>
    <n v="4.13"/>
    <n v="42"/>
    <n v="3.52"/>
    <x v="2"/>
  </r>
  <r>
    <x v="0"/>
    <s v="いちき串木野市"/>
    <x v="13"/>
    <x v="0"/>
    <n v="0"/>
    <n v="0"/>
    <n v="0"/>
    <n v="0"/>
    <n v="0"/>
    <n v="0"/>
    <x v="0"/>
  </r>
  <r>
    <x v="0"/>
    <s v="いちき串木野市"/>
    <x v="13"/>
    <x v="1"/>
    <n v="106"/>
    <n v="13.8"/>
    <n v="40"/>
    <n v="8.39"/>
    <n v="66"/>
    <n v="23.74"/>
    <x v="0"/>
  </r>
  <r>
    <x v="0"/>
    <s v="いちき串木野市"/>
    <x v="13"/>
    <x v="2"/>
    <n v="66"/>
    <n v="8.59"/>
    <n v="24"/>
    <n v="5.03"/>
    <n v="42"/>
    <n v="15.11"/>
    <x v="0"/>
  </r>
  <r>
    <x v="0"/>
    <s v="いちき串木野市"/>
    <x v="13"/>
    <x v="3"/>
    <n v="2"/>
    <n v="0.26"/>
    <n v="0"/>
    <n v="0"/>
    <n v="2"/>
    <n v="0.72"/>
    <x v="0"/>
  </r>
  <r>
    <x v="0"/>
    <s v="いちき串木野市"/>
    <x v="13"/>
    <x v="4"/>
    <n v="3"/>
    <n v="0.39"/>
    <n v="0"/>
    <n v="0"/>
    <n v="3"/>
    <n v="1.08"/>
    <x v="0"/>
  </r>
  <r>
    <x v="0"/>
    <s v="いちき串木野市"/>
    <x v="13"/>
    <x v="5"/>
    <n v="8"/>
    <n v="1.04"/>
    <n v="4"/>
    <n v="0.84"/>
    <n v="4"/>
    <n v="1.44"/>
    <x v="0"/>
  </r>
  <r>
    <x v="0"/>
    <s v="いちき串木野市"/>
    <x v="13"/>
    <x v="6"/>
    <n v="216"/>
    <n v="28.13"/>
    <n v="130"/>
    <n v="27.25"/>
    <n v="84"/>
    <n v="30.22"/>
    <x v="5"/>
  </r>
  <r>
    <x v="0"/>
    <s v="いちき串木野市"/>
    <x v="13"/>
    <x v="7"/>
    <n v="7"/>
    <n v="0.91"/>
    <n v="4"/>
    <n v="0.84"/>
    <n v="3"/>
    <n v="1.08"/>
    <x v="0"/>
  </r>
  <r>
    <x v="0"/>
    <s v="いちき串木野市"/>
    <x v="13"/>
    <x v="8"/>
    <n v="32"/>
    <n v="4.17"/>
    <n v="18"/>
    <n v="3.77"/>
    <n v="14"/>
    <n v="5.04"/>
    <x v="0"/>
  </r>
  <r>
    <x v="0"/>
    <s v="いちき串木野市"/>
    <x v="13"/>
    <x v="9"/>
    <n v="22"/>
    <n v="2.86"/>
    <n v="16"/>
    <n v="3.35"/>
    <n v="6"/>
    <n v="2.16"/>
    <x v="0"/>
  </r>
  <r>
    <x v="0"/>
    <s v="いちき串木野市"/>
    <x v="13"/>
    <x v="10"/>
    <n v="81"/>
    <n v="10.55"/>
    <n v="68"/>
    <n v="14.26"/>
    <n v="11"/>
    <n v="3.96"/>
    <x v="0"/>
  </r>
  <r>
    <x v="0"/>
    <s v="いちき串木野市"/>
    <x v="13"/>
    <x v="11"/>
    <n v="111"/>
    <n v="14.45"/>
    <n v="97"/>
    <n v="20.34"/>
    <n v="14"/>
    <n v="5.04"/>
    <x v="0"/>
  </r>
  <r>
    <x v="0"/>
    <s v="いちき串木野市"/>
    <x v="13"/>
    <x v="12"/>
    <n v="26"/>
    <n v="3.39"/>
    <n v="21"/>
    <n v="4.4000000000000004"/>
    <n v="1"/>
    <n v="0.36"/>
    <x v="2"/>
  </r>
  <r>
    <x v="0"/>
    <s v="いちき串木野市"/>
    <x v="13"/>
    <x v="13"/>
    <n v="41"/>
    <n v="5.34"/>
    <n v="27"/>
    <n v="5.66"/>
    <n v="14"/>
    <n v="5.04"/>
    <x v="0"/>
  </r>
  <r>
    <x v="0"/>
    <s v="いちき串木野市"/>
    <x v="13"/>
    <x v="14"/>
    <n v="47"/>
    <n v="6.12"/>
    <n v="28"/>
    <n v="5.87"/>
    <n v="14"/>
    <n v="5.04"/>
    <x v="14"/>
  </r>
  <r>
    <x v="0"/>
    <s v="南さつま市"/>
    <x v="14"/>
    <x v="0"/>
    <n v="0"/>
    <n v="0"/>
    <n v="0"/>
    <n v="0"/>
    <n v="0"/>
    <n v="0"/>
    <x v="0"/>
  </r>
  <r>
    <x v="0"/>
    <s v="南さつま市"/>
    <x v="14"/>
    <x v="1"/>
    <n v="103"/>
    <n v="12.39"/>
    <n v="34"/>
    <n v="7.19"/>
    <n v="69"/>
    <n v="21.1"/>
    <x v="0"/>
  </r>
  <r>
    <x v="0"/>
    <s v="南さつま市"/>
    <x v="14"/>
    <x v="2"/>
    <n v="58"/>
    <n v="6.98"/>
    <n v="23"/>
    <n v="4.8600000000000003"/>
    <n v="35"/>
    <n v="10.7"/>
    <x v="0"/>
  </r>
  <r>
    <x v="0"/>
    <s v="南さつま市"/>
    <x v="14"/>
    <x v="3"/>
    <n v="4"/>
    <n v="0.48"/>
    <n v="0"/>
    <n v="0"/>
    <n v="4"/>
    <n v="1.22"/>
    <x v="0"/>
  </r>
  <r>
    <x v="0"/>
    <s v="南さつま市"/>
    <x v="14"/>
    <x v="4"/>
    <n v="2"/>
    <n v="0.24"/>
    <n v="0"/>
    <n v="0"/>
    <n v="2"/>
    <n v="0.61"/>
    <x v="0"/>
  </r>
  <r>
    <x v="0"/>
    <s v="南さつま市"/>
    <x v="14"/>
    <x v="5"/>
    <n v="12"/>
    <n v="1.44"/>
    <n v="10"/>
    <n v="2.11"/>
    <n v="2"/>
    <n v="0.61"/>
    <x v="0"/>
  </r>
  <r>
    <x v="0"/>
    <s v="南さつま市"/>
    <x v="14"/>
    <x v="6"/>
    <n v="244"/>
    <n v="29.36"/>
    <n v="135"/>
    <n v="28.54"/>
    <n v="108"/>
    <n v="33.03"/>
    <x v="2"/>
  </r>
  <r>
    <x v="0"/>
    <s v="南さつま市"/>
    <x v="14"/>
    <x v="7"/>
    <n v="7"/>
    <n v="0.84"/>
    <n v="4"/>
    <n v="0.85"/>
    <n v="3"/>
    <n v="0.92"/>
    <x v="0"/>
  </r>
  <r>
    <x v="0"/>
    <s v="南さつま市"/>
    <x v="14"/>
    <x v="8"/>
    <n v="21"/>
    <n v="2.5299999999999998"/>
    <n v="9"/>
    <n v="1.9"/>
    <n v="12"/>
    <n v="3.67"/>
    <x v="0"/>
  </r>
  <r>
    <x v="0"/>
    <s v="南さつま市"/>
    <x v="14"/>
    <x v="9"/>
    <n v="33"/>
    <n v="3.97"/>
    <n v="17"/>
    <n v="3.59"/>
    <n v="15"/>
    <n v="4.59"/>
    <x v="0"/>
  </r>
  <r>
    <x v="0"/>
    <s v="南さつま市"/>
    <x v="14"/>
    <x v="10"/>
    <n v="94"/>
    <n v="11.31"/>
    <n v="75"/>
    <n v="15.86"/>
    <n v="19"/>
    <n v="5.81"/>
    <x v="0"/>
  </r>
  <r>
    <x v="0"/>
    <s v="南さつま市"/>
    <x v="14"/>
    <x v="11"/>
    <n v="117"/>
    <n v="14.08"/>
    <n v="98"/>
    <n v="20.72"/>
    <n v="18"/>
    <n v="5.5"/>
    <x v="2"/>
  </r>
  <r>
    <x v="0"/>
    <s v="南さつま市"/>
    <x v="14"/>
    <x v="12"/>
    <n v="53"/>
    <n v="6.38"/>
    <n v="18"/>
    <n v="3.81"/>
    <n v="8"/>
    <n v="2.4500000000000002"/>
    <x v="0"/>
  </r>
  <r>
    <x v="0"/>
    <s v="南さつま市"/>
    <x v="14"/>
    <x v="13"/>
    <n v="42"/>
    <n v="5.05"/>
    <n v="26"/>
    <n v="5.5"/>
    <n v="16"/>
    <n v="4.8899999999999997"/>
    <x v="0"/>
  </r>
  <r>
    <x v="0"/>
    <s v="南さつま市"/>
    <x v="14"/>
    <x v="14"/>
    <n v="41"/>
    <n v="4.93"/>
    <n v="24"/>
    <n v="5.07"/>
    <n v="16"/>
    <n v="4.8899999999999997"/>
    <x v="0"/>
  </r>
  <r>
    <x v="0"/>
    <s v="志布志市"/>
    <x v="15"/>
    <x v="0"/>
    <n v="2"/>
    <n v="0.25"/>
    <n v="0"/>
    <n v="0"/>
    <n v="2"/>
    <n v="0.61"/>
    <x v="0"/>
  </r>
  <r>
    <x v="0"/>
    <s v="志布志市"/>
    <x v="15"/>
    <x v="1"/>
    <n v="85"/>
    <n v="10.8"/>
    <n v="24"/>
    <n v="5.38"/>
    <n v="61"/>
    <n v="18.71"/>
    <x v="0"/>
  </r>
  <r>
    <x v="0"/>
    <s v="志布志市"/>
    <x v="15"/>
    <x v="2"/>
    <n v="70"/>
    <n v="8.89"/>
    <n v="27"/>
    <n v="6.05"/>
    <n v="43"/>
    <n v="13.19"/>
    <x v="0"/>
  </r>
  <r>
    <x v="0"/>
    <s v="志布志市"/>
    <x v="15"/>
    <x v="3"/>
    <n v="2"/>
    <n v="0.25"/>
    <n v="0"/>
    <n v="0"/>
    <n v="2"/>
    <n v="0.61"/>
    <x v="0"/>
  </r>
  <r>
    <x v="0"/>
    <s v="志布志市"/>
    <x v="15"/>
    <x v="4"/>
    <n v="4"/>
    <n v="0.51"/>
    <n v="0"/>
    <n v="0"/>
    <n v="4"/>
    <n v="1.23"/>
    <x v="0"/>
  </r>
  <r>
    <x v="0"/>
    <s v="志布志市"/>
    <x v="15"/>
    <x v="5"/>
    <n v="37"/>
    <n v="4.7"/>
    <n v="0"/>
    <n v="0"/>
    <n v="37"/>
    <n v="11.35"/>
    <x v="0"/>
  </r>
  <r>
    <x v="0"/>
    <s v="志布志市"/>
    <x v="15"/>
    <x v="6"/>
    <n v="227"/>
    <n v="28.84"/>
    <n v="133"/>
    <n v="29.82"/>
    <n v="93"/>
    <n v="28.53"/>
    <x v="2"/>
  </r>
  <r>
    <x v="0"/>
    <s v="志布志市"/>
    <x v="15"/>
    <x v="7"/>
    <n v="8"/>
    <n v="1.02"/>
    <n v="2"/>
    <n v="0.45"/>
    <n v="6"/>
    <n v="1.84"/>
    <x v="0"/>
  </r>
  <r>
    <x v="0"/>
    <s v="志布志市"/>
    <x v="15"/>
    <x v="8"/>
    <n v="23"/>
    <n v="2.92"/>
    <n v="7"/>
    <n v="1.57"/>
    <n v="16"/>
    <n v="4.91"/>
    <x v="0"/>
  </r>
  <r>
    <x v="0"/>
    <s v="志布志市"/>
    <x v="15"/>
    <x v="9"/>
    <n v="33"/>
    <n v="4.1900000000000004"/>
    <n v="16"/>
    <n v="3.59"/>
    <n v="16"/>
    <n v="4.91"/>
    <x v="0"/>
  </r>
  <r>
    <x v="0"/>
    <s v="志布志市"/>
    <x v="15"/>
    <x v="10"/>
    <n v="91"/>
    <n v="11.56"/>
    <n v="86"/>
    <n v="19.28"/>
    <n v="5"/>
    <n v="1.53"/>
    <x v="0"/>
  </r>
  <r>
    <x v="0"/>
    <s v="志布志市"/>
    <x v="15"/>
    <x v="11"/>
    <n v="109"/>
    <n v="13.85"/>
    <n v="99"/>
    <n v="22.2"/>
    <n v="9"/>
    <n v="2.76"/>
    <x v="2"/>
  </r>
  <r>
    <x v="0"/>
    <s v="志布志市"/>
    <x v="15"/>
    <x v="12"/>
    <n v="26"/>
    <n v="3.3"/>
    <n v="14"/>
    <n v="3.14"/>
    <n v="3"/>
    <n v="0.92"/>
    <x v="0"/>
  </r>
  <r>
    <x v="0"/>
    <s v="志布志市"/>
    <x v="15"/>
    <x v="13"/>
    <n v="36"/>
    <n v="4.57"/>
    <n v="19"/>
    <n v="4.26"/>
    <n v="16"/>
    <n v="4.91"/>
    <x v="0"/>
  </r>
  <r>
    <x v="0"/>
    <s v="志布志市"/>
    <x v="15"/>
    <x v="14"/>
    <n v="34"/>
    <n v="4.32"/>
    <n v="19"/>
    <n v="4.26"/>
    <n v="13"/>
    <n v="3.99"/>
    <x v="2"/>
  </r>
  <r>
    <x v="0"/>
    <s v="奄美市"/>
    <x v="16"/>
    <x v="0"/>
    <n v="0"/>
    <n v="0"/>
    <n v="0"/>
    <n v="0"/>
    <n v="0"/>
    <n v="0"/>
    <x v="0"/>
  </r>
  <r>
    <x v="0"/>
    <s v="奄美市"/>
    <x v="16"/>
    <x v="1"/>
    <n v="117"/>
    <n v="7.31"/>
    <n v="23"/>
    <n v="2.52"/>
    <n v="94"/>
    <n v="14.29"/>
    <x v="0"/>
  </r>
  <r>
    <x v="0"/>
    <s v="奄美市"/>
    <x v="16"/>
    <x v="2"/>
    <n v="125"/>
    <n v="7.81"/>
    <n v="53"/>
    <n v="5.82"/>
    <n v="71"/>
    <n v="10.79"/>
    <x v="2"/>
  </r>
  <r>
    <x v="0"/>
    <s v="奄美市"/>
    <x v="16"/>
    <x v="3"/>
    <n v="8"/>
    <n v="0.5"/>
    <n v="0"/>
    <n v="0"/>
    <n v="7"/>
    <n v="1.06"/>
    <x v="0"/>
  </r>
  <r>
    <x v="0"/>
    <s v="奄美市"/>
    <x v="16"/>
    <x v="4"/>
    <n v="13"/>
    <n v="0.81"/>
    <n v="2"/>
    <n v="0.22"/>
    <n v="11"/>
    <n v="1.67"/>
    <x v="0"/>
  </r>
  <r>
    <x v="0"/>
    <s v="奄美市"/>
    <x v="16"/>
    <x v="5"/>
    <n v="11"/>
    <n v="0.69"/>
    <n v="1"/>
    <n v="0.11"/>
    <n v="10"/>
    <n v="1.52"/>
    <x v="0"/>
  </r>
  <r>
    <x v="0"/>
    <s v="奄美市"/>
    <x v="16"/>
    <x v="6"/>
    <n v="464"/>
    <n v="29"/>
    <n v="257"/>
    <n v="28.21"/>
    <n v="201"/>
    <n v="30.55"/>
    <x v="11"/>
  </r>
  <r>
    <x v="0"/>
    <s v="奄美市"/>
    <x v="16"/>
    <x v="7"/>
    <n v="16"/>
    <n v="1"/>
    <n v="2"/>
    <n v="0.22"/>
    <n v="14"/>
    <n v="2.13"/>
    <x v="0"/>
  </r>
  <r>
    <x v="0"/>
    <s v="奄美市"/>
    <x v="16"/>
    <x v="8"/>
    <n v="98"/>
    <n v="6.13"/>
    <n v="29"/>
    <n v="3.18"/>
    <n v="68"/>
    <n v="10.33"/>
    <x v="0"/>
  </r>
  <r>
    <x v="0"/>
    <s v="奄美市"/>
    <x v="16"/>
    <x v="9"/>
    <n v="83"/>
    <n v="5.19"/>
    <n v="33"/>
    <n v="3.62"/>
    <n v="49"/>
    <n v="7.45"/>
    <x v="0"/>
  </r>
  <r>
    <x v="0"/>
    <s v="奄美市"/>
    <x v="16"/>
    <x v="10"/>
    <n v="306"/>
    <n v="19.13"/>
    <n v="270"/>
    <n v="29.64"/>
    <n v="33"/>
    <n v="5.0199999999999996"/>
    <x v="0"/>
  </r>
  <r>
    <x v="0"/>
    <s v="奄美市"/>
    <x v="16"/>
    <x v="11"/>
    <n v="201"/>
    <n v="12.56"/>
    <n v="167"/>
    <n v="18.329999999999998"/>
    <n v="32"/>
    <n v="4.8600000000000003"/>
    <x v="2"/>
  </r>
  <r>
    <x v="0"/>
    <s v="奄美市"/>
    <x v="16"/>
    <x v="12"/>
    <n v="37"/>
    <n v="2.31"/>
    <n v="25"/>
    <n v="2.74"/>
    <n v="5"/>
    <n v="0.76"/>
    <x v="5"/>
  </r>
  <r>
    <x v="0"/>
    <s v="奄美市"/>
    <x v="16"/>
    <x v="13"/>
    <n v="62"/>
    <n v="3.88"/>
    <n v="27"/>
    <n v="2.96"/>
    <n v="29"/>
    <n v="4.41"/>
    <x v="6"/>
  </r>
  <r>
    <x v="0"/>
    <s v="奄美市"/>
    <x v="16"/>
    <x v="14"/>
    <n v="59"/>
    <n v="3.69"/>
    <n v="22"/>
    <n v="2.41"/>
    <n v="34"/>
    <n v="5.17"/>
    <x v="0"/>
  </r>
  <r>
    <x v="0"/>
    <s v="南九州市"/>
    <x v="17"/>
    <x v="0"/>
    <n v="0"/>
    <n v="0"/>
    <n v="0"/>
    <n v="0"/>
    <n v="0"/>
    <n v="0"/>
    <x v="0"/>
  </r>
  <r>
    <x v="0"/>
    <s v="南九州市"/>
    <x v="17"/>
    <x v="1"/>
    <n v="129"/>
    <n v="12.26"/>
    <n v="53"/>
    <n v="8.1"/>
    <n v="76"/>
    <n v="20.38"/>
    <x v="0"/>
  </r>
  <r>
    <x v="0"/>
    <s v="南九州市"/>
    <x v="17"/>
    <x v="2"/>
    <n v="206"/>
    <n v="19.579999999999998"/>
    <n v="107"/>
    <n v="16.36"/>
    <n v="99"/>
    <n v="26.54"/>
    <x v="0"/>
  </r>
  <r>
    <x v="0"/>
    <s v="南九州市"/>
    <x v="17"/>
    <x v="3"/>
    <n v="3"/>
    <n v="0.28999999999999998"/>
    <n v="1"/>
    <n v="0.15"/>
    <n v="2"/>
    <n v="0.54"/>
    <x v="0"/>
  </r>
  <r>
    <x v="0"/>
    <s v="南九州市"/>
    <x v="17"/>
    <x v="4"/>
    <n v="2"/>
    <n v="0.19"/>
    <n v="1"/>
    <n v="0.15"/>
    <n v="1"/>
    <n v="0.27"/>
    <x v="0"/>
  </r>
  <r>
    <x v="0"/>
    <s v="南九州市"/>
    <x v="17"/>
    <x v="5"/>
    <n v="6"/>
    <n v="0.56999999999999995"/>
    <n v="4"/>
    <n v="0.61"/>
    <n v="2"/>
    <n v="0.54"/>
    <x v="0"/>
  </r>
  <r>
    <x v="0"/>
    <s v="南九州市"/>
    <x v="17"/>
    <x v="6"/>
    <n v="300"/>
    <n v="28.52"/>
    <n v="181"/>
    <n v="27.68"/>
    <n v="118"/>
    <n v="31.64"/>
    <x v="2"/>
  </r>
  <r>
    <x v="0"/>
    <s v="南九州市"/>
    <x v="17"/>
    <x v="7"/>
    <n v="3"/>
    <n v="0.28999999999999998"/>
    <n v="1"/>
    <n v="0.15"/>
    <n v="2"/>
    <n v="0.54"/>
    <x v="0"/>
  </r>
  <r>
    <x v="0"/>
    <s v="南九州市"/>
    <x v="17"/>
    <x v="8"/>
    <n v="20"/>
    <n v="1.9"/>
    <n v="5"/>
    <n v="0.76"/>
    <n v="15"/>
    <n v="4.0199999999999996"/>
    <x v="0"/>
  </r>
  <r>
    <x v="0"/>
    <s v="南九州市"/>
    <x v="17"/>
    <x v="9"/>
    <n v="38"/>
    <n v="3.61"/>
    <n v="23"/>
    <n v="3.52"/>
    <n v="15"/>
    <n v="4.0199999999999996"/>
    <x v="0"/>
  </r>
  <r>
    <x v="0"/>
    <s v="南九州市"/>
    <x v="17"/>
    <x v="10"/>
    <n v="83"/>
    <n v="7.89"/>
    <n v="73"/>
    <n v="11.16"/>
    <n v="9"/>
    <n v="2.41"/>
    <x v="0"/>
  </r>
  <r>
    <x v="0"/>
    <s v="南九州市"/>
    <x v="17"/>
    <x v="11"/>
    <n v="120"/>
    <n v="11.41"/>
    <n v="111"/>
    <n v="16.97"/>
    <n v="8"/>
    <n v="2.14"/>
    <x v="2"/>
  </r>
  <r>
    <x v="0"/>
    <s v="南九州市"/>
    <x v="17"/>
    <x v="12"/>
    <n v="37"/>
    <n v="3.52"/>
    <n v="16"/>
    <n v="2.4500000000000002"/>
    <n v="0"/>
    <n v="0"/>
    <x v="0"/>
  </r>
  <r>
    <x v="0"/>
    <s v="南九州市"/>
    <x v="17"/>
    <x v="13"/>
    <n v="53"/>
    <n v="5.04"/>
    <n v="37"/>
    <n v="5.66"/>
    <n v="16"/>
    <n v="4.29"/>
    <x v="0"/>
  </r>
  <r>
    <x v="0"/>
    <s v="南九州市"/>
    <x v="17"/>
    <x v="14"/>
    <n v="52"/>
    <n v="4.9400000000000004"/>
    <n v="41"/>
    <n v="6.27"/>
    <n v="10"/>
    <n v="2.68"/>
    <x v="0"/>
  </r>
  <r>
    <x v="0"/>
    <s v="伊佐市"/>
    <x v="18"/>
    <x v="0"/>
    <n v="1"/>
    <n v="0.17"/>
    <n v="0"/>
    <n v="0"/>
    <n v="1"/>
    <n v="0.42"/>
    <x v="0"/>
  </r>
  <r>
    <x v="0"/>
    <s v="伊佐市"/>
    <x v="18"/>
    <x v="1"/>
    <n v="68"/>
    <n v="11.64"/>
    <n v="19"/>
    <n v="5.67"/>
    <n v="49"/>
    <n v="20.76"/>
    <x v="0"/>
  </r>
  <r>
    <x v="0"/>
    <s v="伊佐市"/>
    <x v="18"/>
    <x v="2"/>
    <n v="38"/>
    <n v="6.51"/>
    <n v="9"/>
    <n v="2.69"/>
    <n v="29"/>
    <n v="12.29"/>
    <x v="0"/>
  </r>
  <r>
    <x v="0"/>
    <s v="伊佐市"/>
    <x v="18"/>
    <x v="3"/>
    <n v="1"/>
    <n v="0.17"/>
    <n v="0"/>
    <n v="0"/>
    <n v="1"/>
    <n v="0.42"/>
    <x v="0"/>
  </r>
  <r>
    <x v="0"/>
    <s v="伊佐市"/>
    <x v="18"/>
    <x v="4"/>
    <n v="2"/>
    <n v="0.34"/>
    <n v="0"/>
    <n v="0"/>
    <n v="2"/>
    <n v="0.85"/>
    <x v="0"/>
  </r>
  <r>
    <x v="0"/>
    <s v="伊佐市"/>
    <x v="18"/>
    <x v="5"/>
    <n v="0"/>
    <n v="0"/>
    <n v="0"/>
    <n v="0"/>
    <n v="0"/>
    <n v="0"/>
    <x v="0"/>
  </r>
  <r>
    <x v="0"/>
    <s v="伊佐市"/>
    <x v="18"/>
    <x v="6"/>
    <n v="194"/>
    <n v="33.22"/>
    <n v="98"/>
    <n v="29.25"/>
    <n v="95"/>
    <n v="40.25"/>
    <x v="2"/>
  </r>
  <r>
    <x v="0"/>
    <s v="伊佐市"/>
    <x v="18"/>
    <x v="7"/>
    <n v="1"/>
    <n v="0.17"/>
    <n v="0"/>
    <n v="0"/>
    <n v="1"/>
    <n v="0.42"/>
    <x v="0"/>
  </r>
  <r>
    <x v="0"/>
    <s v="伊佐市"/>
    <x v="18"/>
    <x v="8"/>
    <n v="15"/>
    <n v="2.57"/>
    <n v="3"/>
    <n v="0.9"/>
    <n v="12"/>
    <n v="5.08"/>
    <x v="0"/>
  </r>
  <r>
    <x v="0"/>
    <s v="伊佐市"/>
    <x v="18"/>
    <x v="9"/>
    <n v="25"/>
    <n v="4.28"/>
    <n v="19"/>
    <n v="5.67"/>
    <n v="5"/>
    <n v="2.12"/>
    <x v="0"/>
  </r>
  <r>
    <x v="0"/>
    <s v="伊佐市"/>
    <x v="18"/>
    <x v="10"/>
    <n v="70"/>
    <n v="11.99"/>
    <n v="61"/>
    <n v="18.21"/>
    <n v="9"/>
    <n v="3.81"/>
    <x v="0"/>
  </r>
  <r>
    <x v="0"/>
    <s v="伊佐市"/>
    <x v="18"/>
    <x v="11"/>
    <n v="95"/>
    <n v="16.27"/>
    <n v="88"/>
    <n v="26.27"/>
    <n v="7"/>
    <n v="2.97"/>
    <x v="0"/>
  </r>
  <r>
    <x v="0"/>
    <s v="伊佐市"/>
    <x v="18"/>
    <x v="12"/>
    <n v="11"/>
    <n v="1.88"/>
    <n v="8"/>
    <n v="2.39"/>
    <n v="1"/>
    <n v="0.42"/>
    <x v="2"/>
  </r>
  <r>
    <x v="0"/>
    <s v="伊佐市"/>
    <x v="18"/>
    <x v="13"/>
    <n v="38"/>
    <n v="6.51"/>
    <n v="13"/>
    <n v="3.88"/>
    <n v="21"/>
    <n v="8.9"/>
    <x v="2"/>
  </r>
  <r>
    <x v="0"/>
    <s v="伊佐市"/>
    <x v="18"/>
    <x v="14"/>
    <n v="25"/>
    <n v="4.28"/>
    <n v="17"/>
    <n v="5.07"/>
    <n v="3"/>
    <n v="1.27"/>
    <x v="0"/>
  </r>
  <r>
    <x v="0"/>
    <s v="姶良市"/>
    <x v="19"/>
    <x v="0"/>
    <n v="1"/>
    <n v="0.06"/>
    <n v="0"/>
    <n v="0"/>
    <n v="1"/>
    <n v="0.14000000000000001"/>
    <x v="0"/>
  </r>
  <r>
    <x v="0"/>
    <s v="姶良市"/>
    <x v="19"/>
    <x v="1"/>
    <n v="189"/>
    <n v="12.05"/>
    <n v="55"/>
    <n v="6.67"/>
    <n v="134"/>
    <n v="18.690000000000001"/>
    <x v="0"/>
  </r>
  <r>
    <x v="0"/>
    <s v="姶良市"/>
    <x v="19"/>
    <x v="2"/>
    <n v="101"/>
    <n v="6.44"/>
    <n v="44"/>
    <n v="5.34"/>
    <n v="57"/>
    <n v="7.95"/>
    <x v="0"/>
  </r>
  <r>
    <x v="0"/>
    <s v="姶良市"/>
    <x v="19"/>
    <x v="3"/>
    <n v="6"/>
    <n v="0.38"/>
    <n v="0"/>
    <n v="0"/>
    <n v="6"/>
    <n v="0.84"/>
    <x v="0"/>
  </r>
  <r>
    <x v="0"/>
    <s v="姶良市"/>
    <x v="19"/>
    <x v="4"/>
    <n v="12"/>
    <n v="0.76"/>
    <n v="0"/>
    <n v="0"/>
    <n v="12"/>
    <n v="1.67"/>
    <x v="0"/>
  </r>
  <r>
    <x v="0"/>
    <s v="姶良市"/>
    <x v="19"/>
    <x v="5"/>
    <n v="10"/>
    <n v="0.64"/>
    <n v="2"/>
    <n v="0.24"/>
    <n v="8"/>
    <n v="1.1200000000000001"/>
    <x v="0"/>
  </r>
  <r>
    <x v="0"/>
    <s v="姶良市"/>
    <x v="19"/>
    <x v="6"/>
    <n v="420"/>
    <n v="26.77"/>
    <n v="178"/>
    <n v="21.6"/>
    <n v="237"/>
    <n v="33.049999999999997"/>
    <x v="3"/>
  </r>
  <r>
    <x v="0"/>
    <s v="姶良市"/>
    <x v="19"/>
    <x v="7"/>
    <n v="12"/>
    <n v="0.76"/>
    <n v="4"/>
    <n v="0.49"/>
    <n v="8"/>
    <n v="1.1200000000000001"/>
    <x v="0"/>
  </r>
  <r>
    <x v="0"/>
    <s v="姶良市"/>
    <x v="19"/>
    <x v="8"/>
    <n v="69"/>
    <n v="4.4000000000000004"/>
    <n v="18"/>
    <n v="2.1800000000000002"/>
    <n v="51"/>
    <n v="7.11"/>
    <x v="0"/>
  </r>
  <r>
    <x v="0"/>
    <s v="姶良市"/>
    <x v="19"/>
    <x v="9"/>
    <n v="101"/>
    <n v="6.44"/>
    <n v="56"/>
    <n v="6.8"/>
    <n v="45"/>
    <n v="6.28"/>
    <x v="0"/>
  </r>
  <r>
    <x v="0"/>
    <s v="姶良市"/>
    <x v="19"/>
    <x v="10"/>
    <n v="167"/>
    <n v="10.64"/>
    <n v="140"/>
    <n v="16.989999999999998"/>
    <n v="25"/>
    <n v="3.49"/>
    <x v="0"/>
  </r>
  <r>
    <x v="0"/>
    <s v="姶良市"/>
    <x v="19"/>
    <x v="11"/>
    <n v="240"/>
    <n v="15.3"/>
    <n v="186"/>
    <n v="22.57"/>
    <n v="53"/>
    <n v="7.39"/>
    <x v="0"/>
  </r>
  <r>
    <x v="0"/>
    <s v="姶良市"/>
    <x v="19"/>
    <x v="12"/>
    <n v="83"/>
    <n v="5.29"/>
    <n v="52"/>
    <n v="6.31"/>
    <n v="17"/>
    <n v="2.37"/>
    <x v="0"/>
  </r>
  <r>
    <x v="0"/>
    <s v="姶良市"/>
    <x v="19"/>
    <x v="13"/>
    <n v="104"/>
    <n v="6.63"/>
    <n v="66"/>
    <n v="8.01"/>
    <n v="35"/>
    <n v="4.88"/>
    <x v="0"/>
  </r>
  <r>
    <x v="0"/>
    <s v="姶良市"/>
    <x v="19"/>
    <x v="14"/>
    <n v="54"/>
    <n v="3.44"/>
    <n v="23"/>
    <n v="2.79"/>
    <n v="28"/>
    <n v="3.91"/>
    <x v="2"/>
  </r>
  <r>
    <x v="0"/>
    <s v="鹿児島郡三島村"/>
    <x v="20"/>
    <x v="0"/>
    <n v="0"/>
    <n v="0"/>
    <n v="0"/>
    <n v="0"/>
    <n v="0"/>
    <n v="0"/>
    <x v="0"/>
  </r>
  <r>
    <x v="0"/>
    <s v="鹿児島郡三島村"/>
    <x v="20"/>
    <x v="1"/>
    <n v="0"/>
    <n v="0"/>
    <n v="0"/>
    <n v="0"/>
    <n v="0"/>
    <n v="0"/>
    <x v="0"/>
  </r>
  <r>
    <x v="0"/>
    <s v="鹿児島郡三島村"/>
    <x v="20"/>
    <x v="2"/>
    <n v="3"/>
    <n v="10.34"/>
    <n v="0"/>
    <n v="0"/>
    <n v="1"/>
    <n v="33.33"/>
    <x v="2"/>
  </r>
  <r>
    <x v="0"/>
    <s v="鹿児島郡三島村"/>
    <x v="20"/>
    <x v="3"/>
    <n v="0"/>
    <n v="0"/>
    <n v="0"/>
    <n v="0"/>
    <n v="0"/>
    <n v="0"/>
    <x v="0"/>
  </r>
  <r>
    <x v="0"/>
    <s v="鹿児島郡三島村"/>
    <x v="20"/>
    <x v="4"/>
    <n v="0"/>
    <n v="0"/>
    <n v="0"/>
    <n v="0"/>
    <n v="0"/>
    <n v="0"/>
    <x v="0"/>
  </r>
  <r>
    <x v="0"/>
    <s v="鹿児島郡三島村"/>
    <x v="20"/>
    <x v="5"/>
    <n v="2"/>
    <n v="6.9"/>
    <n v="0"/>
    <n v="0"/>
    <n v="0"/>
    <n v="0"/>
    <x v="0"/>
  </r>
  <r>
    <x v="0"/>
    <s v="鹿児島郡三島村"/>
    <x v="20"/>
    <x v="6"/>
    <n v="8"/>
    <n v="27.59"/>
    <n v="6"/>
    <n v="35.29"/>
    <n v="1"/>
    <n v="33.33"/>
    <x v="2"/>
  </r>
  <r>
    <x v="0"/>
    <s v="鹿児島郡三島村"/>
    <x v="20"/>
    <x v="7"/>
    <n v="0"/>
    <n v="0"/>
    <n v="0"/>
    <n v="0"/>
    <n v="0"/>
    <n v="0"/>
    <x v="0"/>
  </r>
  <r>
    <x v="0"/>
    <s v="鹿児島郡三島村"/>
    <x v="20"/>
    <x v="8"/>
    <n v="0"/>
    <n v="0"/>
    <n v="0"/>
    <n v="0"/>
    <n v="0"/>
    <n v="0"/>
    <x v="0"/>
  </r>
  <r>
    <x v="0"/>
    <s v="鹿児島郡三島村"/>
    <x v="20"/>
    <x v="9"/>
    <n v="1"/>
    <n v="3.45"/>
    <n v="0"/>
    <n v="0"/>
    <n v="1"/>
    <n v="33.33"/>
    <x v="0"/>
  </r>
  <r>
    <x v="0"/>
    <s v="鹿児島郡三島村"/>
    <x v="20"/>
    <x v="10"/>
    <n v="11"/>
    <n v="37.93"/>
    <n v="11"/>
    <n v="64.709999999999994"/>
    <n v="0"/>
    <n v="0"/>
    <x v="0"/>
  </r>
  <r>
    <x v="0"/>
    <s v="鹿児島郡三島村"/>
    <x v="20"/>
    <x v="11"/>
    <n v="0"/>
    <n v="0"/>
    <n v="0"/>
    <n v="0"/>
    <n v="0"/>
    <n v="0"/>
    <x v="0"/>
  </r>
  <r>
    <x v="0"/>
    <s v="鹿児島郡三島村"/>
    <x v="20"/>
    <x v="12"/>
    <n v="0"/>
    <n v="0"/>
    <n v="0"/>
    <n v="0"/>
    <n v="0"/>
    <n v="0"/>
    <x v="0"/>
  </r>
  <r>
    <x v="0"/>
    <s v="鹿児島郡三島村"/>
    <x v="20"/>
    <x v="13"/>
    <n v="0"/>
    <n v="0"/>
    <n v="0"/>
    <n v="0"/>
    <n v="0"/>
    <n v="0"/>
    <x v="0"/>
  </r>
  <r>
    <x v="0"/>
    <s v="鹿児島郡三島村"/>
    <x v="20"/>
    <x v="14"/>
    <n v="4"/>
    <n v="13.79"/>
    <n v="0"/>
    <n v="0"/>
    <n v="0"/>
    <n v="0"/>
    <x v="0"/>
  </r>
  <r>
    <x v="0"/>
    <s v="鹿児島郡十島村"/>
    <x v="21"/>
    <x v="0"/>
    <n v="0"/>
    <n v="0"/>
    <n v="0"/>
    <n v="0"/>
    <n v="0"/>
    <n v="0"/>
    <x v="0"/>
  </r>
  <r>
    <x v="0"/>
    <s v="鹿児島郡十島村"/>
    <x v="21"/>
    <x v="1"/>
    <n v="0"/>
    <n v="0"/>
    <n v="0"/>
    <n v="0"/>
    <n v="0"/>
    <n v="0"/>
    <x v="0"/>
  </r>
  <r>
    <x v="0"/>
    <s v="鹿児島郡十島村"/>
    <x v="21"/>
    <x v="2"/>
    <n v="6"/>
    <n v="12.5"/>
    <n v="2"/>
    <n v="6.25"/>
    <n v="4"/>
    <n v="66.67"/>
    <x v="0"/>
  </r>
  <r>
    <x v="0"/>
    <s v="鹿児島郡十島村"/>
    <x v="21"/>
    <x v="3"/>
    <n v="0"/>
    <n v="0"/>
    <n v="0"/>
    <n v="0"/>
    <n v="0"/>
    <n v="0"/>
    <x v="0"/>
  </r>
  <r>
    <x v="0"/>
    <s v="鹿児島郡十島村"/>
    <x v="21"/>
    <x v="4"/>
    <n v="0"/>
    <n v="0"/>
    <n v="0"/>
    <n v="0"/>
    <n v="0"/>
    <n v="0"/>
    <x v="0"/>
  </r>
  <r>
    <x v="0"/>
    <s v="鹿児島郡十島村"/>
    <x v="21"/>
    <x v="5"/>
    <n v="0"/>
    <n v="0"/>
    <n v="0"/>
    <n v="0"/>
    <n v="0"/>
    <n v="0"/>
    <x v="0"/>
  </r>
  <r>
    <x v="0"/>
    <s v="鹿児島郡十島村"/>
    <x v="21"/>
    <x v="6"/>
    <n v="4"/>
    <n v="8.33"/>
    <n v="3"/>
    <n v="9.3800000000000008"/>
    <n v="1"/>
    <n v="16.670000000000002"/>
    <x v="0"/>
  </r>
  <r>
    <x v="0"/>
    <s v="鹿児島郡十島村"/>
    <x v="21"/>
    <x v="7"/>
    <n v="0"/>
    <n v="0"/>
    <n v="0"/>
    <n v="0"/>
    <n v="0"/>
    <n v="0"/>
    <x v="0"/>
  </r>
  <r>
    <x v="0"/>
    <s v="鹿児島郡十島村"/>
    <x v="21"/>
    <x v="8"/>
    <n v="0"/>
    <n v="0"/>
    <n v="0"/>
    <n v="0"/>
    <n v="0"/>
    <n v="0"/>
    <x v="0"/>
  </r>
  <r>
    <x v="0"/>
    <s v="鹿児島郡十島村"/>
    <x v="21"/>
    <x v="9"/>
    <n v="0"/>
    <n v="0"/>
    <n v="0"/>
    <n v="0"/>
    <n v="0"/>
    <n v="0"/>
    <x v="0"/>
  </r>
  <r>
    <x v="0"/>
    <s v="鹿児島郡十島村"/>
    <x v="21"/>
    <x v="10"/>
    <n v="27"/>
    <n v="56.25"/>
    <n v="27"/>
    <n v="84.38"/>
    <n v="0"/>
    <n v="0"/>
    <x v="0"/>
  </r>
  <r>
    <x v="0"/>
    <s v="鹿児島郡十島村"/>
    <x v="21"/>
    <x v="11"/>
    <n v="0"/>
    <n v="0"/>
    <n v="0"/>
    <n v="0"/>
    <n v="0"/>
    <n v="0"/>
    <x v="0"/>
  </r>
  <r>
    <x v="0"/>
    <s v="鹿児島郡十島村"/>
    <x v="21"/>
    <x v="12"/>
    <n v="0"/>
    <n v="0"/>
    <n v="0"/>
    <n v="0"/>
    <n v="0"/>
    <n v="0"/>
    <x v="0"/>
  </r>
  <r>
    <x v="0"/>
    <s v="鹿児島郡十島村"/>
    <x v="21"/>
    <x v="13"/>
    <n v="11"/>
    <n v="22.92"/>
    <n v="0"/>
    <n v="0"/>
    <n v="1"/>
    <n v="16.670000000000002"/>
    <x v="0"/>
  </r>
  <r>
    <x v="0"/>
    <s v="鹿児島郡十島村"/>
    <x v="21"/>
    <x v="14"/>
    <n v="0"/>
    <n v="0"/>
    <n v="0"/>
    <n v="0"/>
    <n v="0"/>
    <n v="0"/>
    <x v="0"/>
  </r>
  <r>
    <x v="0"/>
    <s v="薩摩郡さつま町"/>
    <x v="22"/>
    <x v="0"/>
    <n v="0"/>
    <n v="0"/>
    <n v="0"/>
    <n v="0"/>
    <n v="0"/>
    <n v="0"/>
    <x v="0"/>
  </r>
  <r>
    <x v="0"/>
    <s v="薩摩郡さつま町"/>
    <x v="22"/>
    <x v="1"/>
    <n v="71"/>
    <n v="10.6"/>
    <n v="36"/>
    <n v="8.2200000000000006"/>
    <n v="35"/>
    <n v="16.28"/>
    <x v="0"/>
  </r>
  <r>
    <x v="0"/>
    <s v="薩摩郡さつま町"/>
    <x v="22"/>
    <x v="2"/>
    <n v="76"/>
    <n v="11.34"/>
    <n v="40"/>
    <n v="9.1300000000000008"/>
    <n v="36"/>
    <n v="16.739999999999998"/>
    <x v="0"/>
  </r>
  <r>
    <x v="0"/>
    <s v="薩摩郡さつま町"/>
    <x v="22"/>
    <x v="3"/>
    <n v="3"/>
    <n v="0.45"/>
    <n v="0"/>
    <n v="0"/>
    <n v="3"/>
    <n v="1.4"/>
    <x v="0"/>
  </r>
  <r>
    <x v="0"/>
    <s v="薩摩郡さつま町"/>
    <x v="22"/>
    <x v="4"/>
    <n v="1"/>
    <n v="0.15"/>
    <n v="0"/>
    <n v="0"/>
    <n v="1"/>
    <n v="0.47"/>
    <x v="0"/>
  </r>
  <r>
    <x v="0"/>
    <s v="薩摩郡さつま町"/>
    <x v="22"/>
    <x v="5"/>
    <n v="4"/>
    <n v="0.6"/>
    <n v="0"/>
    <n v="0"/>
    <n v="4"/>
    <n v="1.86"/>
    <x v="0"/>
  </r>
  <r>
    <x v="0"/>
    <s v="薩摩郡さつま町"/>
    <x v="22"/>
    <x v="6"/>
    <n v="184"/>
    <n v="27.46"/>
    <n v="118"/>
    <n v="26.94"/>
    <n v="64"/>
    <n v="29.77"/>
    <x v="5"/>
  </r>
  <r>
    <x v="0"/>
    <s v="薩摩郡さつま町"/>
    <x v="22"/>
    <x v="7"/>
    <n v="6"/>
    <n v="0.9"/>
    <n v="0"/>
    <n v="0"/>
    <n v="6"/>
    <n v="2.79"/>
    <x v="0"/>
  </r>
  <r>
    <x v="0"/>
    <s v="薩摩郡さつま町"/>
    <x v="22"/>
    <x v="8"/>
    <n v="28"/>
    <n v="4.18"/>
    <n v="16"/>
    <n v="3.65"/>
    <n v="12"/>
    <n v="5.58"/>
    <x v="0"/>
  </r>
  <r>
    <x v="0"/>
    <s v="薩摩郡さつま町"/>
    <x v="22"/>
    <x v="9"/>
    <n v="29"/>
    <n v="4.33"/>
    <n v="14"/>
    <n v="3.2"/>
    <n v="14"/>
    <n v="6.51"/>
    <x v="0"/>
  </r>
  <r>
    <x v="0"/>
    <s v="薩摩郡さつま町"/>
    <x v="22"/>
    <x v="10"/>
    <n v="81"/>
    <n v="12.09"/>
    <n v="71"/>
    <n v="16.21"/>
    <n v="8"/>
    <n v="3.72"/>
    <x v="2"/>
  </r>
  <r>
    <x v="0"/>
    <s v="薩摩郡さつま町"/>
    <x v="22"/>
    <x v="11"/>
    <n v="109"/>
    <n v="16.27"/>
    <n v="94"/>
    <n v="21.46"/>
    <n v="13"/>
    <n v="6.05"/>
    <x v="2"/>
  </r>
  <r>
    <x v="0"/>
    <s v="薩摩郡さつま町"/>
    <x v="22"/>
    <x v="12"/>
    <n v="26"/>
    <n v="3.88"/>
    <n v="18"/>
    <n v="4.1100000000000003"/>
    <n v="2"/>
    <n v="0.93"/>
    <x v="2"/>
  </r>
  <r>
    <x v="0"/>
    <s v="薩摩郡さつま町"/>
    <x v="22"/>
    <x v="13"/>
    <n v="24"/>
    <n v="3.58"/>
    <n v="13"/>
    <n v="2.97"/>
    <n v="8"/>
    <n v="3.72"/>
    <x v="2"/>
  </r>
  <r>
    <x v="0"/>
    <s v="薩摩郡さつま町"/>
    <x v="22"/>
    <x v="14"/>
    <n v="28"/>
    <n v="4.18"/>
    <n v="18"/>
    <n v="4.1100000000000003"/>
    <n v="9"/>
    <n v="4.1900000000000004"/>
    <x v="0"/>
  </r>
  <r>
    <x v="0"/>
    <s v="出水郡長島町"/>
    <x v="23"/>
    <x v="0"/>
    <n v="0"/>
    <n v="0"/>
    <n v="0"/>
    <n v="0"/>
    <n v="0"/>
    <n v="0"/>
    <x v="0"/>
  </r>
  <r>
    <x v="0"/>
    <s v="出水郡長島町"/>
    <x v="23"/>
    <x v="1"/>
    <n v="49"/>
    <n v="18.559999999999999"/>
    <n v="19"/>
    <n v="12.34"/>
    <n v="30"/>
    <n v="29.13"/>
    <x v="0"/>
  </r>
  <r>
    <x v="0"/>
    <s v="出水郡長島町"/>
    <x v="23"/>
    <x v="2"/>
    <n v="36"/>
    <n v="13.64"/>
    <n v="13"/>
    <n v="8.44"/>
    <n v="21"/>
    <n v="20.39"/>
    <x v="5"/>
  </r>
  <r>
    <x v="0"/>
    <s v="出水郡長島町"/>
    <x v="23"/>
    <x v="3"/>
    <n v="2"/>
    <n v="0.76"/>
    <n v="0"/>
    <n v="0"/>
    <n v="2"/>
    <n v="1.94"/>
    <x v="0"/>
  </r>
  <r>
    <x v="0"/>
    <s v="出水郡長島町"/>
    <x v="23"/>
    <x v="4"/>
    <n v="1"/>
    <n v="0.38"/>
    <n v="0"/>
    <n v="0"/>
    <n v="1"/>
    <n v="0.97"/>
    <x v="0"/>
  </r>
  <r>
    <x v="0"/>
    <s v="出水郡長島町"/>
    <x v="23"/>
    <x v="5"/>
    <n v="7"/>
    <n v="2.65"/>
    <n v="3"/>
    <n v="1.95"/>
    <n v="4"/>
    <n v="3.88"/>
    <x v="0"/>
  </r>
  <r>
    <x v="0"/>
    <s v="出水郡長島町"/>
    <x v="23"/>
    <x v="6"/>
    <n v="76"/>
    <n v="28.79"/>
    <n v="50"/>
    <n v="32.47"/>
    <n v="26"/>
    <n v="25.24"/>
    <x v="0"/>
  </r>
  <r>
    <x v="0"/>
    <s v="出水郡長島町"/>
    <x v="23"/>
    <x v="7"/>
    <n v="1"/>
    <n v="0.38"/>
    <n v="0"/>
    <n v="0"/>
    <n v="1"/>
    <n v="0.97"/>
    <x v="0"/>
  </r>
  <r>
    <x v="0"/>
    <s v="出水郡長島町"/>
    <x v="23"/>
    <x v="8"/>
    <n v="5"/>
    <n v="1.89"/>
    <n v="3"/>
    <n v="1.95"/>
    <n v="2"/>
    <n v="1.94"/>
    <x v="0"/>
  </r>
  <r>
    <x v="0"/>
    <s v="出水郡長島町"/>
    <x v="23"/>
    <x v="9"/>
    <n v="8"/>
    <n v="3.03"/>
    <n v="6"/>
    <n v="3.9"/>
    <n v="2"/>
    <n v="1.94"/>
    <x v="0"/>
  </r>
  <r>
    <x v="0"/>
    <s v="出水郡長島町"/>
    <x v="23"/>
    <x v="10"/>
    <n v="26"/>
    <n v="9.85"/>
    <n v="22"/>
    <n v="14.29"/>
    <n v="4"/>
    <n v="3.88"/>
    <x v="0"/>
  </r>
  <r>
    <x v="0"/>
    <s v="出水郡長島町"/>
    <x v="23"/>
    <x v="11"/>
    <n v="27"/>
    <n v="10.23"/>
    <n v="26"/>
    <n v="16.88"/>
    <n v="1"/>
    <n v="0.97"/>
    <x v="0"/>
  </r>
  <r>
    <x v="0"/>
    <s v="出水郡長島町"/>
    <x v="23"/>
    <x v="12"/>
    <n v="3"/>
    <n v="1.1399999999999999"/>
    <n v="0"/>
    <n v="0"/>
    <n v="0"/>
    <n v="0"/>
    <x v="0"/>
  </r>
  <r>
    <x v="0"/>
    <s v="出水郡長島町"/>
    <x v="23"/>
    <x v="13"/>
    <n v="7"/>
    <n v="2.65"/>
    <n v="3"/>
    <n v="1.95"/>
    <n v="2"/>
    <n v="1.94"/>
    <x v="0"/>
  </r>
  <r>
    <x v="0"/>
    <s v="出水郡長島町"/>
    <x v="23"/>
    <x v="14"/>
    <n v="16"/>
    <n v="6.06"/>
    <n v="9"/>
    <n v="5.84"/>
    <n v="7"/>
    <n v="6.8"/>
    <x v="0"/>
  </r>
  <r>
    <x v="0"/>
    <s v="姶良郡湧水町"/>
    <x v="24"/>
    <x v="0"/>
    <n v="0"/>
    <n v="0"/>
    <n v="0"/>
    <n v="0"/>
    <n v="0"/>
    <n v="0"/>
    <x v="0"/>
  </r>
  <r>
    <x v="0"/>
    <s v="姶良郡湧水町"/>
    <x v="24"/>
    <x v="1"/>
    <n v="38"/>
    <n v="13.29"/>
    <n v="9"/>
    <n v="5.08"/>
    <n v="29"/>
    <n v="27.62"/>
    <x v="0"/>
  </r>
  <r>
    <x v="0"/>
    <s v="姶良郡湧水町"/>
    <x v="24"/>
    <x v="2"/>
    <n v="29"/>
    <n v="10.14"/>
    <n v="17"/>
    <n v="9.6"/>
    <n v="12"/>
    <n v="11.43"/>
    <x v="0"/>
  </r>
  <r>
    <x v="0"/>
    <s v="姶良郡湧水町"/>
    <x v="24"/>
    <x v="3"/>
    <n v="3"/>
    <n v="1.05"/>
    <n v="0"/>
    <n v="0"/>
    <n v="2"/>
    <n v="1.9"/>
    <x v="0"/>
  </r>
  <r>
    <x v="0"/>
    <s v="姶良郡湧水町"/>
    <x v="24"/>
    <x v="4"/>
    <n v="0"/>
    <n v="0"/>
    <n v="0"/>
    <n v="0"/>
    <n v="0"/>
    <n v="0"/>
    <x v="0"/>
  </r>
  <r>
    <x v="0"/>
    <s v="姶良郡湧水町"/>
    <x v="24"/>
    <x v="5"/>
    <n v="4"/>
    <n v="1.4"/>
    <n v="1"/>
    <n v="0.56000000000000005"/>
    <n v="2"/>
    <n v="1.9"/>
    <x v="2"/>
  </r>
  <r>
    <x v="0"/>
    <s v="姶良郡湧水町"/>
    <x v="24"/>
    <x v="6"/>
    <n v="90"/>
    <n v="31.47"/>
    <n v="53"/>
    <n v="29.94"/>
    <n v="37"/>
    <n v="35.24"/>
    <x v="0"/>
  </r>
  <r>
    <x v="0"/>
    <s v="姶良郡湧水町"/>
    <x v="24"/>
    <x v="7"/>
    <n v="2"/>
    <n v="0.7"/>
    <n v="1"/>
    <n v="0.56000000000000005"/>
    <n v="1"/>
    <n v="0.95"/>
    <x v="0"/>
  </r>
  <r>
    <x v="0"/>
    <s v="姶良郡湧水町"/>
    <x v="24"/>
    <x v="8"/>
    <n v="8"/>
    <n v="2.8"/>
    <n v="6"/>
    <n v="3.39"/>
    <n v="2"/>
    <n v="1.9"/>
    <x v="0"/>
  </r>
  <r>
    <x v="0"/>
    <s v="姶良郡湧水町"/>
    <x v="24"/>
    <x v="9"/>
    <n v="11"/>
    <n v="3.85"/>
    <n v="9"/>
    <n v="5.08"/>
    <n v="2"/>
    <n v="1.9"/>
    <x v="0"/>
  </r>
  <r>
    <x v="0"/>
    <s v="姶良郡湧水町"/>
    <x v="24"/>
    <x v="10"/>
    <n v="29"/>
    <n v="10.14"/>
    <n v="22"/>
    <n v="12.43"/>
    <n v="6"/>
    <n v="5.71"/>
    <x v="0"/>
  </r>
  <r>
    <x v="0"/>
    <s v="姶良郡湧水町"/>
    <x v="24"/>
    <x v="11"/>
    <n v="37"/>
    <n v="12.94"/>
    <n v="33"/>
    <n v="18.64"/>
    <n v="4"/>
    <n v="3.81"/>
    <x v="0"/>
  </r>
  <r>
    <x v="0"/>
    <s v="姶良郡湧水町"/>
    <x v="24"/>
    <x v="12"/>
    <n v="14"/>
    <n v="4.9000000000000004"/>
    <n v="13"/>
    <n v="7.34"/>
    <n v="0"/>
    <n v="0"/>
    <x v="0"/>
  </r>
  <r>
    <x v="0"/>
    <s v="姶良郡湧水町"/>
    <x v="24"/>
    <x v="13"/>
    <n v="13"/>
    <n v="4.55"/>
    <n v="8"/>
    <n v="4.5199999999999996"/>
    <n v="5"/>
    <n v="4.76"/>
    <x v="0"/>
  </r>
  <r>
    <x v="0"/>
    <s v="姶良郡湧水町"/>
    <x v="24"/>
    <x v="14"/>
    <n v="8"/>
    <n v="2.8"/>
    <n v="5"/>
    <n v="2.82"/>
    <n v="3"/>
    <n v="2.86"/>
    <x v="0"/>
  </r>
  <r>
    <x v="0"/>
    <s v="曽於郡大崎町"/>
    <x v="25"/>
    <x v="0"/>
    <n v="0"/>
    <n v="0"/>
    <n v="0"/>
    <n v="0"/>
    <n v="0"/>
    <n v="0"/>
    <x v="0"/>
  </r>
  <r>
    <x v="0"/>
    <s v="曽於郡大崎町"/>
    <x v="25"/>
    <x v="1"/>
    <n v="43"/>
    <n v="12.95"/>
    <n v="15"/>
    <n v="7.65"/>
    <n v="28"/>
    <n v="21.88"/>
    <x v="0"/>
  </r>
  <r>
    <x v="0"/>
    <s v="曽於郡大崎町"/>
    <x v="25"/>
    <x v="2"/>
    <n v="31"/>
    <n v="9.34"/>
    <n v="11"/>
    <n v="5.61"/>
    <n v="20"/>
    <n v="15.63"/>
    <x v="0"/>
  </r>
  <r>
    <x v="0"/>
    <s v="曽於郡大崎町"/>
    <x v="25"/>
    <x v="3"/>
    <n v="4"/>
    <n v="1.2"/>
    <n v="0"/>
    <n v="0"/>
    <n v="4"/>
    <n v="3.13"/>
    <x v="0"/>
  </r>
  <r>
    <x v="0"/>
    <s v="曽於郡大崎町"/>
    <x v="25"/>
    <x v="4"/>
    <n v="1"/>
    <n v="0.3"/>
    <n v="1"/>
    <n v="0.51"/>
    <n v="0"/>
    <n v="0"/>
    <x v="0"/>
  </r>
  <r>
    <x v="0"/>
    <s v="曽於郡大崎町"/>
    <x v="25"/>
    <x v="5"/>
    <n v="7"/>
    <n v="2.11"/>
    <n v="3"/>
    <n v="1.53"/>
    <n v="4"/>
    <n v="3.13"/>
    <x v="0"/>
  </r>
  <r>
    <x v="0"/>
    <s v="曽於郡大崎町"/>
    <x v="25"/>
    <x v="6"/>
    <n v="95"/>
    <n v="28.61"/>
    <n v="52"/>
    <n v="26.53"/>
    <n v="43"/>
    <n v="33.590000000000003"/>
    <x v="0"/>
  </r>
  <r>
    <x v="0"/>
    <s v="曽於郡大崎町"/>
    <x v="25"/>
    <x v="7"/>
    <n v="2"/>
    <n v="0.6"/>
    <n v="0"/>
    <n v="0"/>
    <n v="2"/>
    <n v="1.56"/>
    <x v="0"/>
  </r>
  <r>
    <x v="0"/>
    <s v="曽於郡大崎町"/>
    <x v="25"/>
    <x v="8"/>
    <n v="5"/>
    <n v="1.51"/>
    <n v="2"/>
    <n v="1.02"/>
    <n v="3"/>
    <n v="2.34"/>
    <x v="0"/>
  </r>
  <r>
    <x v="0"/>
    <s v="曽於郡大崎町"/>
    <x v="25"/>
    <x v="9"/>
    <n v="14"/>
    <n v="4.22"/>
    <n v="11"/>
    <n v="5.61"/>
    <n v="3"/>
    <n v="2.34"/>
    <x v="0"/>
  </r>
  <r>
    <x v="0"/>
    <s v="曽於郡大崎町"/>
    <x v="25"/>
    <x v="10"/>
    <n v="35"/>
    <n v="10.54"/>
    <n v="28"/>
    <n v="14.29"/>
    <n v="6"/>
    <n v="4.6900000000000004"/>
    <x v="0"/>
  </r>
  <r>
    <x v="0"/>
    <s v="曽於郡大崎町"/>
    <x v="25"/>
    <x v="11"/>
    <n v="44"/>
    <n v="13.25"/>
    <n v="41"/>
    <n v="20.92"/>
    <n v="2"/>
    <n v="1.56"/>
    <x v="0"/>
  </r>
  <r>
    <x v="0"/>
    <s v="曽於郡大崎町"/>
    <x v="25"/>
    <x v="12"/>
    <n v="8"/>
    <n v="2.41"/>
    <n v="4"/>
    <n v="2.04"/>
    <n v="3"/>
    <n v="2.34"/>
    <x v="0"/>
  </r>
  <r>
    <x v="0"/>
    <s v="曽於郡大崎町"/>
    <x v="25"/>
    <x v="13"/>
    <n v="17"/>
    <n v="5.12"/>
    <n v="9"/>
    <n v="4.59"/>
    <n v="8"/>
    <n v="6.25"/>
    <x v="0"/>
  </r>
  <r>
    <x v="0"/>
    <s v="曽於郡大崎町"/>
    <x v="25"/>
    <x v="14"/>
    <n v="26"/>
    <n v="7.83"/>
    <n v="19"/>
    <n v="9.69"/>
    <n v="2"/>
    <n v="1.56"/>
    <x v="0"/>
  </r>
  <r>
    <x v="0"/>
    <s v="肝属郡東串良町"/>
    <x v="26"/>
    <x v="0"/>
    <n v="1"/>
    <n v="0.49"/>
    <n v="0"/>
    <n v="0"/>
    <n v="1"/>
    <n v="1.54"/>
    <x v="0"/>
  </r>
  <r>
    <x v="0"/>
    <s v="肝属郡東串良町"/>
    <x v="26"/>
    <x v="1"/>
    <n v="31"/>
    <n v="15.27"/>
    <n v="16"/>
    <n v="12.12"/>
    <n v="15"/>
    <n v="23.08"/>
    <x v="0"/>
  </r>
  <r>
    <x v="0"/>
    <s v="肝属郡東串良町"/>
    <x v="26"/>
    <x v="2"/>
    <n v="20"/>
    <n v="9.85"/>
    <n v="10"/>
    <n v="7.58"/>
    <n v="8"/>
    <n v="12.31"/>
    <x v="2"/>
  </r>
  <r>
    <x v="0"/>
    <s v="肝属郡東串良町"/>
    <x v="26"/>
    <x v="3"/>
    <n v="4"/>
    <n v="1.97"/>
    <n v="0"/>
    <n v="0"/>
    <n v="3"/>
    <n v="4.62"/>
    <x v="0"/>
  </r>
  <r>
    <x v="0"/>
    <s v="肝属郡東串良町"/>
    <x v="26"/>
    <x v="4"/>
    <n v="1"/>
    <n v="0.49"/>
    <n v="1"/>
    <n v="0.76"/>
    <n v="0"/>
    <n v="0"/>
    <x v="0"/>
  </r>
  <r>
    <x v="0"/>
    <s v="肝属郡東串良町"/>
    <x v="26"/>
    <x v="5"/>
    <n v="2"/>
    <n v="0.99"/>
    <n v="1"/>
    <n v="0.76"/>
    <n v="1"/>
    <n v="1.54"/>
    <x v="0"/>
  </r>
  <r>
    <x v="0"/>
    <s v="肝属郡東串良町"/>
    <x v="26"/>
    <x v="6"/>
    <n v="63"/>
    <n v="31.03"/>
    <n v="46"/>
    <n v="34.85"/>
    <n v="17"/>
    <n v="26.15"/>
    <x v="0"/>
  </r>
  <r>
    <x v="0"/>
    <s v="肝属郡東串良町"/>
    <x v="26"/>
    <x v="7"/>
    <n v="1"/>
    <n v="0.49"/>
    <n v="0"/>
    <n v="0"/>
    <n v="1"/>
    <n v="1.54"/>
    <x v="0"/>
  </r>
  <r>
    <x v="0"/>
    <s v="肝属郡東串良町"/>
    <x v="26"/>
    <x v="8"/>
    <n v="4"/>
    <n v="1.97"/>
    <n v="1"/>
    <n v="0.76"/>
    <n v="3"/>
    <n v="4.62"/>
    <x v="0"/>
  </r>
  <r>
    <x v="0"/>
    <s v="肝属郡東串良町"/>
    <x v="26"/>
    <x v="9"/>
    <n v="6"/>
    <n v="2.96"/>
    <n v="6"/>
    <n v="4.55"/>
    <n v="0"/>
    <n v="0"/>
    <x v="0"/>
  </r>
  <r>
    <x v="0"/>
    <s v="肝属郡東串良町"/>
    <x v="26"/>
    <x v="10"/>
    <n v="7"/>
    <n v="3.45"/>
    <n v="4"/>
    <n v="3.03"/>
    <n v="2"/>
    <n v="3.08"/>
    <x v="0"/>
  </r>
  <r>
    <x v="0"/>
    <s v="肝属郡東串良町"/>
    <x v="26"/>
    <x v="11"/>
    <n v="26"/>
    <n v="12.81"/>
    <n v="24"/>
    <n v="18.18"/>
    <n v="1"/>
    <n v="1.54"/>
    <x v="0"/>
  </r>
  <r>
    <x v="0"/>
    <s v="肝属郡東串良町"/>
    <x v="26"/>
    <x v="12"/>
    <n v="6"/>
    <n v="2.96"/>
    <n v="5"/>
    <n v="3.79"/>
    <n v="0"/>
    <n v="0"/>
    <x v="0"/>
  </r>
  <r>
    <x v="0"/>
    <s v="肝属郡東串良町"/>
    <x v="26"/>
    <x v="13"/>
    <n v="14"/>
    <n v="6.9"/>
    <n v="5"/>
    <n v="3.79"/>
    <n v="9"/>
    <n v="13.85"/>
    <x v="0"/>
  </r>
  <r>
    <x v="0"/>
    <s v="肝属郡東串良町"/>
    <x v="26"/>
    <x v="14"/>
    <n v="17"/>
    <n v="8.3699999999999992"/>
    <n v="13"/>
    <n v="9.85"/>
    <n v="4"/>
    <n v="6.15"/>
    <x v="0"/>
  </r>
  <r>
    <x v="0"/>
    <s v="肝属郡錦江町"/>
    <x v="27"/>
    <x v="0"/>
    <n v="0"/>
    <n v="0"/>
    <n v="0"/>
    <n v="0"/>
    <n v="0"/>
    <n v="0"/>
    <x v="0"/>
  </r>
  <r>
    <x v="0"/>
    <s v="肝属郡錦江町"/>
    <x v="27"/>
    <x v="1"/>
    <n v="20"/>
    <n v="10.81"/>
    <n v="9"/>
    <n v="7.44"/>
    <n v="11"/>
    <n v="18.329999999999998"/>
    <x v="0"/>
  </r>
  <r>
    <x v="0"/>
    <s v="肝属郡錦江町"/>
    <x v="27"/>
    <x v="2"/>
    <n v="17"/>
    <n v="9.19"/>
    <n v="5"/>
    <n v="4.13"/>
    <n v="12"/>
    <n v="20"/>
    <x v="0"/>
  </r>
  <r>
    <x v="0"/>
    <s v="肝属郡錦江町"/>
    <x v="27"/>
    <x v="3"/>
    <n v="1"/>
    <n v="0.54"/>
    <n v="0"/>
    <n v="0"/>
    <n v="0"/>
    <n v="0"/>
    <x v="0"/>
  </r>
  <r>
    <x v="0"/>
    <s v="肝属郡錦江町"/>
    <x v="27"/>
    <x v="4"/>
    <n v="0"/>
    <n v="0"/>
    <n v="0"/>
    <n v="0"/>
    <n v="0"/>
    <n v="0"/>
    <x v="0"/>
  </r>
  <r>
    <x v="0"/>
    <s v="肝属郡錦江町"/>
    <x v="27"/>
    <x v="5"/>
    <n v="0"/>
    <n v="0"/>
    <n v="0"/>
    <n v="0"/>
    <n v="0"/>
    <n v="0"/>
    <x v="0"/>
  </r>
  <r>
    <x v="0"/>
    <s v="肝属郡錦江町"/>
    <x v="27"/>
    <x v="6"/>
    <n v="74"/>
    <n v="40"/>
    <n v="51"/>
    <n v="42.15"/>
    <n v="23"/>
    <n v="38.33"/>
    <x v="0"/>
  </r>
  <r>
    <x v="0"/>
    <s v="肝属郡錦江町"/>
    <x v="27"/>
    <x v="7"/>
    <n v="0"/>
    <n v="0"/>
    <n v="0"/>
    <n v="0"/>
    <n v="0"/>
    <n v="0"/>
    <x v="0"/>
  </r>
  <r>
    <x v="0"/>
    <s v="肝属郡錦江町"/>
    <x v="27"/>
    <x v="8"/>
    <n v="2"/>
    <n v="1.08"/>
    <n v="0"/>
    <n v="0"/>
    <n v="1"/>
    <n v="1.67"/>
    <x v="0"/>
  </r>
  <r>
    <x v="0"/>
    <s v="肝属郡錦江町"/>
    <x v="27"/>
    <x v="9"/>
    <n v="2"/>
    <n v="1.08"/>
    <n v="2"/>
    <n v="1.65"/>
    <n v="0"/>
    <n v="0"/>
    <x v="0"/>
  </r>
  <r>
    <x v="0"/>
    <s v="肝属郡錦江町"/>
    <x v="27"/>
    <x v="10"/>
    <n v="15"/>
    <n v="8.11"/>
    <n v="10"/>
    <n v="8.26"/>
    <n v="5"/>
    <n v="8.33"/>
    <x v="0"/>
  </r>
  <r>
    <x v="0"/>
    <s v="肝属郡錦江町"/>
    <x v="27"/>
    <x v="11"/>
    <n v="27"/>
    <n v="14.59"/>
    <n v="25"/>
    <n v="20.66"/>
    <n v="2"/>
    <n v="3.33"/>
    <x v="0"/>
  </r>
  <r>
    <x v="0"/>
    <s v="肝属郡錦江町"/>
    <x v="27"/>
    <x v="12"/>
    <n v="4"/>
    <n v="2.16"/>
    <n v="3"/>
    <n v="2.48"/>
    <n v="0"/>
    <n v="0"/>
    <x v="0"/>
  </r>
  <r>
    <x v="0"/>
    <s v="肝属郡錦江町"/>
    <x v="27"/>
    <x v="13"/>
    <n v="12"/>
    <n v="6.49"/>
    <n v="7"/>
    <n v="5.79"/>
    <n v="5"/>
    <n v="8.33"/>
    <x v="0"/>
  </r>
  <r>
    <x v="0"/>
    <s v="肝属郡錦江町"/>
    <x v="27"/>
    <x v="14"/>
    <n v="11"/>
    <n v="5.95"/>
    <n v="9"/>
    <n v="7.44"/>
    <n v="1"/>
    <n v="1.67"/>
    <x v="0"/>
  </r>
  <r>
    <x v="0"/>
    <s v="肝属郡南大隅町"/>
    <x v="28"/>
    <x v="0"/>
    <n v="0"/>
    <n v="0"/>
    <n v="0"/>
    <n v="0"/>
    <n v="0"/>
    <n v="0"/>
    <x v="0"/>
  </r>
  <r>
    <x v="0"/>
    <s v="肝属郡南大隅町"/>
    <x v="28"/>
    <x v="1"/>
    <n v="28"/>
    <n v="14.07"/>
    <n v="15"/>
    <n v="11.36"/>
    <n v="13"/>
    <n v="21.31"/>
    <x v="0"/>
  </r>
  <r>
    <x v="0"/>
    <s v="肝属郡南大隅町"/>
    <x v="28"/>
    <x v="2"/>
    <n v="19"/>
    <n v="9.5500000000000007"/>
    <n v="8"/>
    <n v="6.06"/>
    <n v="10"/>
    <n v="16.39"/>
    <x v="2"/>
  </r>
  <r>
    <x v="0"/>
    <s v="肝属郡南大隅町"/>
    <x v="28"/>
    <x v="3"/>
    <n v="4"/>
    <n v="2.0099999999999998"/>
    <n v="0"/>
    <n v="0"/>
    <n v="2"/>
    <n v="3.28"/>
    <x v="0"/>
  </r>
  <r>
    <x v="0"/>
    <s v="肝属郡南大隅町"/>
    <x v="28"/>
    <x v="4"/>
    <n v="1"/>
    <n v="0.5"/>
    <n v="0"/>
    <n v="0"/>
    <n v="1"/>
    <n v="1.64"/>
    <x v="0"/>
  </r>
  <r>
    <x v="0"/>
    <s v="肝属郡南大隅町"/>
    <x v="28"/>
    <x v="5"/>
    <n v="2"/>
    <n v="1.01"/>
    <n v="0"/>
    <n v="0"/>
    <n v="1"/>
    <n v="1.64"/>
    <x v="2"/>
  </r>
  <r>
    <x v="0"/>
    <s v="肝属郡南大隅町"/>
    <x v="28"/>
    <x v="6"/>
    <n v="62"/>
    <n v="31.16"/>
    <n v="40"/>
    <n v="30.3"/>
    <n v="22"/>
    <n v="36.07"/>
    <x v="0"/>
  </r>
  <r>
    <x v="0"/>
    <s v="肝属郡南大隅町"/>
    <x v="28"/>
    <x v="7"/>
    <n v="1"/>
    <n v="0.5"/>
    <n v="1"/>
    <n v="0.76"/>
    <n v="0"/>
    <n v="0"/>
    <x v="0"/>
  </r>
  <r>
    <x v="0"/>
    <s v="肝属郡南大隅町"/>
    <x v="28"/>
    <x v="8"/>
    <n v="6"/>
    <n v="3.02"/>
    <n v="6"/>
    <n v="4.55"/>
    <n v="0"/>
    <n v="0"/>
    <x v="0"/>
  </r>
  <r>
    <x v="0"/>
    <s v="肝属郡南大隅町"/>
    <x v="28"/>
    <x v="9"/>
    <n v="6"/>
    <n v="3.02"/>
    <n v="3"/>
    <n v="2.27"/>
    <n v="3"/>
    <n v="4.92"/>
    <x v="0"/>
  </r>
  <r>
    <x v="0"/>
    <s v="肝属郡南大隅町"/>
    <x v="28"/>
    <x v="10"/>
    <n v="18"/>
    <n v="9.0500000000000007"/>
    <n v="16"/>
    <n v="12.12"/>
    <n v="2"/>
    <n v="3.28"/>
    <x v="0"/>
  </r>
  <r>
    <x v="0"/>
    <s v="肝属郡南大隅町"/>
    <x v="28"/>
    <x v="11"/>
    <n v="30"/>
    <n v="15.08"/>
    <n v="30"/>
    <n v="22.73"/>
    <n v="0"/>
    <n v="0"/>
    <x v="0"/>
  </r>
  <r>
    <x v="0"/>
    <s v="肝属郡南大隅町"/>
    <x v="28"/>
    <x v="12"/>
    <n v="5"/>
    <n v="2.5099999999999998"/>
    <n v="3"/>
    <n v="2.27"/>
    <n v="1"/>
    <n v="1.64"/>
    <x v="0"/>
  </r>
  <r>
    <x v="0"/>
    <s v="肝属郡南大隅町"/>
    <x v="28"/>
    <x v="13"/>
    <n v="9"/>
    <n v="4.5199999999999996"/>
    <n v="5"/>
    <n v="3.79"/>
    <n v="3"/>
    <n v="4.92"/>
    <x v="0"/>
  </r>
  <r>
    <x v="0"/>
    <s v="肝属郡南大隅町"/>
    <x v="28"/>
    <x v="14"/>
    <n v="8"/>
    <n v="4.0199999999999996"/>
    <n v="5"/>
    <n v="3.79"/>
    <n v="3"/>
    <n v="4.92"/>
    <x v="0"/>
  </r>
  <r>
    <x v="0"/>
    <s v="肝属郡肝付町"/>
    <x v="29"/>
    <x v="0"/>
    <n v="0"/>
    <n v="0"/>
    <n v="0"/>
    <n v="0"/>
    <n v="0"/>
    <n v="0"/>
    <x v="0"/>
  </r>
  <r>
    <x v="0"/>
    <s v="肝属郡肝付町"/>
    <x v="29"/>
    <x v="1"/>
    <n v="56"/>
    <n v="14.25"/>
    <n v="30"/>
    <n v="12.05"/>
    <n v="26"/>
    <n v="20.63"/>
    <x v="0"/>
  </r>
  <r>
    <x v="0"/>
    <s v="肝属郡肝付町"/>
    <x v="29"/>
    <x v="2"/>
    <n v="27"/>
    <n v="6.87"/>
    <n v="13"/>
    <n v="5.22"/>
    <n v="14"/>
    <n v="11.11"/>
    <x v="0"/>
  </r>
  <r>
    <x v="0"/>
    <s v="肝属郡肝付町"/>
    <x v="29"/>
    <x v="3"/>
    <n v="1"/>
    <n v="0.25"/>
    <n v="0"/>
    <n v="0"/>
    <n v="1"/>
    <n v="0.79"/>
    <x v="0"/>
  </r>
  <r>
    <x v="0"/>
    <s v="肝属郡肝付町"/>
    <x v="29"/>
    <x v="4"/>
    <n v="2"/>
    <n v="0.51"/>
    <n v="1"/>
    <n v="0.4"/>
    <n v="1"/>
    <n v="0.79"/>
    <x v="0"/>
  </r>
  <r>
    <x v="0"/>
    <s v="肝属郡肝付町"/>
    <x v="29"/>
    <x v="5"/>
    <n v="6"/>
    <n v="1.53"/>
    <n v="2"/>
    <n v="0.8"/>
    <n v="4"/>
    <n v="3.17"/>
    <x v="0"/>
  </r>
  <r>
    <x v="0"/>
    <s v="肝属郡肝付町"/>
    <x v="29"/>
    <x v="6"/>
    <n v="127"/>
    <n v="32.32"/>
    <n v="86"/>
    <n v="34.54"/>
    <n v="40"/>
    <n v="31.75"/>
    <x v="2"/>
  </r>
  <r>
    <x v="0"/>
    <s v="肝属郡肝付町"/>
    <x v="29"/>
    <x v="7"/>
    <n v="1"/>
    <n v="0.25"/>
    <n v="0"/>
    <n v="0"/>
    <n v="1"/>
    <n v="0.79"/>
    <x v="0"/>
  </r>
  <r>
    <x v="0"/>
    <s v="肝属郡肝付町"/>
    <x v="29"/>
    <x v="8"/>
    <n v="8"/>
    <n v="2.04"/>
    <n v="1"/>
    <n v="0.4"/>
    <n v="6"/>
    <n v="4.76"/>
    <x v="0"/>
  </r>
  <r>
    <x v="0"/>
    <s v="肝属郡肝付町"/>
    <x v="29"/>
    <x v="9"/>
    <n v="15"/>
    <n v="3.82"/>
    <n v="2"/>
    <n v="0.8"/>
    <n v="12"/>
    <n v="9.52"/>
    <x v="0"/>
  </r>
  <r>
    <x v="0"/>
    <s v="肝属郡肝付町"/>
    <x v="29"/>
    <x v="10"/>
    <n v="43"/>
    <n v="10.94"/>
    <n v="36"/>
    <n v="14.46"/>
    <n v="6"/>
    <n v="4.76"/>
    <x v="0"/>
  </r>
  <r>
    <x v="0"/>
    <s v="肝属郡肝付町"/>
    <x v="29"/>
    <x v="11"/>
    <n v="59"/>
    <n v="15.01"/>
    <n v="54"/>
    <n v="21.69"/>
    <n v="4"/>
    <n v="3.17"/>
    <x v="0"/>
  </r>
  <r>
    <x v="0"/>
    <s v="肝属郡肝付町"/>
    <x v="29"/>
    <x v="12"/>
    <n v="19"/>
    <n v="4.83"/>
    <n v="6"/>
    <n v="2.41"/>
    <n v="0"/>
    <n v="0"/>
    <x v="0"/>
  </r>
  <r>
    <x v="0"/>
    <s v="肝属郡肝付町"/>
    <x v="29"/>
    <x v="13"/>
    <n v="15"/>
    <n v="3.82"/>
    <n v="9"/>
    <n v="3.61"/>
    <n v="6"/>
    <n v="4.76"/>
    <x v="0"/>
  </r>
  <r>
    <x v="0"/>
    <s v="肝属郡肝付町"/>
    <x v="29"/>
    <x v="14"/>
    <n v="14"/>
    <n v="3.56"/>
    <n v="9"/>
    <n v="3.61"/>
    <n v="5"/>
    <n v="3.97"/>
    <x v="0"/>
  </r>
  <r>
    <x v="0"/>
    <s v="熊毛郡中種子町"/>
    <x v="30"/>
    <x v="0"/>
    <n v="0"/>
    <n v="0"/>
    <n v="0"/>
    <n v="0"/>
    <n v="0"/>
    <n v="0"/>
    <x v="0"/>
  </r>
  <r>
    <x v="0"/>
    <s v="熊毛郡中種子町"/>
    <x v="30"/>
    <x v="1"/>
    <n v="28"/>
    <n v="11.11"/>
    <n v="15"/>
    <n v="8.8800000000000008"/>
    <n v="13"/>
    <n v="16.88"/>
    <x v="0"/>
  </r>
  <r>
    <x v="0"/>
    <s v="熊毛郡中種子町"/>
    <x v="30"/>
    <x v="2"/>
    <n v="13"/>
    <n v="5.16"/>
    <n v="8"/>
    <n v="4.7300000000000004"/>
    <n v="5"/>
    <n v="6.49"/>
    <x v="0"/>
  </r>
  <r>
    <x v="0"/>
    <s v="熊毛郡中種子町"/>
    <x v="30"/>
    <x v="3"/>
    <n v="0"/>
    <n v="0"/>
    <n v="0"/>
    <n v="0"/>
    <n v="0"/>
    <n v="0"/>
    <x v="0"/>
  </r>
  <r>
    <x v="0"/>
    <s v="熊毛郡中種子町"/>
    <x v="30"/>
    <x v="4"/>
    <n v="2"/>
    <n v="0.79"/>
    <n v="0"/>
    <n v="0"/>
    <n v="2"/>
    <n v="2.6"/>
    <x v="0"/>
  </r>
  <r>
    <x v="0"/>
    <s v="熊毛郡中種子町"/>
    <x v="30"/>
    <x v="5"/>
    <n v="2"/>
    <n v="0.79"/>
    <n v="1"/>
    <n v="0.59"/>
    <n v="1"/>
    <n v="1.3"/>
    <x v="0"/>
  </r>
  <r>
    <x v="0"/>
    <s v="熊毛郡中種子町"/>
    <x v="30"/>
    <x v="6"/>
    <n v="70"/>
    <n v="27.78"/>
    <n v="39"/>
    <n v="23.08"/>
    <n v="30"/>
    <n v="38.96"/>
    <x v="2"/>
  </r>
  <r>
    <x v="0"/>
    <s v="熊毛郡中種子町"/>
    <x v="30"/>
    <x v="7"/>
    <n v="1"/>
    <n v="0.4"/>
    <n v="1"/>
    <n v="0.59"/>
    <n v="0"/>
    <n v="0"/>
    <x v="0"/>
  </r>
  <r>
    <x v="0"/>
    <s v="熊毛郡中種子町"/>
    <x v="30"/>
    <x v="8"/>
    <n v="8"/>
    <n v="3.17"/>
    <n v="0"/>
    <n v="0"/>
    <n v="8"/>
    <n v="10.39"/>
    <x v="0"/>
  </r>
  <r>
    <x v="0"/>
    <s v="熊毛郡中種子町"/>
    <x v="30"/>
    <x v="9"/>
    <n v="14"/>
    <n v="5.56"/>
    <n v="9"/>
    <n v="5.33"/>
    <n v="5"/>
    <n v="6.49"/>
    <x v="0"/>
  </r>
  <r>
    <x v="0"/>
    <s v="熊毛郡中種子町"/>
    <x v="30"/>
    <x v="10"/>
    <n v="45"/>
    <n v="17.86"/>
    <n v="41"/>
    <n v="24.26"/>
    <n v="4"/>
    <n v="5.19"/>
    <x v="0"/>
  </r>
  <r>
    <x v="0"/>
    <s v="熊毛郡中種子町"/>
    <x v="30"/>
    <x v="11"/>
    <n v="32"/>
    <n v="12.7"/>
    <n v="29"/>
    <n v="17.16"/>
    <n v="2"/>
    <n v="2.6"/>
    <x v="0"/>
  </r>
  <r>
    <x v="0"/>
    <s v="熊毛郡中種子町"/>
    <x v="30"/>
    <x v="12"/>
    <n v="8"/>
    <n v="3.17"/>
    <n v="6"/>
    <n v="3.55"/>
    <n v="0"/>
    <n v="0"/>
    <x v="0"/>
  </r>
  <r>
    <x v="0"/>
    <s v="熊毛郡中種子町"/>
    <x v="30"/>
    <x v="13"/>
    <n v="11"/>
    <n v="4.37"/>
    <n v="8"/>
    <n v="4.7300000000000004"/>
    <n v="3"/>
    <n v="3.9"/>
    <x v="0"/>
  </r>
  <r>
    <x v="0"/>
    <s v="熊毛郡中種子町"/>
    <x v="30"/>
    <x v="14"/>
    <n v="18"/>
    <n v="7.14"/>
    <n v="12"/>
    <n v="7.1"/>
    <n v="4"/>
    <n v="5.19"/>
    <x v="0"/>
  </r>
  <r>
    <x v="0"/>
    <s v="熊毛郡南種子町"/>
    <x v="31"/>
    <x v="0"/>
    <n v="0"/>
    <n v="0"/>
    <n v="0"/>
    <n v="0"/>
    <n v="0"/>
    <n v="0"/>
    <x v="0"/>
  </r>
  <r>
    <x v="0"/>
    <s v="熊毛郡南種子町"/>
    <x v="31"/>
    <x v="1"/>
    <n v="27"/>
    <n v="12"/>
    <n v="8"/>
    <n v="5.37"/>
    <n v="19"/>
    <n v="27.54"/>
    <x v="0"/>
  </r>
  <r>
    <x v="0"/>
    <s v="熊毛郡南種子町"/>
    <x v="31"/>
    <x v="2"/>
    <n v="14"/>
    <n v="6.22"/>
    <n v="7"/>
    <n v="4.7"/>
    <n v="7"/>
    <n v="10.14"/>
    <x v="0"/>
  </r>
  <r>
    <x v="0"/>
    <s v="熊毛郡南種子町"/>
    <x v="31"/>
    <x v="3"/>
    <n v="0"/>
    <n v="0"/>
    <n v="0"/>
    <n v="0"/>
    <n v="0"/>
    <n v="0"/>
    <x v="0"/>
  </r>
  <r>
    <x v="0"/>
    <s v="熊毛郡南種子町"/>
    <x v="31"/>
    <x v="4"/>
    <n v="3"/>
    <n v="1.33"/>
    <n v="1"/>
    <n v="0.67"/>
    <n v="2"/>
    <n v="2.9"/>
    <x v="0"/>
  </r>
  <r>
    <x v="0"/>
    <s v="熊毛郡南種子町"/>
    <x v="31"/>
    <x v="5"/>
    <n v="4"/>
    <n v="1.78"/>
    <n v="3"/>
    <n v="2.0099999999999998"/>
    <n v="1"/>
    <n v="1.45"/>
    <x v="0"/>
  </r>
  <r>
    <x v="0"/>
    <s v="熊毛郡南種子町"/>
    <x v="31"/>
    <x v="6"/>
    <n v="57"/>
    <n v="25.33"/>
    <n v="41"/>
    <n v="27.52"/>
    <n v="15"/>
    <n v="21.74"/>
    <x v="2"/>
  </r>
  <r>
    <x v="0"/>
    <s v="熊毛郡南種子町"/>
    <x v="31"/>
    <x v="7"/>
    <n v="1"/>
    <n v="0.44"/>
    <n v="0"/>
    <n v="0"/>
    <n v="1"/>
    <n v="1.45"/>
    <x v="0"/>
  </r>
  <r>
    <x v="0"/>
    <s v="熊毛郡南種子町"/>
    <x v="31"/>
    <x v="8"/>
    <n v="2"/>
    <n v="0.89"/>
    <n v="1"/>
    <n v="0.67"/>
    <n v="1"/>
    <n v="1.45"/>
    <x v="0"/>
  </r>
  <r>
    <x v="0"/>
    <s v="熊毛郡南種子町"/>
    <x v="31"/>
    <x v="9"/>
    <n v="6"/>
    <n v="2.67"/>
    <n v="0"/>
    <n v="0"/>
    <n v="6"/>
    <n v="8.6999999999999993"/>
    <x v="0"/>
  </r>
  <r>
    <x v="0"/>
    <s v="熊毛郡南種子町"/>
    <x v="31"/>
    <x v="10"/>
    <n v="60"/>
    <n v="26.67"/>
    <n v="50"/>
    <n v="33.56"/>
    <n v="10"/>
    <n v="14.49"/>
    <x v="0"/>
  </r>
  <r>
    <x v="0"/>
    <s v="熊毛郡南種子町"/>
    <x v="31"/>
    <x v="11"/>
    <n v="28"/>
    <n v="12.44"/>
    <n v="25"/>
    <n v="16.78"/>
    <n v="2"/>
    <n v="2.9"/>
    <x v="2"/>
  </r>
  <r>
    <x v="0"/>
    <s v="熊毛郡南種子町"/>
    <x v="31"/>
    <x v="12"/>
    <n v="11"/>
    <n v="4.8899999999999997"/>
    <n v="6"/>
    <n v="4.03"/>
    <n v="0"/>
    <n v="0"/>
    <x v="0"/>
  </r>
  <r>
    <x v="0"/>
    <s v="熊毛郡南種子町"/>
    <x v="31"/>
    <x v="13"/>
    <n v="3"/>
    <n v="1.33"/>
    <n v="1"/>
    <n v="0.67"/>
    <n v="2"/>
    <n v="2.9"/>
    <x v="0"/>
  </r>
  <r>
    <x v="0"/>
    <s v="熊毛郡南種子町"/>
    <x v="31"/>
    <x v="14"/>
    <n v="9"/>
    <n v="4"/>
    <n v="6"/>
    <n v="4.03"/>
    <n v="3"/>
    <n v="4.3499999999999996"/>
    <x v="0"/>
  </r>
  <r>
    <x v="0"/>
    <s v="熊毛郡屋久島町"/>
    <x v="32"/>
    <x v="0"/>
    <n v="0"/>
    <n v="0"/>
    <n v="0"/>
    <n v="0"/>
    <n v="0"/>
    <n v="0"/>
    <x v="0"/>
  </r>
  <r>
    <x v="0"/>
    <s v="熊毛郡屋久島町"/>
    <x v="32"/>
    <x v="1"/>
    <n v="63"/>
    <n v="9.4600000000000009"/>
    <n v="25"/>
    <n v="5.46"/>
    <n v="38"/>
    <n v="20.11"/>
    <x v="0"/>
  </r>
  <r>
    <x v="0"/>
    <s v="熊毛郡屋久島町"/>
    <x v="32"/>
    <x v="2"/>
    <n v="53"/>
    <n v="7.96"/>
    <n v="27"/>
    <n v="5.9"/>
    <n v="23"/>
    <n v="12.17"/>
    <x v="6"/>
  </r>
  <r>
    <x v="0"/>
    <s v="熊毛郡屋久島町"/>
    <x v="32"/>
    <x v="3"/>
    <n v="0"/>
    <n v="0"/>
    <n v="0"/>
    <n v="0"/>
    <n v="0"/>
    <n v="0"/>
    <x v="0"/>
  </r>
  <r>
    <x v="0"/>
    <s v="熊毛郡屋久島町"/>
    <x v="32"/>
    <x v="4"/>
    <n v="2"/>
    <n v="0.3"/>
    <n v="0"/>
    <n v="0"/>
    <n v="2"/>
    <n v="1.06"/>
    <x v="0"/>
  </r>
  <r>
    <x v="0"/>
    <s v="熊毛郡屋久島町"/>
    <x v="32"/>
    <x v="5"/>
    <n v="2"/>
    <n v="0.3"/>
    <n v="0"/>
    <n v="0"/>
    <n v="2"/>
    <n v="1.06"/>
    <x v="0"/>
  </r>
  <r>
    <x v="0"/>
    <s v="熊毛郡屋久島町"/>
    <x v="32"/>
    <x v="6"/>
    <n v="153"/>
    <n v="22.97"/>
    <n v="90"/>
    <n v="19.649999999999999"/>
    <n v="60"/>
    <n v="31.75"/>
    <x v="6"/>
  </r>
  <r>
    <x v="0"/>
    <s v="熊毛郡屋久島町"/>
    <x v="32"/>
    <x v="7"/>
    <n v="4"/>
    <n v="0.6"/>
    <n v="1"/>
    <n v="0.22"/>
    <n v="3"/>
    <n v="1.59"/>
    <x v="0"/>
  </r>
  <r>
    <x v="0"/>
    <s v="熊毛郡屋久島町"/>
    <x v="32"/>
    <x v="8"/>
    <n v="24"/>
    <n v="3.6"/>
    <n v="10"/>
    <n v="2.1800000000000002"/>
    <n v="14"/>
    <n v="7.41"/>
    <x v="0"/>
  </r>
  <r>
    <x v="0"/>
    <s v="熊毛郡屋久島町"/>
    <x v="32"/>
    <x v="9"/>
    <n v="11"/>
    <n v="1.65"/>
    <n v="10"/>
    <n v="2.1800000000000002"/>
    <n v="1"/>
    <n v="0.53"/>
    <x v="0"/>
  </r>
  <r>
    <x v="0"/>
    <s v="熊毛郡屋久島町"/>
    <x v="32"/>
    <x v="10"/>
    <n v="219"/>
    <n v="32.880000000000003"/>
    <n v="196"/>
    <n v="42.79"/>
    <n v="21"/>
    <n v="11.11"/>
    <x v="2"/>
  </r>
  <r>
    <x v="0"/>
    <s v="熊毛郡屋久島町"/>
    <x v="32"/>
    <x v="11"/>
    <n v="82"/>
    <n v="12.31"/>
    <n v="66"/>
    <n v="14.41"/>
    <n v="14"/>
    <n v="7.41"/>
    <x v="2"/>
  </r>
  <r>
    <x v="0"/>
    <s v="熊毛郡屋久島町"/>
    <x v="32"/>
    <x v="12"/>
    <n v="17"/>
    <n v="2.5499999999999998"/>
    <n v="11"/>
    <n v="2.4"/>
    <n v="1"/>
    <n v="0.53"/>
    <x v="5"/>
  </r>
  <r>
    <x v="0"/>
    <s v="熊毛郡屋久島町"/>
    <x v="32"/>
    <x v="13"/>
    <n v="22"/>
    <n v="3.3"/>
    <n v="11"/>
    <n v="2.4"/>
    <n v="8"/>
    <n v="4.2300000000000004"/>
    <x v="2"/>
  </r>
  <r>
    <x v="0"/>
    <s v="熊毛郡屋久島町"/>
    <x v="32"/>
    <x v="14"/>
    <n v="14"/>
    <n v="2.1"/>
    <n v="11"/>
    <n v="2.4"/>
    <n v="2"/>
    <n v="1.06"/>
    <x v="0"/>
  </r>
  <r>
    <x v="0"/>
    <s v="大島郡大和村"/>
    <x v="33"/>
    <x v="0"/>
    <n v="1"/>
    <n v="1.67"/>
    <n v="0"/>
    <n v="0"/>
    <n v="1"/>
    <n v="7.69"/>
    <x v="0"/>
  </r>
  <r>
    <x v="0"/>
    <s v="大島郡大和村"/>
    <x v="33"/>
    <x v="1"/>
    <n v="6"/>
    <n v="10"/>
    <n v="0"/>
    <n v="0"/>
    <n v="6"/>
    <n v="46.15"/>
    <x v="0"/>
  </r>
  <r>
    <x v="0"/>
    <s v="大島郡大和村"/>
    <x v="33"/>
    <x v="2"/>
    <n v="13"/>
    <n v="21.67"/>
    <n v="12"/>
    <n v="29.27"/>
    <n v="1"/>
    <n v="7.69"/>
    <x v="0"/>
  </r>
  <r>
    <x v="0"/>
    <s v="大島郡大和村"/>
    <x v="33"/>
    <x v="3"/>
    <n v="1"/>
    <n v="1.67"/>
    <n v="0"/>
    <n v="0"/>
    <n v="0"/>
    <n v="0"/>
    <x v="0"/>
  </r>
  <r>
    <x v="0"/>
    <s v="大島郡大和村"/>
    <x v="33"/>
    <x v="4"/>
    <n v="0"/>
    <n v="0"/>
    <n v="0"/>
    <n v="0"/>
    <n v="0"/>
    <n v="0"/>
    <x v="0"/>
  </r>
  <r>
    <x v="0"/>
    <s v="大島郡大和村"/>
    <x v="33"/>
    <x v="5"/>
    <n v="0"/>
    <n v="0"/>
    <n v="0"/>
    <n v="0"/>
    <n v="0"/>
    <n v="0"/>
    <x v="0"/>
  </r>
  <r>
    <x v="0"/>
    <s v="大島郡大和村"/>
    <x v="33"/>
    <x v="6"/>
    <n v="14"/>
    <n v="23.33"/>
    <n v="12"/>
    <n v="29.27"/>
    <n v="2"/>
    <n v="15.38"/>
    <x v="0"/>
  </r>
  <r>
    <x v="0"/>
    <s v="大島郡大和村"/>
    <x v="33"/>
    <x v="7"/>
    <n v="0"/>
    <n v="0"/>
    <n v="0"/>
    <n v="0"/>
    <n v="0"/>
    <n v="0"/>
    <x v="0"/>
  </r>
  <r>
    <x v="0"/>
    <s v="大島郡大和村"/>
    <x v="33"/>
    <x v="8"/>
    <n v="2"/>
    <n v="3.33"/>
    <n v="0"/>
    <n v="0"/>
    <n v="1"/>
    <n v="7.69"/>
    <x v="0"/>
  </r>
  <r>
    <x v="0"/>
    <s v="大島郡大和村"/>
    <x v="33"/>
    <x v="9"/>
    <n v="1"/>
    <n v="1.67"/>
    <n v="1"/>
    <n v="2.44"/>
    <n v="0"/>
    <n v="0"/>
    <x v="0"/>
  </r>
  <r>
    <x v="0"/>
    <s v="大島郡大和村"/>
    <x v="33"/>
    <x v="10"/>
    <n v="9"/>
    <n v="15"/>
    <n v="9"/>
    <n v="21.95"/>
    <n v="0"/>
    <n v="0"/>
    <x v="0"/>
  </r>
  <r>
    <x v="0"/>
    <s v="大島郡大和村"/>
    <x v="33"/>
    <x v="11"/>
    <n v="3"/>
    <n v="5"/>
    <n v="3"/>
    <n v="7.32"/>
    <n v="0"/>
    <n v="0"/>
    <x v="0"/>
  </r>
  <r>
    <x v="0"/>
    <s v="大島郡大和村"/>
    <x v="33"/>
    <x v="12"/>
    <n v="1"/>
    <n v="1.67"/>
    <n v="0"/>
    <n v="0"/>
    <n v="0"/>
    <n v="0"/>
    <x v="0"/>
  </r>
  <r>
    <x v="0"/>
    <s v="大島郡大和村"/>
    <x v="33"/>
    <x v="13"/>
    <n v="5"/>
    <n v="8.33"/>
    <n v="2"/>
    <n v="4.88"/>
    <n v="0"/>
    <n v="0"/>
    <x v="0"/>
  </r>
  <r>
    <x v="0"/>
    <s v="大島郡大和村"/>
    <x v="33"/>
    <x v="14"/>
    <n v="4"/>
    <n v="6.67"/>
    <n v="2"/>
    <n v="4.88"/>
    <n v="2"/>
    <n v="15.38"/>
    <x v="0"/>
  </r>
  <r>
    <x v="0"/>
    <s v="大島郡宇検村"/>
    <x v="34"/>
    <x v="0"/>
    <n v="0"/>
    <n v="0"/>
    <n v="0"/>
    <n v="0"/>
    <n v="0"/>
    <n v="0"/>
    <x v="0"/>
  </r>
  <r>
    <x v="0"/>
    <s v="大島郡宇検村"/>
    <x v="34"/>
    <x v="1"/>
    <n v="10"/>
    <n v="16.39"/>
    <n v="5"/>
    <n v="15.15"/>
    <n v="5"/>
    <n v="20"/>
    <x v="0"/>
  </r>
  <r>
    <x v="0"/>
    <s v="大島郡宇検村"/>
    <x v="34"/>
    <x v="2"/>
    <n v="6"/>
    <n v="9.84"/>
    <n v="1"/>
    <n v="3.03"/>
    <n v="5"/>
    <n v="20"/>
    <x v="0"/>
  </r>
  <r>
    <x v="0"/>
    <s v="大島郡宇検村"/>
    <x v="34"/>
    <x v="3"/>
    <n v="1"/>
    <n v="1.64"/>
    <n v="0"/>
    <n v="0"/>
    <n v="0"/>
    <n v="0"/>
    <x v="0"/>
  </r>
  <r>
    <x v="0"/>
    <s v="大島郡宇検村"/>
    <x v="34"/>
    <x v="4"/>
    <n v="1"/>
    <n v="1.64"/>
    <n v="0"/>
    <n v="0"/>
    <n v="1"/>
    <n v="4"/>
    <x v="0"/>
  </r>
  <r>
    <x v="0"/>
    <s v="大島郡宇検村"/>
    <x v="34"/>
    <x v="5"/>
    <n v="0"/>
    <n v="0"/>
    <n v="0"/>
    <n v="0"/>
    <n v="0"/>
    <n v="0"/>
    <x v="0"/>
  </r>
  <r>
    <x v="0"/>
    <s v="大島郡宇検村"/>
    <x v="34"/>
    <x v="6"/>
    <n v="18"/>
    <n v="29.51"/>
    <n v="10"/>
    <n v="30.3"/>
    <n v="8"/>
    <n v="32"/>
    <x v="0"/>
  </r>
  <r>
    <x v="0"/>
    <s v="大島郡宇検村"/>
    <x v="34"/>
    <x v="7"/>
    <n v="0"/>
    <n v="0"/>
    <n v="0"/>
    <n v="0"/>
    <n v="0"/>
    <n v="0"/>
    <x v="0"/>
  </r>
  <r>
    <x v="0"/>
    <s v="大島郡宇検村"/>
    <x v="34"/>
    <x v="8"/>
    <n v="5"/>
    <n v="8.1999999999999993"/>
    <n v="1"/>
    <n v="3.03"/>
    <n v="3"/>
    <n v="12"/>
    <x v="0"/>
  </r>
  <r>
    <x v="0"/>
    <s v="大島郡宇検村"/>
    <x v="34"/>
    <x v="9"/>
    <n v="1"/>
    <n v="1.64"/>
    <n v="0"/>
    <n v="0"/>
    <n v="1"/>
    <n v="4"/>
    <x v="0"/>
  </r>
  <r>
    <x v="0"/>
    <s v="大島郡宇検村"/>
    <x v="34"/>
    <x v="10"/>
    <n v="10"/>
    <n v="16.39"/>
    <n v="9"/>
    <n v="27.27"/>
    <n v="1"/>
    <n v="4"/>
    <x v="0"/>
  </r>
  <r>
    <x v="0"/>
    <s v="大島郡宇検村"/>
    <x v="34"/>
    <x v="11"/>
    <n v="6"/>
    <n v="9.84"/>
    <n v="6"/>
    <n v="18.18"/>
    <n v="0"/>
    <n v="0"/>
    <x v="0"/>
  </r>
  <r>
    <x v="0"/>
    <s v="大島郡宇検村"/>
    <x v="34"/>
    <x v="12"/>
    <n v="0"/>
    <n v="0"/>
    <n v="0"/>
    <n v="0"/>
    <n v="0"/>
    <n v="0"/>
    <x v="0"/>
  </r>
  <r>
    <x v="0"/>
    <s v="大島郡宇検村"/>
    <x v="34"/>
    <x v="13"/>
    <n v="2"/>
    <n v="3.28"/>
    <n v="1"/>
    <n v="3.03"/>
    <n v="0"/>
    <n v="0"/>
    <x v="0"/>
  </r>
  <r>
    <x v="0"/>
    <s v="大島郡宇検村"/>
    <x v="34"/>
    <x v="14"/>
    <n v="1"/>
    <n v="1.64"/>
    <n v="0"/>
    <n v="0"/>
    <n v="1"/>
    <n v="4"/>
    <x v="0"/>
  </r>
  <r>
    <x v="0"/>
    <s v="大島郡瀬戸内町"/>
    <x v="35"/>
    <x v="0"/>
    <n v="0"/>
    <n v="0"/>
    <n v="0"/>
    <n v="0"/>
    <n v="0"/>
    <n v="0"/>
    <x v="0"/>
  </r>
  <r>
    <x v="0"/>
    <s v="大島郡瀬戸内町"/>
    <x v="35"/>
    <x v="1"/>
    <n v="23"/>
    <n v="6.18"/>
    <n v="5"/>
    <n v="1.89"/>
    <n v="18"/>
    <n v="18.95"/>
    <x v="0"/>
  </r>
  <r>
    <x v="0"/>
    <s v="大島郡瀬戸内町"/>
    <x v="35"/>
    <x v="2"/>
    <n v="21"/>
    <n v="5.65"/>
    <n v="12"/>
    <n v="4.53"/>
    <n v="9"/>
    <n v="9.4700000000000006"/>
    <x v="0"/>
  </r>
  <r>
    <x v="0"/>
    <s v="大島郡瀬戸内町"/>
    <x v="35"/>
    <x v="3"/>
    <n v="0"/>
    <n v="0"/>
    <n v="0"/>
    <n v="0"/>
    <n v="0"/>
    <n v="0"/>
    <x v="0"/>
  </r>
  <r>
    <x v="0"/>
    <s v="大島郡瀬戸内町"/>
    <x v="35"/>
    <x v="4"/>
    <n v="0"/>
    <n v="0"/>
    <n v="0"/>
    <n v="0"/>
    <n v="0"/>
    <n v="0"/>
    <x v="0"/>
  </r>
  <r>
    <x v="0"/>
    <s v="大島郡瀬戸内町"/>
    <x v="35"/>
    <x v="5"/>
    <n v="11"/>
    <n v="2.96"/>
    <n v="6"/>
    <n v="2.2599999999999998"/>
    <n v="5"/>
    <n v="5.26"/>
    <x v="0"/>
  </r>
  <r>
    <x v="0"/>
    <s v="大島郡瀬戸内町"/>
    <x v="35"/>
    <x v="6"/>
    <n v="108"/>
    <n v="29.03"/>
    <n v="83"/>
    <n v="31.32"/>
    <n v="25"/>
    <n v="26.32"/>
    <x v="0"/>
  </r>
  <r>
    <x v="0"/>
    <s v="大島郡瀬戸内町"/>
    <x v="35"/>
    <x v="7"/>
    <n v="1"/>
    <n v="0.27"/>
    <n v="0"/>
    <n v="0"/>
    <n v="1"/>
    <n v="1.05"/>
    <x v="0"/>
  </r>
  <r>
    <x v="0"/>
    <s v="大島郡瀬戸内町"/>
    <x v="35"/>
    <x v="8"/>
    <n v="23"/>
    <n v="6.18"/>
    <n v="8"/>
    <n v="3.02"/>
    <n v="15"/>
    <n v="15.79"/>
    <x v="0"/>
  </r>
  <r>
    <x v="0"/>
    <s v="大島郡瀬戸内町"/>
    <x v="35"/>
    <x v="9"/>
    <n v="11"/>
    <n v="2.96"/>
    <n v="6"/>
    <n v="2.2599999999999998"/>
    <n v="4"/>
    <n v="4.21"/>
    <x v="0"/>
  </r>
  <r>
    <x v="0"/>
    <s v="大島郡瀬戸内町"/>
    <x v="35"/>
    <x v="10"/>
    <n v="94"/>
    <n v="25.27"/>
    <n v="91"/>
    <n v="34.340000000000003"/>
    <n v="3"/>
    <n v="3.16"/>
    <x v="0"/>
  </r>
  <r>
    <x v="0"/>
    <s v="大島郡瀬戸内町"/>
    <x v="35"/>
    <x v="11"/>
    <n v="51"/>
    <n v="13.71"/>
    <n v="44"/>
    <n v="16.600000000000001"/>
    <n v="5"/>
    <n v="5.26"/>
    <x v="0"/>
  </r>
  <r>
    <x v="0"/>
    <s v="大島郡瀬戸内町"/>
    <x v="35"/>
    <x v="12"/>
    <n v="8"/>
    <n v="2.15"/>
    <n v="3"/>
    <n v="1.1299999999999999"/>
    <n v="2"/>
    <n v="2.11"/>
    <x v="0"/>
  </r>
  <r>
    <x v="0"/>
    <s v="大島郡瀬戸内町"/>
    <x v="35"/>
    <x v="13"/>
    <n v="11"/>
    <n v="2.96"/>
    <n v="2"/>
    <n v="0.75"/>
    <n v="5"/>
    <n v="5.26"/>
    <x v="0"/>
  </r>
  <r>
    <x v="0"/>
    <s v="大島郡瀬戸内町"/>
    <x v="35"/>
    <x v="14"/>
    <n v="10"/>
    <n v="2.69"/>
    <n v="5"/>
    <n v="1.89"/>
    <n v="3"/>
    <n v="3.16"/>
    <x v="0"/>
  </r>
  <r>
    <x v="0"/>
    <s v="大島郡龍郷町"/>
    <x v="36"/>
    <x v="0"/>
    <n v="1"/>
    <n v="0.42"/>
    <n v="0"/>
    <n v="0"/>
    <n v="1"/>
    <n v="1.3"/>
    <x v="0"/>
  </r>
  <r>
    <x v="0"/>
    <s v="大島郡龍郷町"/>
    <x v="36"/>
    <x v="1"/>
    <n v="23"/>
    <n v="9.66"/>
    <n v="7"/>
    <n v="4.5199999999999996"/>
    <n v="16"/>
    <n v="20.78"/>
    <x v="0"/>
  </r>
  <r>
    <x v="0"/>
    <s v="大島郡龍郷町"/>
    <x v="36"/>
    <x v="2"/>
    <n v="28"/>
    <n v="11.76"/>
    <n v="14"/>
    <n v="9.0299999999999994"/>
    <n v="14"/>
    <n v="18.18"/>
    <x v="0"/>
  </r>
  <r>
    <x v="0"/>
    <s v="大島郡龍郷町"/>
    <x v="36"/>
    <x v="3"/>
    <n v="1"/>
    <n v="0.42"/>
    <n v="0"/>
    <n v="0"/>
    <n v="1"/>
    <n v="1.3"/>
    <x v="0"/>
  </r>
  <r>
    <x v="0"/>
    <s v="大島郡龍郷町"/>
    <x v="36"/>
    <x v="4"/>
    <n v="3"/>
    <n v="1.26"/>
    <n v="0"/>
    <n v="0"/>
    <n v="3"/>
    <n v="3.9"/>
    <x v="0"/>
  </r>
  <r>
    <x v="0"/>
    <s v="大島郡龍郷町"/>
    <x v="36"/>
    <x v="5"/>
    <n v="2"/>
    <n v="0.84"/>
    <n v="1"/>
    <n v="0.65"/>
    <n v="1"/>
    <n v="1.3"/>
    <x v="0"/>
  </r>
  <r>
    <x v="0"/>
    <s v="大島郡龍郷町"/>
    <x v="36"/>
    <x v="6"/>
    <n v="63"/>
    <n v="26.47"/>
    <n v="42"/>
    <n v="27.1"/>
    <n v="20"/>
    <n v="25.97"/>
    <x v="0"/>
  </r>
  <r>
    <x v="0"/>
    <s v="大島郡龍郷町"/>
    <x v="36"/>
    <x v="7"/>
    <n v="1"/>
    <n v="0.42"/>
    <n v="0"/>
    <n v="0"/>
    <n v="1"/>
    <n v="1.3"/>
    <x v="0"/>
  </r>
  <r>
    <x v="0"/>
    <s v="大島郡龍郷町"/>
    <x v="36"/>
    <x v="8"/>
    <n v="5"/>
    <n v="2.1"/>
    <n v="1"/>
    <n v="0.65"/>
    <n v="4"/>
    <n v="5.19"/>
    <x v="0"/>
  </r>
  <r>
    <x v="0"/>
    <s v="大島郡龍郷町"/>
    <x v="36"/>
    <x v="9"/>
    <n v="11"/>
    <n v="4.62"/>
    <n v="6"/>
    <n v="3.87"/>
    <n v="5"/>
    <n v="6.49"/>
    <x v="0"/>
  </r>
  <r>
    <x v="0"/>
    <s v="大島郡龍郷町"/>
    <x v="36"/>
    <x v="10"/>
    <n v="39"/>
    <n v="16.39"/>
    <n v="36"/>
    <n v="23.23"/>
    <n v="3"/>
    <n v="3.9"/>
    <x v="0"/>
  </r>
  <r>
    <x v="0"/>
    <s v="大島郡龍郷町"/>
    <x v="36"/>
    <x v="11"/>
    <n v="39"/>
    <n v="16.39"/>
    <n v="36"/>
    <n v="23.23"/>
    <n v="3"/>
    <n v="3.9"/>
    <x v="0"/>
  </r>
  <r>
    <x v="0"/>
    <s v="大島郡龍郷町"/>
    <x v="36"/>
    <x v="12"/>
    <n v="5"/>
    <n v="2.1"/>
    <n v="3"/>
    <n v="1.94"/>
    <n v="0"/>
    <n v="0"/>
    <x v="5"/>
  </r>
  <r>
    <x v="0"/>
    <s v="大島郡龍郷町"/>
    <x v="36"/>
    <x v="13"/>
    <n v="7"/>
    <n v="2.94"/>
    <n v="2"/>
    <n v="1.29"/>
    <n v="3"/>
    <n v="3.9"/>
    <x v="0"/>
  </r>
  <r>
    <x v="0"/>
    <s v="大島郡龍郷町"/>
    <x v="36"/>
    <x v="14"/>
    <n v="10"/>
    <n v="4.2"/>
    <n v="7"/>
    <n v="4.5199999999999996"/>
    <n v="2"/>
    <n v="2.6"/>
    <x v="2"/>
  </r>
  <r>
    <x v="0"/>
    <s v="大島郡喜界町"/>
    <x v="37"/>
    <x v="0"/>
    <n v="1"/>
    <n v="0.39"/>
    <n v="0"/>
    <n v="0"/>
    <n v="1"/>
    <n v="1.43"/>
    <x v="0"/>
  </r>
  <r>
    <x v="0"/>
    <s v="大島郡喜界町"/>
    <x v="37"/>
    <x v="1"/>
    <n v="29"/>
    <n v="11.2"/>
    <n v="11"/>
    <n v="5.98"/>
    <n v="18"/>
    <n v="25.71"/>
    <x v="0"/>
  </r>
  <r>
    <x v="0"/>
    <s v="大島郡喜界町"/>
    <x v="37"/>
    <x v="2"/>
    <n v="29"/>
    <n v="11.2"/>
    <n v="18"/>
    <n v="9.7799999999999994"/>
    <n v="11"/>
    <n v="15.71"/>
    <x v="0"/>
  </r>
  <r>
    <x v="0"/>
    <s v="大島郡喜界町"/>
    <x v="37"/>
    <x v="3"/>
    <n v="1"/>
    <n v="0.39"/>
    <n v="0"/>
    <n v="0"/>
    <n v="1"/>
    <n v="1.43"/>
    <x v="0"/>
  </r>
  <r>
    <x v="0"/>
    <s v="大島郡喜界町"/>
    <x v="37"/>
    <x v="4"/>
    <n v="0"/>
    <n v="0"/>
    <n v="0"/>
    <n v="0"/>
    <n v="0"/>
    <n v="0"/>
    <x v="0"/>
  </r>
  <r>
    <x v="0"/>
    <s v="大島郡喜界町"/>
    <x v="37"/>
    <x v="5"/>
    <n v="3"/>
    <n v="1.1599999999999999"/>
    <n v="0"/>
    <n v="0"/>
    <n v="3"/>
    <n v="4.29"/>
    <x v="0"/>
  </r>
  <r>
    <x v="0"/>
    <s v="大島郡喜界町"/>
    <x v="37"/>
    <x v="6"/>
    <n v="64"/>
    <n v="24.71"/>
    <n v="51"/>
    <n v="27.72"/>
    <n v="12"/>
    <n v="17.14"/>
    <x v="0"/>
  </r>
  <r>
    <x v="0"/>
    <s v="大島郡喜界町"/>
    <x v="37"/>
    <x v="7"/>
    <n v="2"/>
    <n v="0.77"/>
    <n v="1"/>
    <n v="0.54"/>
    <n v="1"/>
    <n v="1.43"/>
    <x v="0"/>
  </r>
  <r>
    <x v="0"/>
    <s v="大島郡喜界町"/>
    <x v="37"/>
    <x v="8"/>
    <n v="9"/>
    <n v="3.47"/>
    <n v="3"/>
    <n v="1.63"/>
    <n v="6"/>
    <n v="8.57"/>
    <x v="0"/>
  </r>
  <r>
    <x v="0"/>
    <s v="大島郡喜界町"/>
    <x v="37"/>
    <x v="9"/>
    <n v="8"/>
    <n v="3.09"/>
    <n v="6"/>
    <n v="3.26"/>
    <n v="2"/>
    <n v="2.86"/>
    <x v="0"/>
  </r>
  <r>
    <x v="0"/>
    <s v="大島郡喜界町"/>
    <x v="37"/>
    <x v="10"/>
    <n v="57"/>
    <n v="22.01"/>
    <n v="53"/>
    <n v="28.8"/>
    <n v="3"/>
    <n v="4.29"/>
    <x v="0"/>
  </r>
  <r>
    <x v="0"/>
    <s v="大島郡喜界町"/>
    <x v="37"/>
    <x v="11"/>
    <n v="28"/>
    <n v="10.81"/>
    <n v="25"/>
    <n v="13.59"/>
    <n v="3"/>
    <n v="4.29"/>
    <x v="0"/>
  </r>
  <r>
    <x v="0"/>
    <s v="大島郡喜界町"/>
    <x v="37"/>
    <x v="12"/>
    <n v="8"/>
    <n v="3.09"/>
    <n v="5"/>
    <n v="2.72"/>
    <n v="2"/>
    <n v="2.86"/>
    <x v="0"/>
  </r>
  <r>
    <x v="0"/>
    <s v="大島郡喜界町"/>
    <x v="37"/>
    <x v="13"/>
    <n v="10"/>
    <n v="3.86"/>
    <n v="7"/>
    <n v="3.8"/>
    <n v="3"/>
    <n v="4.29"/>
    <x v="0"/>
  </r>
  <r>
    <x v="0"/>
    <s v="大島郡喜界町"/>
    <x v="37"/>
    <x v="14"/>
    <n v="10"/>
    <n v="3.86"/>
    <n v="4"/>
    <n v="2.17"/>
    <n v="4"/>
    <n v="5.71"/>
    <x v="2"/>
  </r>
  <r>
    <x v="0"/>
    <s v="大島郡徳之島町"/>
    <x v="38"/>
    <x v="0"/>
    <n v="0"/>
    <n v="0"/>
    <n v="0"/>
    <n v="0"/>
    <n v="0"/>
    <n v="0"/>
    <x v="0"/>
  </r>
  <r>
    <x v="0"/>
    <s v="大島郡徳之島町"/>
    <x v="38"/>
    <x v="1"/>
    <n v="48"/>
    <n v="10.37"/>
    <n v="14"/>
    <n v="4.38"/>
    <n v="34"/>
    <n v="25"/>
    <x v="0"/>
  </r>
  <r>
    <x v="0"/>
    <s v="大島郡徳之島町"/>
    <x v="38"/>
    <x v="2"/>
    <n v="26"/>
    <n v="5.62"/>
    <n v="12"/>
    <n v="3.75"/>
    <n v="14"/>
    <n v="10.29"/>
    <x v="0"/>
  </r>
  <r>
    <x v="0"/>
    <s v="大島郡徳之島町"/>
    <x v="38"/>
    <x v="3"/>
    <n v="0"/>
    <n v="0"/>
    <n v="0"/>
    <n v="0"/>
    <n v="0"/>
    <n v="0"/>
    <x v="0"/>
  </r>
  <r>
    <x v="0"/>
    <s v="大島郡徳之島町"/>
    <x v="38"/>
    <x v="4"/>
    <n v="3"/>
    <n v="0.65"/>
    <n v="0"/>
    <n v="0"/>
    <n v="3"/>
    <n v="2.21"/>
    <x v="0"/>
  </r>
  <r>
    <x v="0"/>
    <s v="大島郡徳之島町"/>
    <x v="38"/>
    <x v="5"/>
    <n v="6"/>
    <n v="1.3"/>
    <n v="0"/>
    <n v="0"/>
    <n v="6"/>
    <n v="4.41"/>
    <x v="0"/>
  </r>
  <r>
    <x v="0"/>
    <s v="大島郡徳之島町"/>
    <x v="38"/>
    <x v="6"/>
    <n v="132"/>
    <n v="28.51"/>
    <n v="93"/>
    <n v="29.06"/>
    <n v="39"/>
    <n v="28.68"/>
    <x v="0"/>
  </r>
  <r>
    <x v="0"/>
    <s v="大島郡徳之島町"/>
    <x v="38"/>
    <x v="7"/>
    <n v="1"/>
    <n v="0.22"/>
    <n v="0"/>
    <n v="0"/>
    <n v="1"/>
    <n v="0.74"/>
    <x v="0"/>
  </r>
  <r>
    <x v="0"/>
    <s v="大島郡徳之島町"/>
    <x v="38"/>
    <x v="8"/>
    <n v="44"/>
    <n v="9.5"/>
    <n v="31"/>
    <n v="9.69"/>
    <n v="12"/>
    <n v="8.82"/>
    <x v="0"/>
  </r>
  <r>
    <x v="0"/>
    <s v="大島郡徳之島町"/>
    <x v="38"/>
    <x v="9"/>
    <n v="11"/>
    <n v="2.38"/>
    <n v="8"/>
    <n v="2.5"/>
    <n v="3"/>
    <n v="2.21"/>
    <x v="0"/>
  </r>
  <r>
    <x v="0"/>
    <s v="大島郡徳之島町"/>
    <x v="38"/>
    <x v="10"/>
    <n v="101"/>
    <n v="21.81"/>
    <n v="93"/>
    <n v="29.06"/>
    <n v="6"/>
    <n v="4.41"/>
    <x v="0"/>
  </r>
  <r>
    <x v="0"/>
    <s v="大島郡徳之島町"/>
    <x v="38"/>
    <x v="11"/>
    <n v="51"/>
    <n v="11.02"/>
    <n v="44"/>
    <n v="13.75"/>
    <n v="6"/>
    <n v="4.41"/>
    <x v="2"/>
  </r>
  <r>
    <x v="0"/>
    <s v="大島郡徳之島町"/>
    <x v="38"/>
    <x v="12"/>
    <n v="8"/>
    <n v="1.73"/>
    <n v="7"/>
    <n v="2.19"/>
    <n v="1"/>
    <n v="0.74"/>
    <x v="0"/>
  </r>
  <r>
    <x v="0"/>
    <s v="大島郡徳之島町"/>
    <x v="38"/>
    <x v="13"/>
    <n v="9"/>
    <n v="1.94"/>
    <n v="4"/>
    <n v="1.25"/>
    <n v="5"/>
    <n v="3.68"/>
    <x v="0"/>
  </r>
  <r>
    <x v="0"/>
    <s v="大島郡徳之島町"/>
    <x v="38"/>
    <x v="14"/>
    <n v="23"/>
    <n v="4.97"/>
    <n v="14"/>
    <n v="4.38"/>
    <n v="6"/>
    <n v="4.41"/>
    <x v="2"/>
  </r>
  <r>
    <x v="0"/>
    <s v="大島郡天城町"/>
    <x v="39"/>
    <x v="0"/>
    <n v="0"/>
    <n v="0"/>
    <n v="0"/>
    <n v="0"/>
    <n v="0"/>
    <n v="0"/>
    <x v="0"/>
  </r>
  <r>
    <x v="0"/>
    <s v="大島郡天城町"/>
    <x v="39"/>
    <x v="1"/>
    <n v="26"/>
    <n v="13.83"/>
    <n v="2"/>
    <n v="1.98"/>
    <n v="24"/>
    <n v="29.63"/>
    <x v="0"/>
  </r>
  <r>
    <x v="0"/>
    <s v="大島郡天城町"/>
    <x v="39"/>
    <x v="2"/>
    <n v="16"/>
    <n v="8.51"/>
    <n v="7"/>
    <n v="6.93"/>
    <n v="9"/>
    <n v="11.11"/>
    <x v="0"/>
  </r>
  <r>
    <x v="0"/>
    <s v="大島郡天城町"/>
    <x v="39"/>
    <x v="3"/>
    <n v="1"/>
    <n v="0.53"/>
    <n v="0"/>
    <n v="0"/>
    <n v="1"/>
    <n v="1.23"/>
    <x v="0"/>
  </r>
  <r>
    <x v="0"/>
    <s v="大島郡天城町"/>
    <x v="39"/>
    <x v="4"/>
    <n v="1"/>
    <n v="0.53"/>
    <n v="0"/>
    <n v="0"/>
    <n v="1"/>
    <n v="1.23"/>
    <x v="0"/>
  </r>
  <r>
    <x v="0"/>
    <s v="大島郡天城町"/>
    <x v="39"/>
    <x v="5"/>
    <n v="4"/>
    <n v="2.13"/>
    <n v="0"/>
    <n v="0"/>
    <n v="4"/>
    <n v="4.9400000000000004"/>
    <x v="0"/>
  </r>
  <r>
    <x v="0"/>
    <s v="大島郡天城町"/>
    <x v="39"/>
    <x v="6"/>
    <n v="63"/>
    <n v="33.51"/>
    <n v="37"/>
    <n v="36.630000000000003"/>
    <n v="26"/>
    <n v="32.1"/>
    <x v="0"/>
  </r>
  <r>
    <x v="0"/>
    <s v="大島郡天城町"/>
    <x v="39"/>
    <x v="7"/>
    <n v="1"/>
    <n v="0.53"/>
    <n v="0"/>
    <n v="0"/>
    <n v="1"/>
    <n v="1.23"/>
    <x v="0"/>
  </r>
  <r>
    <x v="0"/>
    <s v="大島郡天城町"/>
    <x v="39"/>
    <x v="8"/>
    <n v="2"/>
    <n v="1.06"/>
    <n v="0"/>
    <n v="0"/>
    <n v="2"/>
    <n v="2.4700000000000002"/>
    <x v="0"/>
  </r>
  <r>
    <x v="0"/>
    <s v="大島郡天城町"/>
    <x v="39"/>
    <x v="9"/>
    <n v="4"/>
    <n v="2.13"/>
    <n v="2"/>
    <n v="1.98"/>
    <n v="2"/>
    <n v="2.4700000000000002"/>
    <x v="0"/>
  </r>
  <r>
    <x v="0"/>
    <s v="大島郡天城町"/>
    <x v="39"/>
    <x v="10"/>
    <n v="28"/>
    <n v="14.89"/>
    <n v="24"/>
    <n v="23.76"/>
    <n v="4"/>
    <n v="4.9400000000000004"/>
    <x v="0"/>
  </r>
  <r>
    <x v="0"/>
    <s v="大島郡天城町"/>
    <x v="39"/>
    <x v="11"/>
    <n v="26"/>
    <n v="13.83"/>
    <n v="23"/>
    <n v="22.77"/>
    <n v="1"/>
    <n v="1.23"/>
    <x v="0"/>
  </r>
  <r>
    <x v="0"/>
    <s v="大島郡天城町"/>
    <x v="39"/>
    <x v="12"/>
    <n v="3"/>
    <n v="1.6"/>
    <n v="1"/>
    <n v="0.99"/>
    <n v="0"/>
    <n v="0"/>
    <x v="0"/>
  </r>
  <r>
    <x v="0"/>
    <s v="大島郡天城町"/>
    <x v="39"/>
    <x v="13"/>
    <n v="5"/>
    <n v="2.66"/>
    <n v="1"/>
    <n v="0.99"/>
    <n v="3"/>
    <n v="3.7"/>
    <x v="0"/>
  </r>
  <r>
    <x v="0"/>
    <s v="大島郡天城町"/>
    <x v="39"/>
    <x v="14"/>
    <n v="8"/>
    <n v="4.26"/>
    <n v="4"/>
    <n v="3.96"/>
    <n v="3"/>
    <n v="3.7"/>
    <x v="0"/>
  </r>
  <r>
    <x v="0"/>
    <s v="大島郡伊仙町"/>
    <x v="40"/>
    <x v="0"/>
    <n v="0"/>
    <n v="0"/>
    <n v="0"/>
    <n v="0"/>
    <n v="0"/>
    <n v="0"/>
    <x v="0"/>
  </r>
  <r>
    <x v="0"/>
    <s v="大島郡伊仙町"/>
    <x v="40"/>
    <x v="1"/>
    <n v="30"/>
    <n v="18.07"/>
    <n v="8"/>
    <n v="6.84"/>
    <n v="22"/>
    <n v="47.83"/>
    <x v="0"/>
  </r>
  <r>
    <x v="0"/>
    <s v="大島郡伊仙町"/>
    <x v="40"/>
    <x v="2"/>
    <n v="14"/>
    <n v="8.43"/>
    <n v="11"/>
    <n v="9.4"/>
    <n v="3"/>
    <n v="6.52"/>
    <x v="0"/>
  </r>
  <r>
    <x v="0"/>
    <s v="大島郡伊仙町"/>
    <x v="40"/>
    <x v="3"/>
    <n v="0"/>
    <n v="0"/>
    <n v="0"/>
    <n v="0"/>
    <n v="0"/>
    <n v="0"/>
    <x v="0"/>
  </r>
  <r>
    <x v="0"/>
    <s v="大島郡伊仙町"/>
    <x v="40"/>
    <x v="4"/>
    <n v="1"/>
    <n v="0.6"/>
    <n v="0"/>
    <n v="0"/>
    <n v="1"/>
    <n v="2.17"/>
    <x v="0"/>
  </r>
  <r>
    <x v="0"/>
    <s v="大島郡伊仙町"/>
    <x v="40"/>
    <x v="5"/>
    <n v="2"/>
    <n v="1.2"/>
    <n v="0"/>
    <n v="0"/>
    <n v="2"/>
    <n v="4.3499999999999996"/>
    <x v="0"/>
  </r>
  <r>
    <x v="0"/>
    <s v="大島郡伊仙町"/>
    <x v="40"/>
    <x v="6"/>
    <n v="51"/>
    <n v="30.72"/>
    <n v="41"/>
    <n v="35.04"/>
    <n v="10"/>
    <n v="21.74"/>
    <x v="0"/>
  </r>
  <r>
    <x v="0"/>
    <s v="大島郡伊仙町"/>
    <x v="40"/>
    <x v="7"/>
    <n v="0"/>
    <n v="0"/>
    <n v="0"/>
    <n v="0"/>
    <n v="0"/>
    <n v="0"/>
    <x v="0"/>
  </r>
  <r>
    <x v="0"/>
    <s v="大島郡伊仙町"/>
    <x v="40"/>
    <x v="8"/>
    <n v="2"/>
    <n v="1.2"/>
    <n v="2"/>
    <n v="1.71"/>
    <n v="0"/>
    <n v="0"/>
    <x v="0"/>
  </r>
  <r>
    <x v="0"/>
    <s v="大島郡伊仙町"/>
    <x v="40"/>
    <x v="9"/>
    <n v="3"/>
    <n v="1.81"/>
    <n v="0"/>
    <n v="0"/>
    <n v="2"/>
    <n v="4.3499999999999996"/>
    <x v="0"/>
  </r>
  <r>
    <x v="0"/>
    <s v="大島郡伊仙町"/>
    <x v="40"/>
    <x v="10"/>
    <n v="23"/>
    <n v="13.86"/>
    <n v="22"/>
    <n v="18.8"/>
    <n v="1"/>
    <n v="2.17"/>
    <x v="0"/>
  </r>
  <r>
    <x v="0"/>
    <s v="大島郡伊仙町"/>
    <x v="40"/>
    <x v="11"/>
    <n v="25"/>
    <n v="15.06"/>
    <n v="25"/>
    <n v="21.37"/>
    <n v="0"/>
    <n v="0"/>
    <x v="0"/>
  </r>
  <r>
    <x v="0"/>
    <s v="大島郡伊仙町"/>
    <x v="40"/>
    <x v="12"/>
    <n v="5"/>
    <n v="3.01"/>
    <n v="2"/>
    <n v="1.71"/>
    <n v="1"/>
    <n v="2.17"/>
    <x v="0"/>
  </r>
  <r>
    <x v="0"/>
    <s v="大島郡伊仙町"/>
    <x v="40"/>
    <x v="13"/>
    <n v="3"/>
    <n v="1.81"/>
    <n v="2"/>
    <n v="1.71"/>
    <n v="1"/>
    <n v="2.17"/>
    <x v="0"/>
  </r>
  <r>
    <x v="0"/>
    <s v="大島郡伊仙町"/>
    <x v="40"/>
    <x v="14"/>
    <n v="7"/>
    <n v="4.22"/>
    <n v="4"/>
    <n v="3.42"/>
    <n v="3"/>
    <n v="6.52"/>
    <x v="0"/>
  </r>
  <r>
    <x v="0"/>
    <s v="大島郡和泊町"/>
    <x v="41"/>
    <x v="0"/>
    <n v="0"/>
    <n v="0"/>
    <n v="0"/>
    <n v="0"/>
    <n v="0"/>
    <n v="0"/>
    <x v="0"/>
  </r>
  <r>
    <x v="0"/>
    <s v="大島郡和泊町"/>
    <x v="41"/>
    <x v="1"/>
    <n v="28"/>
    <n v="9.89"/>
    <n v="15"/>
    <n v="7.5"/>
    <n v="13"/>
    <n v="17.57"/>
    <x v="0"/>
  </r>
  <r>
    <x v="0"/>
    <s v="大島郡和泊町"/>
    <x v="41"/>
    <x v="2"/>
    <n v="16"/>
    <n v="5.65"/>
    <n v="10"/>
    <n v="5"/>
    <n v="5"/>
    <n v="6.76"/>
    <x v="2"/>
  </r>
  <r>
    <x v="0"/>
    <s v="大島郡和泊町"/>
    <x v="41"/>
    <x v="3"/>
    <n v="0"/>
    <n v="0"/>
    <n v="0"/>
    <n v="0"/>
    <n v="0"/>
    <n v="0"/>
    <x v="0"/>
  </r>
  <r>
    <x v="0"/>
    <s v="大島郡和泊町"/>
    <x v="41"/>
    <x v="4"/>
    <n v="2"/>
    <n v="0.71"/>
    <n v="0"/>
    <n v="0"/>
    <n v="2"/>
    <n v="2.7"/>
    <x v="0"/>
  </r>
  <r>
    <x v="0"/>
    <s v="大島郡和泊町"/>
    <x v="41"/>
    <x v="5"/>
    <n v="3"/>
    <n v="1.06"/>
    <n v="0"/>
    <n v="0"/>
    <n v="3"/>
    <n v="4.05"/>
    <x v="0"/>
  </r>
  <r>
    <x v="0"/>
    <s v="大島郡和泊町"/>
    <x v="41"/>
    <x v="6"/>
    <n v="80"/>
    <n v="28.27"/>
    <n v="56"/>
    <n v="28"/>
    <n v="24"/>
    <n v="32.43"/>
    <x v="0"/>
  </r>
  <r>
    <x v="0"/>
    <s v="大島郡和泊町"/>
    <x v="41"/>
    <x v="7"/>
    <n v="0"/>
    <n v="0"/>
    <n v="0"/>
    <n v="0"/>
    <n v="0"/>
    <n v="0"/>
    <x v="0"/>
  </r>
  <r>
    <x v="0"/>
    <s v="大島郡和泊町"/>
    <x v="41"/>
    <x v="8"/>
    <n v="15"/>
    <n v="5.3"/>
    <n v="9"/>
    <n v="4.5"/>
    <n v="6"/>
    <n v="8.11"/>
    <x v="0"/>
  </r>
  <r>
    <x v="0"/>
    <s v="大島郡和泊町"/>
    <x v="41"/>
    <x v="9"/>
    <n v="8"/>
    <n v="2.83"/>
    <n v="5"/>
    <n v="2.5"/>
    <n v="2"/>
    <n v="2.7"/>
    <x v="0"/>
  </r>
  <r>
    <x v="0"/>
    <s v="大島郡和泊町"/>
    <x v="41"/>
    <x v="10"/>
    <n v="69"/>
    <n v="24.38"/>
    <n v="61"/>
    <n v="30.5"/>
    <n v="8"/>
    <n v="10.81"/>
    <x v="0"/>
  </r>
  <r>
    <x v="0"/>
    <s v="大島郡和泊町"/>
    <x v="41"/>
    <x v="11"/>
    <n v="24"/>
    <n v="8.48"/>
    <n v="22"/>
    <n v="11"/>
    <n v="2"/>
    <n v="2.7"/>
    <x v="0"/>
  </r>
  <r>
    <x v="0"/>
    <s v="大島郡和泊町"/>
    <x v="41"/>
    <x v="12"/>
    <n v="15"/>
    <n v="5.3"/>
    <n v="10"/>
    <n v="5"/>
    <n v="1"/>
    <n v="1.35"/>
    <x v="2"/>
  </r>
  <r>
    <x v="0"/>
    <s v="大島郡和泊町"/>
    <x v="41"/>
    <x v="13"/>
    <n v="9"/>
    <n v="3.18"/>
    <n v="7"/>
    <n v="3.5"/>
    <n v="2"/>
    <n v="2.7"/>
    <x v="0"/>
  </r>
  <r>
    <x v="0"/>
    <s v="大島郡和泊町"/>
    <x v="41"/>
    <x v="14"/>
    <n v="14"/>
    <n v="4.95"/>
    <n v="5"/>
    <n v="2.5"/>
    <n v="6"/>
    <n v="8.11"/>
    <x v="2"/>
  </r>
  <r>
    <x v="0"/>
    <s v="大島郡知名町"/>
    <x v="42"/>
    <x v="0"/>
    <n v="0"/>
    <n v="0"/>
    <n v="0"/>
    <n v="0"/>
    <n v="0"/>
    <n v="0"/>
    <x v="0"/>
  </r>
  <r>
    <x v="0"/>
    <s v="大島郡知名町"/>
    <x v="42"/>
    <x v="1"/>
    <n v="32"/>
    <n v="11.81"/>
    <n v="20"/>
    <n v="9.76"/>
    <n v="12"/>
    <n v="20.69"/>
    <x v="0"/>
  </r>
  <r>
    <x v="0"/>
    <s v="大島郡知名町"/>
    <x v="42"/>
    <x v="2"/>
    <n v="12"/>
    <n v="4.43"/>
    <n v="3"/>
    <n v="1.46"/>
    <n v="6"/>
    <n v="10.34"/>
    <x v="2"/>
  </r>
  <r>
    <x v="0"/>
    <s v="大島郡知名町"/>
    <x v="42"/>
    <x v="3"/>
    <n v="1"/>
    <n v="0.37"/>
    <n v="0"/>
    <n v="0"/>
    <n v="1"/>
    <n v="1.72"/>
    <x v="0"/>
  </r>
  <r>
    <x v="0"/>
    <s v="大島郡知名町"/>
    <x v="42"/>
    <x v="4"/>
    <n v="0"/>
    <n v="0"/>
    <n v="0"/>
    <n v="0"/>
    <n v="0"/>
    <n v="0"/>
    <x v="0"/>
  </r>
  <r>
    <x v="0"/>
    <s v="大島郡知名町"/>
    <x v="42"/>
    <x v="5"/>
    <n v="3"/>
    <n v="1.1100000000000001"/>
    <n v="1"/>
    <n v="0.49"/>
    <n v="1"/>
    <n v="1.72"/>
    <x v="2"/>
  </r>
  <r>
    <x v="0"/>
    <s v="大島郡知名町"/>
    <x v="42"/>
    <x v="6"/>
    <n v="72"/>
    <n v="26.57"/>
    <n v="49"/>
    <n v="23.9"/>
    <n v="23"/>
    <n v="39.659999999999997"/>
    <x v="0"/>
  </r>
  <r>
    <x v="0"/>
    <s v="大島郡知名町"/>
    <x v="42"/>
    <x v="7"/>
    <n v="0"/>
    <n v="0"/>
    <n v="0"/>
    <n v="0"/>
    <n v="0"/>
    <n v="0"/>
    <x v="0"/>
  </r>
  <r>
    <x v="0"/>
    <s v="大島郡知名町"/>
    <x v="42"/>
    <x v="8"/>
    <n v="18"/>
    <n v="6.64"/>
    <n v="16"/>
    <n v="7.8"/>
    <n v="2"/>
    <n v="3.45"/>
    <x v="0"/>
  </r>
  <r>
    <x v="0"/>
    <s v="大島郡知名町"/>
    <x v="42"/>
    <x v="9"/>
    <n v="10"/>
    <n v="3.69"/>
    <n v="9"/>
    <n v="4.3899999999999997"/>
    <n v="1"/>
    <n v="1.72"/>
    <x v="0"/>
  </r>
  <r>
    <x v="0"/>
    <s v="大島郡知名町"/>
    <x v="42"/>
    <x v="10"/>
    <n v="48"/>
    <n v="17.71"/>
    <n v="47"/>
    <n v="22.93"/>
    <n v="1"/>
    <n v="1.72"/>
    <x v="0"/>
  </r>
  <r>
    <x v="0"/>
    <s v="大島郡知名町"/>
    <x v="42"/>
    <x v="11"/>
    <n v="35"/>
    <n v="12.92"/>
    <n v="33"/>
    <n v="16.100000000000001"/>
    <n v="1"/>
    <n v="1.72"/>
    <x v="0"/>
  </r>
  <r>
    <x v="0"/>
    <s v="大島郡知名町"/>
    <x v="42"/>
    <x v="12"/>
    <n v="21"/>
    <n v="7.75"/>
    <n v="17"/>
    <n v="8.2899999999999991"/>
    <n v="2"/>
    <n v="3.45"/>
    <x v="0"/>
  </r>
  <r>
    <x v="0"/>
    <s v="大島郡知名町"/>
    <x v="42"/>
    <x v="13"/>
    <n v="9"/>
    <n v="3.32"/>
    <n v="4"/>
    <n v="1.95"/>
    <n v="5"/>
    <n v="8.6199999999999992"/>
    <x v="0"/>
  </r>
  <r>
    <x v="0"/>
    <s v="大島郡知名町"/>
    <x v="42"/>
    <x v="14"/>
    <n v="10"/>
    <n v="3.69"/>
    <n v="6"/>
    <n v="2.93"/>
    <n v="3"/>
    <n v="5.17"/>
    <x v="0"/>
  </r>
  <r>
    <x v="0"/>
    <s v="大島郡与論町"/>
    <x v="43"/>
    <x v="0"/>
    <n v="0"/>
    <n v="0"/>
    <n v="0"/>
    <n v="0"/>
    <n v="0"/>
    <n v="0"/>
    <x v="0"/>
  </r>
  <r>
    <x v="0"/>
    <s v="大島郡与論町"/>
    <x v="43"/>
    <x v="1"/>
    <n v="17"/>
    <n v="6.67"/>
    <n v="4"/>
    <n v="2.2200000000000002"/>
    <n v="13"/>
    <n v="20.97"/>
    <x v="0"/>
  </r>
  <r>
    <x v="0"/>
    <s v="大島郡与論町"/>
    <x v="43"/>
    <x v="2"/>
    <n v="24"/>
    <n v="9.41"/>
    <n v="11"/>
    <n v="6.11"/>
    <n v="11"/>
    <n v="17.739999999999998"/>
    <x v="0"/>
  </r>
  <r>
    <x v="0"/>
    <s v="大島郡与論町"/>
    <x v="43"/>
    <x v="3"/>
    <n v="1"/>
    <n v="0.39"/>
    <n v="0"/>
    <n v="0"/>
    <n v="1"/>
    <n v="1.61"/>
    <x v="0"/>
  </r>
  <r>
    <x v="0"/>
    <s v="大島郡与論町"/>
    <x v="43"/>
    <x v="4"/>
    <n v="0"/>
    <n v="0"/>
    <n v="0"/>
    <n v="0"/>
    <n v="0"/>
    <n v="0"/>
    <x v="0"/>
  </r>
  <r>
    <x v="0"/>
    <s v="大島郡与論町"/>
    <x v="43"/>
    <x v="5"/>
    <n v="2"/>
    <n v="0.78"/>
    <n v="0"/>
    <n v="0"/>
    <n v="1"/>
    <n v="1.61"/>
    <x v="0"/>
  </r>
  <r>
    <x v="0"/>
    <s v="大島郡与論町"/>
    <x v="43"/>
    <x v="6"/>
    <n v="68"/>
    <n v="26.67"/>
    <n v="57"/>
    <n v="31.67"/>
    <n v="11"/>
    <n v="17.739999999999998"/>
    <x v="0"/>
  </r>
  <r>
    <x v="0"/>
    <s v="大島郡与論町"/>
    <x v="43"/>
    <x v="7"/>
    <n v="1"/>
    <n v="0.39"/>
    <n v="0"/>
    <n v="0"/>
    <n v="1"/>
    <n v="1.61"/>
    <x v="0"/>
  </r>
  <r>
    <x v="0"/>
    <s v="大島郡与論町"/>
    <x v="43"/>
    <x v="8"/>
    <n v="6"/>
    <n v="2.35"/>
    <n v="3"/>
    <n v="1.67"/>
    <n v="3"/>
    <n v="4.84"/>
    <x v="0"/>
  </r>
  <r>
    <x v="0"/>
    <s v="大島郡与論町"/>
    <x v="43"/>
    <x v="9"/>
    <n v="9"/>
    <n v="3.53"/>
    <n v="7"/>
    <n v="3.89"/>
    <n v="1"/>
    <n v="1.61"/>
    <x v="0"/>
  </r>
  <r>
    <x v="0"/>
    <s v="大島郡与論町"/>
    <x v="43"/>
    <x v="10"/>
    <n v="57"/>
    <n v="22.35"/>
    <n v="52"/>
    <n v="28.89"/>
    <n v="5"/>
    <n v="8.06"/>
    <x v="0"/>
  </r>
  <r>
    <x v="0"/>
    <s v="大島郡与論町"/>
    <x v="43"/>
    <x v="11"/>
    <n v="39"/>
    <n v="15.29"/>
    <n v="32"/>
    <n v="17.78"/>
    <n v="7"/>
    <n v="11.29"/>
    <x v="0"/>
  </r>
  <r>
    <x v="0"/>
    <s v="大島郡与論町"/>
    <x v="43"/>
    <x v="12"/>
    <n v="10"/>
    <n v="3.92"/>
    <n v="2"/>
    <n v="1.1100000000000001"/>
    <n v="4"/>
    <n v="6.45"/>
    <x v="14"/>
  </r>
  <r>
    <x v="0"/>
    <s v="大島郡与論町"/>
    <x v="43"/>
    <x v="13"/>
    <n v="9"/>
    <n v="3.53"/>
    <n v="7"/>
    <n v="3.89"/>
    <n v="0"/>
    <n v="0"/>
    <x v="0"/>
  </r>
  <r>
    <x v="0"/>
    <s v="大島郡与論町"/>
    <x v="43"/>
    <x v="14"/>
    <n v="12"/>
    <n v="4.71"/>
    <n v="5"/>
    <n v="2.78"/>
    <n v="4"/>
    <n v="6.45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8"/>
    <x v="9"/>
    <x v="9"/>
    <x v="9"/>
    <x v="9"/>
    <x v="4"/>
  </r>
  <r>
    <x v="0"/>
    <x v="0"/>
    <x v="0"/>
    <x v="10"/>
    <x v="10"/>
    <x v="10"/>
    <x v="10"/>
    <x v="10"/>
    <x v="9"/>
    <x v="10"/>
    <x v="10"/>
    <x v="10"/>
    <x v="10"/>
    <x v="4"/>
  </r>
  <r>
    <x v="0"/>
    <x v="0"/>
    <x v="0"/>
    <x v="11"/>
    <x v="11"/>
    <x v="11"/>
    <x v="11"/>
    <x v="11"/>
    <x v="10"/>
    <x v="11"/>
    <x v="11"/>
    <x v="11"/>
    <x v="11"/>
    <x v="4"/>
  </r>
  <r>
    <x v="0"/>
    <x v="0"/>
    <x v="0"/>
    <x v="12"/>
    <x v="12"/>
    <x v="12"/>
    <x v="12"/>
    <x v="12"/>
    <x v="11"/>
    <x v="12"/>
    <x v="12"/>
    <x v="12"/>
    <x v="12"/>
    <x v="0"/>
  </r>
  <r>
    <x v="0"/>
    <x v="0"/>
    <x v="0"/>
    <x v="13"/>
    <x v="13"/>
    <x v="13"/>
    <x v="13"/>
    <x v="13"/>
    <x v="12"/>
    <x v="13"/>
    <x v="13"/>
    <x v="13"/>
    <x v="13"/>
    <x v="6"/>
  </r>
  <r>
    <x v="0"/>
    <x v="0"/>
    <x v="0"/>
    <x v="14"/>
    <x v="14"/>
    <x v="14"/>
    <x v="14"/>
    <x v="14"/>
    <x v="13"/>
    <x v="14"/>
    <x v="14"/>
    <x v="14"/>
    <x v="14"/>
    <x v="4"/>
  </r>
  <r>
    <x v="0"/>
    <x v="0"/>
    <x v="0"/>
    <x v="15"/>
    <x v="15"/>
    <x v="15"/>
    <x v="15"/>
    <x v="15"/>
    <x v="14"/>
    <x v="15"/>
    <x v="15"/>
    <x v="15"/>
    <x v="15"/>
    <x v="5"/>
  </r>
  <r>
    <x v="0"/>
    <x v="0"/>
    <x v="0"/>
    <x v="16"/>
    <x v="16"/>
    <x v="16"/>
    <x v="16"/>
    <x v="16"/>
    <x v="15"/>
    <x v="16"/>
    <x v="16"/>
    <x v="16"/>
    <x v="16"/>
    <x v="7"/>
  </r>
  <r>
    <x v="0"/>
    <x v="0"/>
    <x v="0"/>
    <x v="17"/>
    <x v="17"/>
    <x v="17"/>
    <x v="17"/>
    <x v="17"/>
    <x v="16"/>
    <x v="17"/>
    <x v="17"/>
    <x v="17"/>
    <x v="17"/>
    <x v="4"/>
  </r>
  <r>
    <x v="0"/>
    <x v="0"/>
    <x v="0"/>
    <x v="18"/>
    <x v="18"/>
    <x v="18"/>
    <x v="18"/>
    <x v="18"/>
    <x v="17"/>
    <x v="18"/>
    <x v="18"/>
    <x v="18"/>
    <x v="18"/>
    <x v="8"/>
  </r>
  <r>
    <x v="0"/>
    <x v="0"/>
    <x v="0"/>
    <x v="19"/>
    <x v="19"/>
    <x v="19"/>
    <x v="19"/>
    <x v="19"/>
    <x v="18"/>
    <x v="19"/>
    <x v="19"/>
    <x v="19"/>
    <x v="19"/>
    <x v="8"/>
  </r>
  <r>
    <x v="0"/>
    <x v="1"/>
    <x v="1"/>
    <x v="0"/>
    <x v="0"/>
    <x v="0"/>
    <x v="0"/>
    <x v="20"/>
    <x v="19"/>
    <x v="20"/>
    <x v="20"/>
    <x v="20"/>
    <x v="20"/>
    <x v="4"/>
  </r>
  <r>
    <x v="0"/>
    <x v="1"/>
    <x v="1"/>
    <x v="1"/>
    <x v="1"/>
    <x v="1"/>
    <x v="1"/>
    <x v="21"/>
    <x v="20"/>
    <x v="21"/>
    <x v="21"/>
    <x v="21"/>
    <x v="21"/>
    <x v="4"/>
  </r>
  <r>
    <x v="0"/>
    <x v="1"/>
    <x v="1"/>
    <x v="5"/>
    <x v="5"/>
    <x v="5"/>
    <x v="2"/>
    <x v="22"/>
    <x v="21"/>
    <x v="22"/>
    <x v="22"/>
    <x v="22"/>
    <x v="22"/>
    <x v="4"/>
  </r>
  <r>
    <x v="0"/>
    <x v="1"/>
    <x v="1"/>
    <x v="2"/>
    <x v="2"/>
    <x v="2"/>
    <x v="3"/>
    <x v="23"/>
    <x v="22"/>
    <x v="23"/>
    <x v="23"/>
    <x v="23"/>
    <x v="23"/>
    <x v="9"/>
  </r>
  <r>
    <x v="0"/>
    <x v="1"/>
    <x v="1"/>
    <x v="4"/>
    <x v="4"/>
    <x v="4"/>
    <x v="4"/>
    <x v="24"/>
    <x v="23"/>
    <x v="24"/>
    <x v="24"/>
    <x v="24"/>
    <x v="24"/>
    <x v="4"/>
  </r>
  <r>
    <x v="0"/>
    <x v="1"/>
    <x v="1"/>
    <x v="3"/>
    <x v="3"/>
    <x v="3"/>
    <x v="5"/>
    <x v="25"/>
    <x v="24"/>
    <x v="25"/>
    <x v="25"/>
    <x v="8"/>
    <x v="25"/>
    <x v="10"/>
  </r>
  <r>
    <x v="0"/>
    <x v="1"/>
    <x v="1"/>
    <x v="7"/>
    <x v="7"/>
    <x v="7"/>
    <x v="6"/>
    <x v="26"/>
    <x v="25"/>
    <x v="26"/>
    <x v="26"/>
    <x v="25"/>
    <x v="26"/>
    <x v="4"/>
  </r>
  <r>
    <x v="0"/>
    <x v="1"/>
    <x v="1"/>
    <x v="11"/>
    <x v="11"/>
    <x v="11"/>
    <x v="7"/>
    <x v="27"/>
    <x v="5"/>
    <x v="27"/>
    <x v="27"/>
    <x v="26"/>
    <x v="27"/>
    <x v="4"/>
  </r>
  <r>
    <x v="0"/>
    <x v="1"/>
    <x v="1"/>
    <x v="9"/>
    <x v="9"/>
    <x v="9"/>
    <x v="8"/>
    <x v="28"/>
    <x v="26"/>
    <x v="28"/>
    <x v="28"/>
    <x v="27"/>
    <x v="28"/>
    <x v="4"/>
  </r>
  <r>
    <x v="0"/>
    <x v="1"/>
    <x v="1"/>
    <x v="8"/>
    <x v="8"/>
    <x v="8"/>
    <x v="9"/>
    <x v="29"/>
    <x v="27"/>
    <x v="29"/>
    <x v="29"/>
    <x v="28"/>
    <x v="29"/>
    <x v="7"/>
  </r>
  <r>
    <x v="0"/>
    <x v="1"/>
    <x v="1"/>
    <x v="10"/>
    <x v="10"/>
    <x v="10"/>
    <x v="10"/>
    <x v="30"/>
    <x v="28"/>
    <x v="30"/>
    <x v="30"/>
    <x v="29"/>
    <x v="30"/>
    <x v="4"/>
  </r>
  <r>
    <x v="0"/>
    <x v="1"/>
    <x v="1"/>
    <x v="6"/>
    <x v="6"/>
    <x v="6"/>
    <x v="11"/>
    <x v="31"/>
    <x v="29"/>
    <x v="31"/>
    <x v="31"/>
    <x v="30"/>
    <x v="31"/>
    <x v="4"/>
  </r>
  <r>
    <x v="0"/>
    <x v="1"/>
    <x v="1"/>
    <x v="12"/>
    <x v="12"/>
    <x v="12"/>
    <x v="12"/>
    <x v="32"/>
    <x v="30"/>
    <x v="32"/>
    <x v="32"/>
    <x v="31"/>
    <x v="32"/>
    <x v="8"/>
  </r>
  <r>
    <x v="0"/>
    <x v="1"/>
    <x v="1"/>
    <x v="13"/>
    <x v="13"/>
    <x v="13"/>
    <x v="13"/>
    <x v="33"/>
    <x v="30"/>
    <x v="33"/>
    <x v="33"/>
    <x v="32"/>
    <x v="33"/>
    <x v="11"/>
  </r>
  <r>
    <x v="0"/>
    <x v="1"/>
    <x v="1"/>
    <x v="17"/>
    <x v="17"/>
    <x v="17"/>
    <x v="14"/>
    <x v="34"/>
    <x v="11"/>
    <x v="34"/>
    <x v="34"/>
    <x v="33"/>
    <x v="34"/>
    <x v="4"/>
  </r>
  <r>
    <x v="0"/>
    <x v="1"/>
    <x v="1"/>
    <x v="20"/>
    <x v="20"/>
    <x v="20"/>
    <x v="15"/>
    <x v="35"/>
    <x v="31"/>
    <x v="35"/>
    <x v="35"/>
    <x v="34"/>
    <x v="35"/>
    <x v="4"/>
  </r>
  <r>
    <x v="0"/>
    <x v="1"/>
    <x v="1"/>
    <x v="21"/>
    <x v="21"/>
    <x v="21"/>
    <x v="16"/>
    <x v="36"/>
    <x v="32"/>
    <x v="36"/>
    <x v="36"/>
    <x v="35"/>
    <x v="36"/>
    <x v="4"/>
  </r>
  <r>
    <x v="0"/>
    <x v="1"/>
    <x v="1"/>
    <x v="15"/>
    <x v="15"/>
    <x v="15"/>
    <x v="17"/>
    <x v="37"/>
    <x v="33"/>
    <x v="37"/>
    <x v="15"/>
    <x v="36"/>
    <x v="37"/>
    <x v="12"/>
  </r>
  <r>
    <x v="0"/>
    <x v="1"/>
    <x v="1"/>
    <x v="19"/>
    <x v="19"/>
    <x v="19"/>
    <x v="18"/>
    <x v="38"/>
    <x v="34"/>
    <x v="38"/>
    <x v="37"/>
    <x v="26"/>
    <x v="27"/>
    <x v="4"/>
  </r>
  <r>
    <x v="0"/>
    <x v="1"/>
    <x v="1"/>
    <x v="22"/>
    <x v="22"/>
    <x v="22"/>
    <x v="19"/>
    <x v="39"/>
    <x v="35"/>
    <x v="39"/>
    <x v="38"/>
    <x v="37"/>
    <x v="38"/>
    <x v="4"/>
  </r>
  <r>
    <x v="0"/>
    <x v="2"/>
    <x v="2"/>
    <x v="0"/>
    <x v="0"/>
    <x v="0"/>
    <x v="0"/>
    <x v="40"/>
    <x v="36"/>
    <x v="40"/>
    <x v="39"/>
    <x v="38"/>
    <x v="39"/>
    <x v="4"/>
  </r>
  <r>
    <x v="0"/>
    <x v="2"/>
    <x v="2"/>
    <x v="1"/>
    <x v="1"/>
    <x v="1"/>
    <x v="1"/>
    <x v="41"/>
    <x v="37"/>
    <x v="41"/>
    <x v="40"/>
    <x v="39"/>
    <x v="40"/>
    <x v="4"/>
  </r>
  <r>
    <x v="0"/>
    <x v="2"/>
    <x v="2"/>
    <x v="2"/>
    <x v="2"/>
    <x v="2"/>
    <x v="2"/>
    <x v="42"/>
    <x v="38"/>
    <x v="42"/>
    <x v="41"/>
    <x v="40"/>
    <x v="41"/>
    <x v="4"/>
  </r>
  <r>
    <x v="0"/>
    <x v="2"/>
    <x v="2"/>
    <x v="3"/>
    <x v="3"/>
    <x v="3"/>
    <x v="3"/>
    <x v="43"/>
    <x v="39"/>
    <x v="43"/>
    <x v="42"/>
    <x v="41"/>
    <x v="42"/>
    <x v="0"/>
  </r>
  <r>
    <x v="0"/>
    <x v="2"/>
    <x v="2"/>
    <x v="4"/>
    <x v="4"/>
    <x v="4"/>
    <x v="4"/>
    <x v="44"/>
    <x v="40"/>
    <x v="44"/>
    <x v="43"/>
    <x v="42"/>
    <x v="43"/>
    <x v="4"/>
  </r>
  <r>
    <x v="0"/>
    <x v="2"/>
    <x v="2"/>
    <x v="6"/>
    <x v="6"/>
    <x v="6"/>
    <x v="5"/>
    <x v="45"/>
    <x v="41"/>
    <x v="45"/>
    <x v="44"/>
    <x v="43"/>
    <x v="44"/>
    <x v="4"/>
  </r>
  <r>
    <x v="0"/>
    <x v="2"/>
    <x v="2"/>
    <x v="7"/>
    <x v="7"/>
    <x v="7"/>
    <x v="6"/>
    <x v="46"/>
    <x v="42"/>
    <x v="46"/>
    <x v="45"/>
    <x v="44"/>
    <x v="45"/>
    <x v="4"/>
  </r>
  <r>
    <x v="0"/>
    <x v="2"/>
    <x v="2"/>
    <x v="12"/>
    <x v="12"/>
    <x v="12"/>
    <x v="7"/>
    <x v="47"/>
    <x v="43"/>
    <x v="47"/>
    <x v="46"/>
    <x v="43"/>
    <x v="44"/>
    <x v="8"/>
  </r>
  <r>
    <x v="0"/>
    <x v="2"/>
    <x v="2"/>
    <x v="9"/>
    <x v="9"/>
    <x v="9"/>
    <x v="8"/>
    <x v="48"/>
    <x v="44"/>
    <x v="48"/>
    <x v="47"/>
    <x v="45"/>
    <x v="46"/>
    <x v="4"/>
  </r>
  <r>
    <x v="0"/>
    <x v="2"/>
    <x v="2"/>
    <x v="8"/>
    <x v="8"/>
    <x v="8"/>
    <x v="8"/>
    <x v="48"/>
    <x v="44"/>
    <x v="38"/>
    <x v="48"/>
    <x v="46"/>
    <x v="47"/>
    <x v="0"/>
  </r>
  <r>
    <x v="0"/>
    <x v="2"/>
    <x v="2"/>
    <x v="14"/>
    <x v="14"/>
    <x v="14"/>
    <x v="8"/>
    <x v="48"/>
    <x v="44"/>
    <x v="49"/>
    <x v="49"/>
    <x v="47"/>
    <x v="48"/>
    <x v="4"/>
  </r>
  <r>
    <x v="0"/>
    <x v="2"/>
    <x v="2"/>
    <x v="10"/>
    <x v="10"/>
    <x v="10"/>
    <x v="11"/>
    <x v="49"/>
    <x v="45"/>
    <x v="50"/>
    <x v="50"/>
    <x v="41"/>
    <x v="42"/>
    <x v="4"/>
  </r>
  <r>
    <x v="0"/>
    <x v="2"/>
    <x v="2"/>
    <x v="23"/>
    <x v="23"/>
    <x v="23"/>
    <x v="12"/>
    <x v="50"/>
    <x v="46"/>
    <x v="51"/>
    <x v="51"/>
    <x v="38"/>
    <x v="39"/>
    <x v="8"/>
  </r>
  <r>
    <x v="0"/>
    <x v="2"/>
    <x v="2"/>
    <x v="13"/>
    <x v="13"/>
    <x v="13"/>
    <x v="13"/>
    <x v="51"/>
    <x v="47"/>
    <x v="35"/>
    <x v="4"/>
    <x v="48"/>
    <x v="49"/>
    <x v="4"/>
  </r>
  <r>
    <x v="0"/>
    <x v="2"/>
    <x v="2"/>
    <x v="5"/>
    <x v="5"/>
    <x v="5"/>
    <x v="14"/>
    <x v="52"/>
    <x v="48"/>
    <x v="52"/>
    <x v="52"/>
    <x v="49"/>
    <x v="50"/>
    <x v="4"/>
  </r>
  <r>
    <x v="0"/>
    <x v="2"/>
    <x v="2"/>
    <x v="11"/>
    <x v="11"/>
    <x v="11"/>
    <x v="15"/>
    <x v="53"/>
    <x v="49"/>
    <x v="53"/>
    <x v="53"/>
    <x v="50"/>
    <x v="51"/>
    <x v="4"/>
  </r>
  <r>
    <x v="0"/>
    <x v="2"/>
    <x v="2"/>
    <x v="16"/>
    <x v="16"/>
    <x v="16"/>
    <x v="16"/>
    <x v="54"/>
    <x v="50"/>
    <x v="54"/>
    <x v="54"/>
    <x v="38"/>
    <x v="39"/>
    <x v="8"/>
  </r>
  <r>
    <x v="0"/>
    <x v="2"/>
    <x v="2"/>
    <x v="22"/>
    <x v="22"/>
    <x v="22"/>
    <x v="17"/>
    <x v="55"/>
    <x v="51"/>
    <x v="55"/>
    <x v="55"/>
    <x v="51"/>
    <x v="52"/>
    <x v="4"/>
  </r>
  <r>
    <x v="0"/>
    <x v="2"/>
    <x v="2"/>
    <x v="24"/>
    <x v="24"/>
    <x v="24"/>
    <x v="18"/>
    <x v="56"/>
    <x v="52"/>
    <x v="56"/>
    <x v="56"/>
    <x v="46"/>
    <x v="47"/>
    <x v="8"/>
  </r>
  <r>
    <x v="0"/>
    <x v="2"/>
    <x v="2"/>
    <x v="15"/>
    <x v="15"/>
    <x v="15"/>
    <x v="18"/>
    <x v="56"/>
    <x v="52"/>
    <x v="57"/>
    <x v="57"/>
    <x v="43"/>
    <x v="44"/>
    <x v="4"/>
  </r>
  <r>
    <x v="0"/>
    <x v="3"/>
    <x v="3"/>
    <x v="0"/>
    <x v="0"/>
    <x v="0"/>
    <x v="0"/>
    <x v="47"/>
    <x v="53"/>
    <x v="58"/>
    <x v="58"/>
    <x v="52"/>
    <x v="53"/>
    <x v="4"/>
  </r>
  <r>
    <x v="0"/>
    <x v="3"/>
    <x v="3"/>
    <x v="1"/>
    <x v="1"/>
    <x v="1"/>
    <x v="1"/>
    <x v="57"/>
    <x v="54"/>
    <x v="59"/>
    <x v="59"/>
    <x v="53"/>
    <x v="54"/>
    <x v="4"/>
  </r>
  <r>
    <x v="0"/>
    <x v="3"/>
    <x v="3"/>
    <x v="2"/>
    <x v="2"/>
    <x v="2"/>
    <x v="2"/>
    <x v="58"/>
    <x v="55"/>
    <x v="60"/>
    <x v="60"/>
    <x v="54"/>
    <x v="55"/>
    <x v="8"/>
  </r>
  <r>
    <x v="0"/>
    <x v="3"/>
    <x v="3"/>
    <x v="3"/>
    <x v="3"/>
    <x v="3"/>
    <x v="3"/>
    <x v="51"/>
    <x v="56"/>
    <x v="61"/>
    <x v="61"/>
    <x v="55"/>
    <x v="56"/>
    <x v="4"/>
  </r>
  <r>
    <x v="0"/>
    <x v="3"/>
    <x v="3"/>
    <x v="24"/>
    <x v="24"/>
    <x v="24"/>
    <x v="4"/>
    <x v="59"/>
    <x v="57"/>
    <x v="62"/>
    <x v="62"/>
    <x v="56"/>
    <x v="57"/>
    <x v="4"/>
  </r>
  <r>
    <x v="0"/>
    <x v="3"/>
    <x v="3"/>
    <x v="6"/>
    <x v="6"/>
    <x v="6"/>
    <x v="5"/>
    <x v="60"/>
    <x v="58"/>
    <x v="63"/>
    <x v="63"/>
    <x v="44"/>
    <x v="58"/>
    <x v="4"/>
  </r>
  <r>
    <x v="0"/>
    <x v="3"/>
    <x v="3"/>
    <x v="16"/>
    <x v="16"/>
    <x v="16"/>
    <x v="6"/>
    <x v="56"/>
    <x v="59"/>
    <x v="52"/>
    <x v="64"/>
    <x v="57"/>
    <x v="59"/>
    <x v="4"/>
  </r>
  <r>
    <x v="0"/>
    <x v="3"/>
    <x v="3"/>
    <x v="7"/>
    <x v="7"/>
    <x v="7"/>
    <x v="7"/>
    <x v="61"/>
    <x v="6"/>
    <x v="39"/>
    <x v="65"/>
    <x v="58"/>
    <x v="60"/>
    <x v="4"/>
  </r>
  <r>
    <x v="0"/>
    <x v="3"/>
    <x v="3"/>
    <x v="8"/>
    <x v="8"/>
    <x v="8"/>
    <x v="8"/>
    <x v="62"/>
    <x v="44"/>
    <x v="64"/>
    <x v="66"/>
    <x v="59"/>
    <x v="61"/>
    <x v="0"/>
  </r>
  <r>
    <x v="0"/>
    <x v="3"/>
    <x v="3"/>
    <x v="14"/>
    <x v="14"/>
    <x v="14"/>
    <x v="9"/>
    <x v="63"/>
    <x v="60"/>
    <x v="50"/>
    <x v="67"/>
    <x v="52"/>
    <x v="53"/>
    <x v="4"/>
  </r>
  <r>
    <x v="0"/>
    <x v="3"/>
    <x v="3"/>
    <x v="4"/>
    <x v="4"/>
    <x v="4"/>
    <x v="10"/>
    <x v="64"/>
    <x v="30"/>
    <x v="37"/>
    <x v="52"/>
    <x v="60"/>
    <x v="62"/>
    <x v="4"/>
  </r>
  <r>
    <x v="0"/>
    <x v="3"/>
    <x v="3"/>
    <x v="9"/>
    <x v="9"/>
    <x v="9"/>
    <x v="11"/>
    <x v="65"/>
    <x v="61"/>
    <x v="52"/>
    <x v="64"/>
    <x v="58"/>
    <x v="60"/>
    <x v="4"/>
  </r>
  <r>
    <x v="0"/>
    <x v="3"/>
    <x v="3"/>
    <x v="13"/>
    <x v="13"/>
    <x v="13"/>
    <x v="11"/>
    <x v="65"/>
    <x v="61"/>
    <x v="52"/>
    <x v="64"/>
    <x v="58"/>
    <x v="60"/>
    <x v="4"/>
  </r>
  <r>
    <x v="0"/>
    <x v="3"/>
    <x v="3"/>
    <x v="25"/>
    <x v="25"/>
    <x v="25"/>
    <x v="13"/>
    <x v="66"/>
    <x v="62"/>
    <x v="57"/>
    <x v="57"/>
    <x v="47"/>
    <x v="63"/>
    <x v="4"/>
  </r>
  <r>
    <x v="0"/>
    <x v="3"/>
    <x v="3"/>
    <x v="15"/>
    <x v="15"/>
    <x v="15"/>
    <x v="13"/>
    <x v="66"/>
    <x v="62"/>
    <x v="57"/>
    <x v="57"/>
    <x v="44"/>
    <x v="58"/>
    <x v="4"/>
  </r>
  <r>
    <x v="0"/>
    <x v="3"/>
    <x v="3"/>
    <x v="10"/>
    <x v="10"/>
    <x v="10"/>
    <x v="15"/>
    <x v="67"/>
    <x v="63"/>
    <x v="65"/>
    <x v="68"/>
    <x v="61"/>
    <x v="64"/>
    <x v="4"/>
  </r>
  <r>
    <x v="0"/>
    <x v="3"/>
    <x v="3"/>
    <x v="22"/>
    <x v="22"/>
    <x v="22"/>
    <x v="15"/>
    <x v="67"/>
    <x v="63"/>
    <x v="66"/>
    <x v="69"/>
    <x v="61"/>
    <x v="64"/>
    <x v="8"/>
  </r>
  <r>
    <x v="0"/>
    <x v="3"/>
    <x v="3"/>
    <x v="12"/>
    <x v="12"/>
    <x v="12"/>
    <x v="15"/>
    <x v="67"/>
    <x v="63"/>
    <x v="67"/>
    <x v="70"/>
    <x v="52"/>
    <x v="53"/>
    <x v="4"/>
  </r>
  <r>
    <x v="0"/>
    <x v="3"/>
    <x v="3"/>
    <x v="19"/>
    <x v="19"/>
    <x v="19"/>
    <x v="18"/>
    <x v="68"/>
    <x v="64"/>
    <x v="37"/>
    <x v="52"/>
    <x v="61"/>
    <x v="64"/>
    <x v="4"/>
  </r>
  <r>
    <x v="0"/>
    <x v="3"/>
    <x v="3"/>
    <x v="11"/>
    <x v="11"/>
    <x v="11"/>
    <x v="18"/>
    <x v="68"/>
    <x v="64"/>
    <x v="67"/>
    <x v="70"/>
    <x v="62"/>
    <x v="65"/>
    <x v="4"/>
  </r>
  <r>
    <x v="0"/>
    <x v="3"/>
    <x v="3"/>
    <x v="23"/>
    <x v="23"/>
    <x v="23"/>
    <x v="18"/>
    <x v="68"/>
    <x v="64"/>
    <x v="62"/>
    <x v="62"/>
    <x v="52"/>
    <x v="53"/>
    <x v="4"/>
  </r>
  <r>
    <x v="0"/>
    <x v="4"/>
    <x v="4"/>
    <x v="0"/>
    <x v="0"/>
    <x v="0"/>
    <x v="0"/>
    <x v="58"/>
    <x v="65"/>
    <x v="68"/>
    <x v="71"/>
    <x v="55"/>
    <x v="32"/>
    <x v="4"/>
  </r>
  <r>
    <x v="0"/>
    <x v="4"/>
    <x v="4"/>
    <x v="1"/>
    <x v="1"/>
    <x v="1"/>
    <x v="1"/>
    <x v="69"/>
    <x v="66"/>
    <x v="69"/>
    <x v="72"/>
    <x v="61"/>
    <x v="66"/>
    <x v="4"/>
  </r>
  <r>
    <x v="0"/>
    <x v="4"/>
    <x v="4"/>
    <x v="2"/>
    <x v="2"/>
    <x v="2"/>
    <x v="2"/>
    <x v="50"/>
    <x v="67"/>
    <x v="51"/>
    <x v="73"/>
    <x v="63"/>
    <x v="67"/>
    <x v="4"/>
  </r>
  <r>
    <x v="0"/>
    <x v="4"/>
    <x v="4"/>
    <x v="3"/>
    <x v="3"/>
    <x v="3"/>
    <x v="3"/>
    <x v="70"/>
    <x v="68"/>
    <x v="70"/>
    <x v="74"/>
    <x v="59"/>
    <x v="68"/>
    <x v="4"/>
  </r>
  <r>
    <x v="0"/>
    <x v="4"/>
    <x v="4"/>
    <x v="6"/>
    <x v="6"/>
    <x v="6"/>
    <x v="4"/>
    <x v="71"/>
    <x v="69"/>
    <x v="35"/>
    <x v="75"/>
    <x v="53"/>
    <x v="69"/>
    <x v="4"/>
  </r>
  <r>
    <x v="0"/>
    <x v="4"/>
    <x v="4"/>
    <x v="4"/>
    <x v="4"/>
    <x v="4"/>
    <x v="5"/>
    <x v="61"/>
    <x v="70"/>
    <x v="71"/>
    <x v="76"/>
    <x v="64"/>
    <x v="70"/>
    <x v="4"/>
  </r>
  <r>
    <x v="0"/>
    <x v="4"/>
    <x v="4"/>
    <x v="19"/>
    <x v="19"/>
    <x v="19"/>
    <x v="6"/>
    <x v="72"/>
    <x v="71"/>
    <x v="72"/>
    <x v="77"/>
    <x v="65"/>
    <x v="71"/>
    <x v="4"/>
  </r>
  <r>
    <x v="0"/>
    <x v="4"/>
    <x v="4"/>
    <x v="7"/>
    <x v="7"/>
    <x v="7"/>
    <x v="7"/>
    <x v="62"/>
    <x v="72"/>
    <x v="73"/>
    <x v="78"/>
    <x v="52"/>
    <x v="45"/>
    <x v="4"/>
  </r>
  <r>
    <x v="0"/>
    <x v="4"/>
    <x v="4"/>
    <x v="9"/>
    <x v="9"/>
    <x v="9"/>
    <x v="8"/>
    <x v="73"/>
    <x v="73"/>
    <x v="55"/>
    <x v="64"/>
    <x v="66"/>
    <x v="72"/>
    <x v="4"/>
  </r>
  <r>
    <x v="0"/>
    <x v="4"/>
    <x v="4"/>
    <x v="11"/>
    <x v="11"/>
    <x v="11"/>
    <x v="9"/>
    <x v="74"/>
    <x v="74"/>
    <x v="15"/>
    <x v="79"/>
    <x v="67"/>
    <x v="73"/>
    <x v="4"/>
  </r>
  <r>
    <x v="0"/>
    <x v="4"/>
    <x v="4"/>
    <x v="10"/>
    <x v="10"/>
    <x v="10"/>
    <x v="10"/>
    <x v="75"/>
    <x v="46"/>
    <x v="65"/>
    <x v="80"/>
    <x v="53"/>
    <x v="69"/>
    <x v="4"/>
  </r>
  <r>
    <x v="0"/>
    <x v="4"/>
    <x v="4"/>
    <x v="5"/>
    <x v="5"/>
    <x v="5"/>
    <x v="10"/>
    <x v="75"/>
    <x v="46"/>
    <x v="67"/>
    <x v="81"/>
    <x v="59"/>
    <x v="68"/>
    <x v="4"/>
  </r>
  <r>
    <x v="0"/>
    <x v="4"/>
    <x v="4"/>
    <x v="12"/>
    <x v="12"/>
    <x v="12"/>
    <x v="12"/>
    <x v="67"/>
    <x v="75"/>
    <x v="62"/>
    <x v="82"/>
    <x v="58"/>
    <x v="74"/>
    <x v="4"/>
  </r>
  <r>
    <x v="0"/>
    <x v="4"/>
    <x v="4"/>
    <x v="8"/>
    <x v="8"/>
    <x v="8"/>
    <x v="12"/>
    <x v="67"/>
    <x v="75"/>
    <x v="67"/>
    <x v="81"/>
    <x v="67"/>
    <x v="73"/>
    <x v="4"/>
  </r>
  <r>
    <x v="0"/>
    <x v="4"/>
    <x v="4"/>
    <x v="14"/>
    <x v="14"/>
    <x v="14"/>
    <x v="12"/>
    <x v="67"/>
    <x v="75"/>
    <x v="55"/>
    <x v="64"/>
    <x v="62"/>
    <x v="65"/>
    <x v="4"/>
  </r>
  <r>
    <x v="0"/>
    <x v="4"/>
    <x v="4"/>
    <x v="16"/>
    <x v="16"/>
    <x v="16"/>
    <x v="15"/>
    <x v="76"/>
    <x v="62"/>
    <x v="37"/>
    <x v="83"/>
    <x v="55"/>
    <x v="32"/>
    <x v="4"/>
  </r>
  <r>
    <x v="0"/>
    <x v="4"/>
    <x v="4"/>
    <x v="17"/>
    <x v="17"/>
    <x v="17"/>
    <x v="16"/>
    <x v="68"/>
    <x v="76"/>
    <x v="65"/>
    <x v="80"/>
    <x v="58"/>
    <x v="74"/>
    <x v="4"/>
  </r>
  <r>
    <x v="0"/>
    <x v="4"/>
    <x v="4"/>
    <x v="26"/>
    <x v="26"/>
    <x v="26"/>
    <x v="16"/>
    <x v="68"/>
    <x v="76"/>
    <x v="37"/>
    <x v="83"/>
    <x v="59"/>
    <x v="68"/>
    <x v="4"/>
  </r>
  <r>
    <x v="0"/>
    <x v="4"/>
    <x v="4"/>
    <x v="27"/>
    <x v="27"/>
    <x v="27"/>
    <x v="18"/>
    <x v="77"/>
    <x v="77"/>
    <x v="71"/>
    <x v="76"/>
    <x v="61"/>
    <x v="66"/>
    <x v="4"/>
  </r>
  <r>
    <x v="0"/>
    <x v="4"/>
    <x v="4"/>
    <x v="13"/>
    <x v="13"/>
    <x v="13"/>
    <x v="19"/>
    <x v="78"/>
    <x v="78"/>
    <x v="71"/>
    <x v="76"/>
    <x v="59"/>
    <x v="68"/>
    <x v="4"/>
  </r>
  <r>
    <x v="0"/>
    <x v="5"/>
    <x v="5"/>
    <x v="1"/>
    <x v="1"/>
    <x v="1"/>
    <x v="0"/>
    <x v="79"/>
    <x v="36"/>
    <x v="74"/>
    <x v="84"/>
    <x v="47"/>
    <x v="75"/>
    <x v="4"/>
  </r>
  <r>
    <x v="0"/>
    <x v="5"/>
    <x v="5"/>
    <x v="0"/>
    <x v="0"/>
    <x v="0"/>
    <x v="1"/>
    <x v="80"/>
    <x v="79"/>
    <x v="75"/>
    <x v="85"/>
    <x v="47"/>
    <x v="75"/>
    <x v="4"/>
  </r>
  <r>
    <x v="0"/>
    <x v="5"/>
    <x v="5"/>
    <x v="2"/>
    <x v="2"/>
    <x v="2"/>
    <x v="2"/>
    <x v="81"/>
    <x v="80"/>
    <x v="70"/>
    <x v="86"/>
    <x v="68"/>
    <x v="76"/>
    <x v="10"/>
  </r>
  <r>
    <x v="0"/>
    <x v="5"/>
    <x v="5"/>
    <x v="3"/>
    <x v="3"/>
    <x v="3"/>
    <x v="3"/>
    <x v="82"/>
    <x v="81"/>
    <x v="30"/>
    <x v="87"/>
    <x v="69"/>
    <x v="77"/>
    <x v="4"/>
  </r>
  <r>
    <x v="0"/>
    <x v="5"/>
    <x v="5"/>
    <x v="4"/>
    <x v="4"/>
    <x v="4"/>
    <x v="4"/>
    <x v="83"/>
    <x v="82"/>
    <x v="44"/>
    <x v="88"/>
    <x v="70"/>
    <x v="78"/>
    <x v="4"/>
  </r>
  <r>
    <x v="0"/>
    <x v="5"/>
    <x v="5"/>
    <x v="7"/>
    <x v="7"/>
    <x v="7"/>
    <x v="4"/>
    <x v="83"/>
    <x v="82"/>
    <x v="76"/>
    <x v="89"/>
    <x v="67"/>
    <x v="79"/>
    <x v="4"/>
  </r>
  <r>
    <x v="0"/>
    <x v="5"/>
    <x v="5"/>
    <x v="6"/>
    <x v="6"/>
    <x v="6"/>
    <x v="6"/>
    <x v="70"/>
    <x v="83"/>
    <x v="77"/>
    <x v="90"/>
    <x v="71"/>
    <x v="80"/>
    <x v="4"/>
  </r>
  <r>
    <x v="0"/>
    <x v="5"/>
    <x v="5"/>
    <x v="8"/>
    <x v="8"/>
    <x v="8"/>
    <x v="6"/>
    <x v="70"/>
    <x v="83"/>
    <x v="60"/>
    <x v="91"/>
    <x v="50"/>
    <x v="81"/>
    <x v="4"/>
  </r>
  <r>
    <x v="0"/>
    <x v="5"/>
    <x v="5"/>
    <x v="9"/>
    <x v="9"/>
    <x v="9"/>
    <x v="8"/>
    <x v="54"/>
    <x v="84"/>
    <x v="78"/>
    <x v="92"/>
    <x v="38"/>
    <x v="82"/>
    <x v="4"/>
  </r>
  <r>
    <x v="0"/>
    <x v="5"/>
    <x v="5"/>
    <x v="11"/>
    <x v="11"/>
    <x v="11"/>
    <x v="9"/>
    <x v="84"/>
    <x v="85"/>
    <x v="79"/>
    <x v="93"/>
    <x v="53"/>
    <x v="83"/>
    <x v="4"/>
  </r>
  <r>
    <x v="0"/>
    <x v="5"/>
    <x v="5"/>
    <x v="5"/>
    <x v="5"/>
    <x v="5"/>
    <x v="10"/>
    <x v="59"/>
    <x v="86"/>
    <x v="64"/>
    <x v="94"/>
    <x v="39"/>
    <x v="84"/>
    <x v="4"/>
  </r>
  <r>
    <x v="0"/>
    <x v="5"/>
    <x v="5"/>
    <x v="14"/>
    <x v="14"/>
    <x v="14"/>
    <x v="11"/>
    <x v="71"/>
    <x v="87"/>
    <x v="48"/>
    <x v="95"/>
    <x v="62"/>
    <x v="65"/>
    <x v="4"/>
  </r>
  <r>
    <x v="0"/>
    <x v="5"/>
    <x v="5"/>
    <x v="13"/>
    <x v="13"/>
    <x v="13"/>
    <x v="12"/>
    <x v="85"/>
    <x v="47"/>
    <x v="72"/>
    <x v="96"/>
    <x v="69"/>
    <x v="77"/>
    <x v="4"/>
  </r>
  <r>
    <x v="0"/>
    <x v="5"/>
    <x v="5"/>
    <x v="15"/>
    <x v="15"/>
    <x v="15"/>
    <x v="12"/>
    <x v="85"/>
    <x v="47"/>
    <x v="57"/>
    <x v="57"/>
    <x v="56"/>
    <x v="85"/>
    <x v="4"/>
  </r>
  <r>
    <x v="0"/>
    <x v="5"/>
    <x v="5"/>
    <x v="10"/>
    <x v="10"/>
    <x v="10"/>
    <x v="14"/>
    <x v="86"/>
    <x v="88"/>
    <x v="66"/>
    <x v="97"/>
    <x v="64"/>
    <x v="86"/>
    <x v="4"/>
  </r>
  <r>
    <x v="0"/>
    <x v="5"/>
    <x v="5"/>
    <x v="12"/>
    <x v="12"/>
    <x v="12"/>
    <x v="15"/>
    <x v="87"/>
    <x v="89"/>
    <x v="15"/>
    <x v="98"/>
    <x v="44"/>
    <x v="87"/>
    <x v="4"/>
  </r>
  <r>
    <x v="0"/>
    <x v="5"/>
    <x v="5"/>
    <x v="16"/>
    <x v="16"/>
    <x v="16"/>
    <x v="16"/>
    <x v="88"/>
    <x v="90"/>
    <x v="80"/>
    <x v="99"/>
    <x v="72"/>
    <x v="88"/>
    <x v="4"/>
  </r>
  <r>
    <x v="0"/>
    <x v="5"/>
    <x v="5"/>
    <x v="21"/>
    <x v="21"/>
    <x v="21"/>
    <x v="17"/>
    <x v="89"/>
    <x v="91"/>
    <x v="55"/>
    <x v="100"/>
    <x v="66"/>
    <x v="89"/>
    <x v="8"/>
  </r>
  <r>
    <x v="0"/>
    <x v="5"/>
    <x v="5"/>
    <x v="17"/>
    <x v="17"/>
    <x v="17"/>
    <x v="17"/>
    <x v="89"/>
    <x v="91"/>
    <x v="15"/>
    <x v="98"/>
    <x v="55"/>
    <x v="90"/>
    <x v="4"/>
  </r>
  <r>
    <x v="0"/>
    <x v="5"/>
    <x v="5"/>
    <x v="22"/>
    <x v="22"/>
    <x v="22"/>
    <x v="19"/>
    <x v="63"/>
    <x v="92"/>
    <x v="37"/>
    <x v="101"/>
    <x v="72"/>
    <x v="88"/>
    <x v="4"/>
  </r>
  <r>
    <x v="0"/>
    <x v="6"/>
    <x v="6"/>
    <x v="1"/>
    <x v="1"/>
    <x v="1"/>
    <x v="0"/>
    <x v="90"/>
    <x v="93"/>
    <x v="81"/>
    <x v="102"/>
    <x v="65"/>
    <x v="27"/>
    <x v="8"/>
  </r>
  <r>
    <x v="0"/>
    <x v="6"/>
    <x v="6"/>
    <x v="0"/>
    <x v="0"/>
    <x v="0"/>
    <x v="1"/>
    <x v="91"/>
    <x v="94"/>
    <x v="42"/>
    <x v="103"/>
    <x v="65"/>
    <x v="27"/>
    <x v="4"/>
  </r>
  <r>
    <x v="0"/>
    <x v="6"/>
    <x v="6"/>
    <x v="2"/>
    <x v="2"/>
    <x v="2"/>
    <x v="2"/>
    <x v="45"/>
    <x v="95"/>
    <x v="59"/>
    <x v="104"/>
    <x v="73"/>
    <x v="91"/>
    <x v="4"/>
  </r>
  <r>
    <x v="0"/>
    <x v="6"/>
    <x v="6"/>
    <x v="3"/>
    <x v="3"/>
    <x v="3"/>
    <x v="3"/>
    <x v="92"/>
    <x v="96"/>
    <x v="82"/>
    <x v="105"/>
    <x v="56"/>
    <x v="92"/>
    <x v="8"/>
  </r>
  <r>
    <x v="0"/>
    <x v="6"/>
    <x v="6"/>
    <x v="4"/>
    <x v="4"/>
    <x v="4"/>
    <x v="4"/>
    <x v="93"/>
    <x v="40"/>
    <x v="78"/>
    <x v="106"/>
    <x v="74"/>
    <x v="93"/>
    <x v="4"/>
  </r>
  <r>
    <x v="0"/>
    <x v="6"/>
    <x v="6"/>
    <x v="9"/>
    <x v="9"/>
    <x v="9"/>
    <x v="5"/>
    <x v="94"/>
    <x v="97"/>
    <x v="83"/>
    <x v="107"/>
    <x v="75"/>
    <x v="94"/>
    <x v="4"/>
  </r>
  <r>
    <x v="0"/>
    <x v="6"/>
    <x v="6"/>
    <x v="6"/>
    <x v="6"/>
    <x v="6"/>
    <x v="6"/>
    <x v="51"/>
    <x v="98"/>
    <x v="60"/>
    <x v="108"/>
    <x v="72"/>
    <x v="95"/>
    <x v="4"/>
  </r>
  <r>
    <x v="0"/>
    <x v="6"/>
    <x v="6"/>
    <x v="8"/>
    <x v="8"/>
    <x v="8"/>
    <x v="7"/>
    <x v="55"/>
    <x v="99"/>
    <x v="53"/>
    <x v="109"/>
    <x v="59"/>
    <x v="7"/>
    <x v="8"/>
  </r>
  <r>
    <x v="0"/>
    <x v="6"/>
    <x v="6"/>
    <x v="7"/>
    <x v="7"/>
    <x v="7"/>
    <x v="8"/>
    <x v="95"/>
    <x v="100"/>
    <x v="53"/>
    <x v="109"/>
    <x v="58"/>
    <x v="96"/>
    <x v="4"/>
  </r>
  <r>
    <x v="0"/>
    <x v="6"/>
    <x v="6"/>
    <x v="10"/>
    <x v="10"/>
    <x v="10"/>
    <x v="9"/>
    <x v="59"/>
    <x v="101"/>
    <x v="15"/>
    <x v="110"/>
    <x v="64"/>
    <x v="97"/>
    <x v="4"/>
  </r>
  <r>
    <x v="0"/>
    <x v="6"/>
    <x v="6"/>
    <x v="16"/>
    <x v="16"/>
    <x v="16"/>
    <x v="9"/>
    <x v="59"/>
    <x v="101"/>
    <x v="64"/>
    <x v="111"/>
    <x v="39"/>
    <x v="98"/>
    <x v="4"/>
  </r>
  <r>
    <x v="0"/>
    <x v="6"/>
    <x v="6"/>
    <x v="18"/>
    <x v="18"/>
    <x v="18"/>
    <x v="11"/>
    <x v="85"/>
    <x v="46"/>
    <x v="73"/>
    <x v="112"/>
    <x v="44"/>
    <x v="99"/>
    <x v="4"/>
  </r>
  <r>
    <x v="0"/>
    <x v="6"/>
    <x v="6"/>
    <x v="12"/>
    <x v="12"/>
    <x v="12"/>
    <x v="12"/>
    <x v="96"/>
    <x v="102"/>
    <x v="15"/>
    <x v="110"/>
    <x v="60"/>
    <x v="37"/>
    <x v="4"/>
  </r>
  <r>
    <x v="0"/>
    <x v="6"/>
    <x v="6"/>
    <x v="14"/>
    <x v="14"/>
    <x v="14"/>
    <x v="12"/>
    <x v="96"/>
    <x v="102"/>
    <x v="84"/>
    <x v="113"/>
    <x v="67"/>
    <x v="100"/>
    <x v="4"/>
  </r>
  <r>
    <x v="0"/>
    <x v="6"/>
    <x v="6"/>
    <x v="19"/>
    <x v="19"/>
    <x v="19"/>
    <x v="14"/>
    <x v="97"/>
    <x v="103"/>
    <x v="55"/>
    <x v="114"/>
    <x v="76"/>
    <x v="101"/>
    <x v="4"/>
  </r>
  <r>
    <x v="0"/>
    <x v="6"/>
    <x v="6"/>
    <x v="13"/>
    <x v="13"/>
    <x v="13"/>
    <x v="15"/>
    <x v="61"/>
    <x v="88"/>
    <x v="64"/>
    <x v="111"/>
    <x v="76"/>
    <x v="101"/>
    <x v="4"/>
  </r>
  <r>
    <x v="0"/>
    <x v="6"/>
    <x v="6"/>
    <x v="5"/>
    <x v="5"/>
    <x v="5"/>
    <x v="16"/>
    <x v="87"/>
    <x v="104"/>
    <x v="55"/>
    <x v="114"/>
    <x v="60"/>
    <x v="37"/>
    <x v="4"/>
  </r>
  <r>
    <x v="0"/>
    <x v="6"/>
    <x v="6"/>
    <x v="11"/>
    <x v="11"/>
    <x v="11"/>
    <x v="17"/>
    <x v="73"/>
    <x v="16"/>
    <x v="44"/>
    <x v="115"/>
    <x v="52"/>
    <x v="102"/>
    <x v="4"/>
  </r>
  <r>
    <x v="0"/>
    <x v="6"/>
    <x v="6"/>
    <x v="28"/>
    <x v="28"/>
    <x v="28"/>
    <x v="18"/>
    <x v="63"/>
    <x v="105"/>
    <x v="67"/>
    <x v="116"/>
    <x v="50"/>
    <x v="103"/>
    <x v="4"/>
  </r>
  <r>
    <x v="0"/>
    <x v="6"/>
    <x v="6"/>
    <x v="27"/>
    <x v="27"/>
    <x v="27"/>
    <x v="19"/>
    <x v="98"/>
    <x v="106"/>
    <x v="66"/>
    <x v="117"/>
    <x v="66"/>
    <x v="47"/>
    <x v="8"/>
  </r>
  <r>
    <x v="0"/>
    <x v="7"/>
    <x v="7"/>
    <x v="0"/>
    <x v="0"/>
    <x v="0"/>
    <x v="0"/>
    <x v="57"/>
    <x v="107"/>
    <x v="85"/>
    <x v="118"/>
    <x v="61"/>
    <x v="104"/>
    <x v="4"/>
  </r>
  <r>
    <x v="0"/>
    <x v="7"/>
    <x v="7"/>
    <x v="1"/>
    <x v="1"/>
    <x v="1"/>
    <x v="1"/>
    <x v="99"/>
    <x v="108"/>
    <x v="68"/>
    <x v="119"/>
    <x v="67"/>
    <x v="105"/>
    <x v="4"/>
  </r>
  <r>
    <x v="0"/>
    <x v="7"/>
    <x v="7"/>
    <x v="2"/>
    <x v="2"/>
    <x v="2"/>
    <x v="2"/>
    <x v="100"/>
    <x v="109"/>
    <x v="79"/>
    <x v="120"/>
    <x v="57"/>
    <x v="106"/>
    <x v="4"/>
  </r>
  <r>
    <x v="0"/>
    <x v="7"/>
    <x v="7"/>
    <x v="3"/>
    <x v="3"/>
    <x v="3"/>
    <x v="3"/>
    <x v="70"/>
    <x v="110"/>
    <x v="86"/>
    <x v="121"/>
    <x v="76"/>
    <x v="107"/>
    <x v="4"/>
  </r>
  <r>
    <x v="0"/>
    <x v="7"/>
    <x v="7"/>
    <x v="4"/>
    <x v="4"/>
    <x v="4"/>
    <x v="4"/>
    <x v="97"/>
    <x v="41"/>
    <x v="37"/>
    <x v="122"/>
    <x v="64"/>
    <x v="108"/>
    <x v="4"/>
  </r>
  <r>
    <x v="0"/>
    <x v="7"/>
    <x v="7"/>
    <x v="6"/>
    <x v="6"/>
    <x v="6"/>
    <x v="5"/>
    <x v="87"/>
    <x v="111"/>
    <x v="50"/>
    <x v="123"/>
    <x v="66"/>
    <x v="109"/>
    <x v="4"/>
  </r>
  <r>
    <x v="0"/>
    <x v="7"/>
    <x v="7"/>
    <x v="18"/>
    <x v="18"/>
    <x v="18"/>
    <x v="6"/>
    <x v="89"/>
    <x v="112"/>
    <x v="50"/>
    <x v="123"/>
    <x v="59"/>
    <x v="110"/>
    <x v="4"/>
  </r>
  <r>
    <x v="0"/>
    <x v="7"/>
    <x v="7"/>
    <x v="16"/>
    <x v="16"/>
    <x v="16"/>
    <x v="7"/>
    <x v="73"/>
    <x v="113"/>
    <x v="55"/>
    <x v="77"/>
    <x v="66"/>
    <x v="109"/>
    <x v="4"/>
  </r>
  <r>
    <x v="0"/>
    <x v="7"/>
    <x v="7"/>
    <x v="12"/>
    <x v="12"/>
    <x v="12"/>
    <x v="8"/>
    <x v="74"/>
    <x v="114"/>
    <x v="71"/>
    <x v="124"/>
    <x v="47"/>
    <x v="111"/>
    <x v="4"/>
  </r>
  <r>
    <x v="0"/>
    <x v="7"/>
    <x v="7"/>
    <x v="7"/>
    <x v="7"/>
    <x v="7"/>
    <x v="9"/>
    <x v="98"/>
    <x v="86"/>
    <x v="72"/>
    <x v="125"/>
    <x v="52"/>
    <x v="112"/>
    <x v="4"/>
  </r>
  <r>
    <x v="0"/>
    <x v="7"/>
    <x v="7"/>
    <x v="10"/>
    <x v="10"/>
    <x v="10"/>
    <x v="10"/>
    <x v="66"/>
    <x v="115"/>
    <x v="65"/>
    <x v="126"/>
    <x v="55"/>
    <x v="34"/>
    <x v="4"/>
  </r>
  <r>
    <x v="0"/>
    <x v="7"/>
    <x v="7"/>
    <x v="5"/>
    <x v="5"/>
    <x v="5"/>
    <x v="10"/>
    <x v="66"/>
    <x v="115"/>
    <x v="62"/>
    <x v="115"/>
    <x v="61"/>
    <x v="104"/>
    <x v="4"/>
  </r>
  <r>
    <x v="0"/>
    <x v="7"/>
    <x v="7"/>
    <x v="15"/>
    <x v="15"/>
    <x v="15"/>
    <x v="10"/>
    <x v="66"/>
    <x v="115"/>
    <x v="57"/>
    <x v="57"/>
    <x v="65"/>
    <x v="113"/>
    <x v="4"/>
  </r>
  <r>
    <x v="0"/>
    <x v="7"/>
    <x v="7"/>
    <x v="9"/>
    <x v="9"/>
    <x v="9"/>
    <x v="13"/>
    <x v="67"/>
    <x v="31"/>
    <x v="66"/>
    <x v="127"/>
    <x v="55"/>
    <x v="34"/>
    <x v="4"/>
  </r>
  <r>
    <x v="0"/>
    <x v="7"/>
    <x v="7"/>
    <x v="14"/>
    <x v="14"/>
    <x v="14"/>
    <x v="13"/>
    <x v="67"/>
    <x v="31"/>
    <x v="67"/>
    <x v="128"/>
    <x v="52"/>
    <x v="112"/>
    <x v="4"/>
  </r>
  <r>
    <x v="0"/>
    <x v="7"/>
    <x v="7"/>
    <x v="11"/>
    <x v="11"/>
    <x v="11"/>
    <x v="15"/>
    <x v="68"/>
    <x v="116"/>
    <x v="80"/>
    <x v="129"/>
    <x v="67"/>
    <x v="105"/>
    <x v="4"/>
  </r>
  <r>
    <x v="0"/>
    <x v="7"/>
    <x v="7"/>
    <x v="8"/>
    <x v="8"/>
    <x v="8"/>
    <x v="15"/>
    <x v="68"/>
    <x v="116"/>
    <x v="65"/>
    <x v="126"/>
    <x v="58"/>
    <x v="114"/>
    <x v="4"/>
  </r>
  <r>
    <x v="0"/>
    <x v="7"/>
    <x v="7"/>
    <x v="19"/>
    <x v="19"/>
    <x v="19"/>
    <x v="17"/>
    <x v="77"/>
    <x v="16"/>
    <x v="71"/>
    <x v="124"/>
    <x v="61"/>
    <x v="104"/>
    <x v="4"/>
  </r>
  <r>
    <x v="0"/>
    <x v="7"/>
    <x v="7"/>
    <x v="24"/>
    <x v="24"/>
    <x v="24"/>
    <x v="18"/>
    <x v="78"/>
    <x v="92"/>
    <x v="37"/>
    <x v="122"/>
    <x v="58"/>
    <x v="114"/>
    <x v="4"/>
  </r>
  <r>
    <x v="0"/>
    <x v="7"/>
    <x v="7"/>
    <x v="22"/>
    <x v="22"/>
    <x v="22"/>
    <x v="18"/>
    <x v="78"/>
    <x v="92"/>
    <x v="66"/>
    <x v="127"/>
    <x v="52"/>
    <x v="112"/>
    <x v="4"/>
  </r>
  <r>
    <x v="0"/>
    <x v="8"/>
    <x v="8"/>
    <x v="3"/>
    <x v="3"/>
    <x v="3"/>
    <x v="0"/>
    <x v="101"/>
    <x v="117"/>
    <x v="61"/>
    <x v="130"/>
    <x v="53"/>
    <x v="115"/>
    <x v="4"/>
  </r>
  <r>
    <x v="0"/>
    <x v="8"/>
    <x v="8"/>
    <x v="1"/>
    <x v="1"/>
    <x v="1"/>
    <x v="1"/>
    <x v="55"/>
    <x v="118"/>
    <x v="53"/>
    <x v="131"/>
    <x v="61"/>
    <x v="116"/>
    <x v="4"/>
  </r>
  <r>
    <x v="0"/>
    <x v="8"/>
    <x v="8"/>
    <x v="0"/>
    <x v="0"/>
    <x v="0"/>
    <x v="2"/>
    <x v="56"/>
    <x v="119"/>
    <x v="87"/>
    <x v="132"/>
    <x v="55"/>
    <x v="117"/>
    <x v="4"/>
  </r>
  <r>
    <x v="0"/>
    <x v="8"/>
    <x v="8"/>
    <x v="2"/>
    <x v="2"/>
    <x v="2"/>
    <x v="3"/>
    <x v="102"/>
    <x v="68"/>
    <x v="56"/>
    <x v="133"/>
    <x v="46"/>
    <x v="55"/>
    <x v="4"/>
  </r>
  <r>
    <x v="0"/>
    <x v="8"/>
    <x v="8"/>
    <x v="4"/>
    <x v="4"/>
    <x v="4"/>
    <x v="4"/>
    <x v="86"/>
    <x v="120"/>
    <x v="65"/>
    <x v="128"/>
    <x v="57"/>
    <x v="118"/>
    <x v="4"/>
  </r>
  <r>
    <x v="0"/>
    <x v="8"/>
    <x v="8"/>
    <x v="8"/>
    <x v="8"/>
    <x v="8"/>
    <x v="5"/>
    <x v="64"/>
    <x v="121"/>
    <x v="62"/>
    <x v="134"/>
    <x v="62"/>
    <x v="65"/>
    <x v="4"/>
  </r>
  <r>
    <x v="0"/>
    <x v="8"/>
    <x v="8"/>
    <x v="7"/>
    <x v="7"/>
    <x v="7"/>
    <x v="6"/>
    <x v="74"/>
    <x v="122"/>
    <x v="72"/>
    <x v="135"/>
    <x v="58"/>
    <x v="119"/>
    <x v="4"/>
  </r>
  <r>
    <x v="0"/>
    <x v="8"/>
    <x v="8"/>
    <x v="19"/>
    <x v="19"/>
    <x v="19"/>
    <x v="7"/>
    <x v="75"/>
    <x v="123"/>
    <x v="71"/>
    <x v="136"/>
    <x v="44"/>
    <x v="120"/>
    <x v="4"/>
  </r>
  <r>
    <x v="0"/>
    <x v="8"/>
    <x v="8"/>
    <x v="6"/>
    <x v="6"/>
    <x v="6"/>
    <x v="8"/>
    <x v="66"/>
    <x v="124"/>
    <x v="67"/>
    <x v="137"/>
    <x v="58"/>
    <x v="119"/>
    <x v="4"/>
  </r>
  <r>
    <x v="0"/>
    <x v="8"/>
    <x v="8"/>
    <x v="16"/>
    <x v="16"/>
    <x v="16"/>
    <x v="9"/>
    <x v="67"/>
    <x v="114"/>
    <x v="66"/>
    <x v="138"/>
    <x v="55"/>
    <x v="117"/>
    <x v="4"/>
  </r>
  <r>
    <x v="0"/>
    <x v="8"/>
    <x v="8"/>
    <x v="24"/>
    <x v="24"/>
    <x v="24"/>
    <x v="10"/>
    <x v="68"/>
    <x v="125"/>
    <x v="88"/>
    <x v="139"/>
    <x v="53"/>
    <x v="115"/>
    <x v="4"/>
  </r>
  <r>
    <x v="0"/>
    <x v="8"/>
    <x v="8"/>
    <x v="10"/>
    <x v="10"/>
    <x v="10"/>
    <x v="11"/>
    <x v="77"/>
    <x v="103"/>
    <x v="89"/>
    <x v="124"/>
    <x v="55"/>
    <x v="117"/>
    <x v="4"/>
  </r>
  <r>
    <x v="0"/>
    <x v="8"/>
    <x v="8"/>
    <x v="9"/>
    <x v="9"/>
    <x v="9"/>
    <x v="12"/>
    <x v="78"/>
    <x v="50"/>
    <x v="66"/>
    <x v="138"/>
    <x v="52"/>
    <x v="60"/>
    <x v="4"/>
  </r>
  <r>
    <x v="0"/>
    <x v="8"/>
    <x v="8"/>
    <x v="18"/>
    <x v="18"/>
    <x v="18"/>
    <x v="12"/>
    <x v="78"/>
    <x v="50"/>
    <x v="89"/>
    <x v="124"/>
    <x v="61"/>
    <x v="116"/>
    <x v="4"/>
  </r>
  <r>
    <x v="0"/>
    <x v="8"/>
    <x v="8"/>
    <x v="14"/>
    <x v="14"/>
    <x v="14"/>
    <x v="12"/>
    <x v="78"/>
    <x v="50"/>
    <x v="62"/>
    <x v="134"/>
    <x v="62"/>
    <x v="65"/>
    <x v="4"/>
  </r>
  <r>
    <x v="0"/>
    <x v="8"/>
    <x v="8"/>
    <x v="29"/>
    <x v="29"/>
    <x v="29"/>
    <x v="15"/>
    <x v="103"/>
    <x v="126"/>
    <x v="71"/>
    <x v="136"/>
    <x v="58"/>
    <x v="119"/>
    <x v="4"/>
  </r>
  <r>
    <x v="0"/>
    <x v="8"/>
    <x v="8"/>
    <x v="21"/>
    <x v="21"/>
    <x v="21"/>
    <x v="15"/>
    <x v="103"/>
    <x v="126"/>
    <x v="89"/>
    <x v="124"/>
    <x v="59"/>
    <x v="56"/>
    <x v="4"/>
  </r>
  <r>
    <x v="0"/>
    <x v="8"/>
    <x v="8"/>
    <x v="13"/>
    <x v="13"/>
    <x v="13"/>
    <x v="15"/>
    <x v="103"/>
    <x v="126"/>
    <x v="66"/>
    <x v="138"/>
    <x v="67"/>
    <x v="121"/>
    <x v="4"/>
  </r>
  <r>
    <x v="0"/>
    <x v="8"/>
    <x v="8"/>
    <x v="30"/>
    <x v="30"/>
    <x v="30"/>
    <x v="15"/>
    <x v="103"/>
    <x v="126"/>
    <x v="71"/>
    <x v="136"/>
    <x v="58"/>
    <x v="119"/>
    <x v="4"/>
  </r>
  <r>
    <x v="0"/>
    <x v="8"/>
    <x v="8"/>
    <x v="15"/>
    <x v="15"/>
    <x v="15"/>
    <x v="15"/>
    <x v="103"/>
    <x v="126"/>
    <x v="57"/>
    <x v="57"/>
    <x v="55"/>
    <x v="117"/>
    <x v="4"/>
  </r>
  <r>
    <x v="0"/>
    <x v="9"/>
    <x v="9"/>
    <x v="0"/>
    <x v="0"/>
    <x v="0"/>
    <x v="0"/>
    <x v="104"/>
    <x v="127"/>
    <x v="90"/>
    <x v="140"/>
    <x v="38"/>
    <x v="122"/>
    <x v="8"/>
  </r>
  <r>
    <x v="0"/>
    <x v="9"/>
    <x v="9"/>
    <x v="1"/>
    <x v="1"/>
    <x v="1"/>
    <x v="1"/>
    <x v="105"/>
    <x v="128"/>
    <x v="91"/>
    <x v="141"/>
    <x v="63"/>
    <x v="123"/>
    <x v="4"/>
  </r>
  <r>
    <x v="0"/>
    <x v="9"/>
    <x v="9"/>
    <x v="2"/>
    <x v="2"/>
    <x v="2"/>
    <x v="2"/>
    <x v="106"/>
    <x v="129"/>
    <x v="92"/>
    <x v="142"/>
    <x v="77"/>
    <x v="124"/>
    <x v="4"/>
  </r>
  <r>
    <x v="0"/>
    <x v="9"/>
    <x v="9"/>
    <x v="3"/>
    <x v="3"/>
    <x v="3"/>
    <x v="3"/>
    <x v="107"/>
    <x v="130"/>
    <x v="93"/>
    <x v="143"/>
    <x v="74"/>
    <x v="125"/>
    <x v="0"/>
  </r>
  <r>
    <x v="0"/>
    <x v="9"/>
    <x v="9"/>
    <x v="4"/>
    <x v="4"/>
    <x v="4"/>
    <x v="4"/>
    <x v="90"/>
    <x v="131"/>
    <x v="84"/>
    <x v="144"/>
    <x v="78"/>
    <x v="126"/>
    <x v="4"/>
  </r>
  <r>
    <x v="0"/>
    <x v="9"/>
    <x v="9"/>
    <x v="6"/>
    <x v="6"/>
    <x v="6"/>
    <x v="5"/>
    <x v="108"/>
    <x v="132"/>
    <x v="94"/>
    <x v="145"/>
    <x v="51"/>
    <x v="34"/>
    <x v="4"/>
  </r>
  <r>
    <x v="0"/>
    <x v="9"/>
    <x v="9"/>
    <x v="9"/>
    <x v="9"/>
    <x v="9"/>
    <x v="6"/>
    <x v="109"/>
    <x v="133"/>
    <x v="84"/>
    <x v="144"/>
    <x v="79"/>
    <x v="127"/>
    <x v="4"/>
  </r>
  <r>
    <x v="0"/>
    <x v="9"/>
    <x v="9"/>
    <x v="10"/>
    <x v="10"/>
    <x v="10"/>
    <x v="7"/>
    <x v="110"/>
    <x v="134"/>
    <x v="95"/>
    <x v="146"/>
    <x v="80"/>
    <x v="128"/>
    <x v="4"/>
  </r>
  <r>
    <x v="0"/>
    <x v="9"/>
    <x v="9"/>
    <x v="7"/>
    <x v="7"/>
    <x v="7"/>
    <x v="8"/>
    <x v="93"/>
    <x v="135"/>
    <x v="96"/>
    <x v="147"/>
    <x v="47"/>
    <x v="129"/>
    <x v="4"/>
  </r>
  <r>
    <x v="0"/>
    <x v="9"/>
    <x v="9"/>
    <x v="8"/>
    <x v="8"/>
    <x v="8"/>
    <x v="9"/>
    <x v="99"/>
    <x v="136"/>
    <x v="97"/>
    <x v="148"/>
    <x v="50"/>
    <x v="130"/>
    <x v="4"/>
  </r>
  <r>
    <x v="0"/>
    <x v="9"/>
    <x v="9"/>
    <x v="13"/>
    <x v="13"/>
    <x v="13"/>
    <x v="10"/>
    <x v="51"/>
    <x v="137"/>
    <x v="98"/>
    <x v="149"/>
    <x v="56"/>
    <x v="131"/>
    <x v="4"/>
  </r>
  <r>
    <x v="0"/>
    <x v="9"/>
    <x v="9"/>
    <x v="5"/>
    <x v="5"/>
    <x v="5"/>
    <x v="10"/>
    <x v="51"/>
    <x v="137"/>
    <x v="73"/>
    <x v="150"/>
    <x v="81"/>
    <x v="132"/>
    <x v="4"/>
  </r>
  <r>
    <x v="0"/>
    <x v="9"/>
    <x v="9"/>
    <x v="18"/>
    <x v="18"/>
    <x v="18"/>
    <x v="10"/>
    <x v="51"/>
    <x v="137"/>
    <x v="51"/>
    <x v="151"/>
    <x v="69"/>
    <x v="133"/>
    <x v="4"/>
  </r>
  <r>
    <x v="0"/>
    <x v="9"/>
    <x v="9"/>
    <x v="14"/>
    <x v="14"/>
    <x v="14"/>
    <x v="13"/>
    <x v="55"/>
    <x v="138"/>
    <x v="51"/>
    <x v="151"/>
    <x v="44"/>
    <x v="26"/>
    <x v="4"/>
  </r>
  <r>
    <x v="0"/>
    <x v="9"/>
    <x v="9"/>
    <x v="11"/>
    <x v="11"/>
    <x v="11"/>
    <x v="14"/>
    <x v="95"/>
    <x v="139"/>
    <x v="79"/>
    <x v="53"/>
    <x v="44"/>
    <x v="26"/>
    <x v="4"/>
  </r>
  <r>
    <x v="0"/>
    <x v="9"/>
    <x v="9"/>
    <x v="12"/>
    <x v="12"/>
    <x v="12"/>
    <x v="14"/>
    <x v="95"/>
    <x v="139"/>
    <x v="78"/>
    <x v="152"/>
    <x v="46"/>
    <x v="87"/>
    <x v="4"/>
  </r>
  <r>
    <x v="0"/>
    <x v="9"/>
    <x v="9"/>
    <x v="22"/>
    <x v="22"/>
    <x v="22"/>
    <x v="16"/>
    <x v="56"/>
    <x v="140"/>
    <x v="37"/>
    <x v="153"/>
    <x v="82"/>
    <x v="134"/>
    <x v="4"/>
  </r>
  <r>
    <x v="0"/>
    <x v="9"/>
    <x v="9"/>
    <x v="15"/>
    <x v="15"/>
    <x v="15"/>
    <x v="17"/>
    <x v="71"/>
    <x v="141"/>
    <x v="89"/>
    <x v="154"/>
    <x v="54"/>
    <x v="135"/>
    <x v="8"/>
  </r>
  <r>
    <x v="0"/>
    <x v="9"/>
    <x v="9"/>
    <x v="23"/>
    <x v="23"/>
    <x v="23"/>
    <x v="18"/>
    <x v="85"/>
    <x v="142"/>
    <x v="44"/>
    <x v="96"/>
    <x v="47"/>
    <x v="129"/>
    <x v="4"/>
  </r>
  <r>
    <x v="0"/>
    <x v="9"/>
    <x v="9"/>
    <x v="21"/>
    <x v="21"/>
    <x v="21"/>
    <x v="19"/>
    <x v="86"/>
    <x v="143"/>
    <x v="37"/>
    <x v="153"/>
    <x v="38"/>
    <x v="122"/>
    <x v="4"/>
  </r>
  <r>
    <x v="0"/>
    <x v="10"/>
    <x v="10"/>
    <x v="1"/>
    <x v="1"/>
    <x v="1"/>
    <x v="0"/>
    <x v="111"/>
    <x v="144"/>
    <x v="99"/>
    <x v="155"/>
    <x v="69"/>
    <x v="136"/>
    <x v="4"/>
  </r>
  <r>
    <x v="0"/>
    <x v="10"/>
    <x v="10"/>
    <x v="0"/>
    <x v="0"/>
    <x v="0"/>
    <x v="1"/>
    <x v="112"/>
    <x v="129"/>
    <x v="100"/>
    <x v="156"/>
    <x v="65"/>
    <x v="137"/>
    <x v="4"/>
  </r>
  <r>
    <x v="0"/>
    <x v="10"/>
    <x v="10"/>
    <x v="2"/>
    <x v="2"/>
    <x v="2"/>
    <x v="2"/>
    <x v="113"/>
    <x v="145"/>
    <x v="36"/>
    <x v="157"/>
    <x v="83"/>
    <x v="138"/>
    <x v="4"/>
  </r>
  <r>
    <x v="0"/>
    <x v="10"/>
    <x v="10"/>
    <x v="4"/>
    <x v="4"/>
    <x v="4"/>
    <x v="3"/>
    <x v="114"/>
    <x v="146"/>
    <x v="54"/>
    <x v="158"/>
    <x v="84"/>
    <x v="139"/>
    <x v="4"/>
  </r>
  <r>
    <x v="0"/>
    <x v="10"/>
    <x v="10"/>
    <x v="3"/>
    <x v="3"/>
    <x v="3"/>
    <x v="4"/>
    <x v="115"/>
    <x v="147"/>
    <x v="68"/>
    <x v="159"/>
    <x v="75"/>
    <x v="140"/>
    <x v="0"/>
  </r>
  <r>
    <x v="0"/>
    <x v="10"/>
    <x v="10"/>
    <x v="8"/>
    <x v="8"/>
    <x v="8"/>
    <x v="5"/>
    <x v="83"/>
    <x v="148"/>
    <x v="47"/>
    <x v="160"/>
    <x v="59"/>
    <x v="130"/>
    <x v="4"/>
  </r>
  <r>
    <x v="0"/>
    <x v="10"/>
    <x v="10"/>
    <x v="6"/>
    <x v="6"/>
    <x v="6"/>
    <x v="6"/>
    <x v="101"/>
    <x v="149"/>
    <x v="101"/>
    <x v="161"/>
    <x v="69"/>
    <x v="136"/>
    <x v="4"/>
  </r>
  <r>
    <x v="0"/>
    <x v="10"/>
    <x v="10"/>
    <x v="9"/>
    <x v="9"/>
    <x v="9"/>
    <x v="7"/>
    <x v="116"/>
    <x v="150"/>
    <x v="35"/>
    <x v="162"/>
    <x v="71"/>
    <x v="141"/>
    <x v="4"/>
  </r>
  <r>
    <x v="0"/>
    <x v="10"/>
    <x v="10"/>
    <x v="7"/>
    <x v="7"/>
    <x v="7"/>
    <x v="8"/>
    <x v="117"/>
    <x v="151"/>
    <x v="53"/>
    <x v="27"/>
    <x v="52"/>
    <x v="142"/>
    <x v="4"/>
  </r>
  <r>
    <x v="0"/>
    <x v="10"/>
    <x v="10"/>
    <x v="10"/>
    <x v="10"/>
    <x v="10"/>
    <x v="9"/>
    <x v="84"/>
    <x v="152"/>
    <x v="15"/>
    <x v="28"/>
    <x v="38"/>
    <x v="63"/>
    <x v="4"/>
  </r>
  <r>
    <x v="0"/>
    <x v="10"/>
    <x v="10"/>
    <x v="11"/>
    <x v="11"/>
    <x v="11"/>
    <x v="10"/>
    <x v="85"/>
    <x v="153"/>
    <x v="39"/>
    <x v="163"/>
    <x v="53"/>
    <x v="143"/>
    <x v="4"/>
  </r>
  <r>
    <x v="0"/>
    <x v="10"/>
    <x v="10"/>
    <x v="13"/>
    <x v="13"/>
    <x v="13"/>
    <x v="11"/>
    <x v="97"/>
    <x v="46"/>
    <x v="98"/>
    <x v="164"/>
    <x v="58"/>
    <x v="144"/>
    <x v="4"/>
  </r>
  <r>
    <x v="0"/>
    <x v="10"/>
    <x v="10"/>
    <x v="5"/>
    <x v="5"/>
    <x v="5"/>
    <x v="12"/>
    <x v="87"/>
    <x v="154"/>
    <x v="64"/>
    <x v="165"/>
    <x v="72"/>
    <x v="145"/>
    <x v="4"/>
  </r>
  <r>
    <x v="0"/>
    <x v="10"/>
    <x v="10"/>
    <x v="14"/>
    <x v="14"/>
    <x v="14"/>
    <x v="12"/>
    <x v="87"/>
    <x v="154"/>
    <x v="39"/>
    <x v="163"/>
    <x v="52"/>
    <x v="142"/>
    <x v="4"/>
  </r>
  <r>
    <x v="0"/>
    <x v="10"/>
    <x v="10"/>
    <x v="12"/>
    <x v="12"/>
    <x v="12"/>
    <x v="14"/>
    <x v="88"/>
    <x v="75"/>
    <x v="65"/>
    <x v="166"/>
    <x v="75"/>
    <x v="140"/>
    <x v="4"/>
  </r>
  <r>
    <x v="0"/>
    <x v="10"/>
    <x v="10"/>
    <x v="23"/>
    <x v="23"/>
    <x v="23"/>
    <x v="15"/>
    <x v="62"/>
    <x v="155"/>
    <x v="44"/>
    <x v="167"/>
    <x v="59"/>
    <x v="130"/>
    <x v="4"/>
  </r>
  <r>
    <x v="0"/>
    <x v="10"/>
    <x v="10"/>
    <x v="16"/>
    <x v="16"/>
    <x v="16"/>
    <x v="16"/>
    <x v="73"/>
    <x v="156"/>
    <x v="67"/>
    <x v="114"/>
    <x v="44"/>
    <x v="146"/>
    <x v="4"/>
  </r>
  <r>
    <x v="0"/>
    <x v="10"/>
    <x v="10"/>
    <x v="15"/>
    <x v="15"/>
    <x v="15"/>
    <x v="17"/>
    <x v="63"/>
    <x v="140"/>
    <x v="57"/>
    <x v="57"/>
    <x v="60"/>
    <x v="147"/>
    <x v="4"/>
  </r>
  <r>
    <x v="0"/>
    <x v="10"/>
    <x v="10"/>
    <x v="31"/>
    <x v="31"/>
    <x v="31"/>
    <x v="18"/>
    <x v="64"/>
    <x v="17"/>
    <x v="80"/>
    <x v="168"/>
    <x v="50"/>
    <x v="148"/>
    <x v="4"/>
  </r>
  <r>
    <x v="0"/>
    <x v="10"/>
    <x v="10"/>
    <x v="24"/>
    <x v="24"/>
    <x v="24"/>
    <x v="19"/>
    <x v="65"/>
    <x v="157"/>
    <x v="66"/>
    <x v="169"/>
    <x v="65"/>
    <x v="137"/>
    <x v="4"/>
  </r>
  <r>
    <x v="0"/>
    <x v="11"/>
    <x v="11"/>
    <x v="1"/>
    <x v="1"/>
    <x v="1"/>
    <x v="0"/>
    <x v="118"/>
    <x v="158"/>
    <x v="102"/>
    <x v="170"/>
    <x v="58"/>
    <x v="149"/>
    <x v="4"/>
  </r>
  <r>
    <x v="0"/>
    <x v="11"/>
    <x v="11"/>
    <x v="2"/>
    <x v="2"/>
    <x v="2"/>
    <x v="1"/>
    <x v="119"/>
    <x v="159"/>
    <x v="103"/>
    <x v="171"/>
    <x v="85"/>
    <x v="150"/>
    <x v="4"/>
  </r>
  <r>
    <x v="0"/>
    <x v="11"/>
    <x v="11"/>
    <x v="0"/>
    <x v="0"/>
    <x v="0"/>
    <x v="2"/>
    <x v="120"/>
    <x v="160"/>
    <x v="49"/>
    <x v="132"/>
    <x v="66"/>
    <x v="151"/>
    <x v="4"/>
  </r>
  <r>
    <x v="0"/>
    <x v="11"/>
    <x v="11"/>
    <x v="4"/>
    <x v="4"/>
    <x v="4"/>
    <x v="3"/>
    <x v="69"/>
    <x v="161"/>
    <x v="15"/>
    <x v="172"/>
    <x v="86"/>
    <x v="152"/>
    <x v="4"/>
  </r>
  <r>
    <x v="0"/>
    <x v="11"/>
    <x v="11"/>
    <x v="3"/>
    <x v="3"/>
    <x v="3"/>
    <x v="4"/>
    <x v="94"/>
    <x v="162"/>
    <x v="97"/>
    <x v="173"/>
    <x v="44"/>
    <x v="153"/>
    <x v="4"/>
  </r>
  <r>
    <x v="0"/>
    <x v="11"/>
    <x v="11"/>
    <x v="6"/>
    <x v="6"/>
    <x v="6"/>
    <x v="5"/>
    <x v="121"/>
    <x v="163"/>
    <x v="53"/>
    <x v="174"/>
    <x v="47"/>
    <x v="154"/>
    <x v="4"/>
  </r>
  <r>
    <x v="0"/>
    <x v="11"/>
    <x v="11"/>
    <x v="24"/>
    <x v="24"/>
    <x v="24"/>
    <x v="6"/>
    <x v="60"/>
    <x v="164"/>
    <x v="84"/>
    <x v="175"/>
    <x v="66"/>
    <x v="151"/>
    <x v="4"/>
  </r>
  <r>
    <x v="0"/>
    <x v="11"/>
    <x v="11"/>
    <x v="9"/>
    <x v="9"/>
    <x v="9"/>
    <x v="7"/>
    <x v="122"/>
    <x v="165"/>
    <x v="54"/>
    <x v="148"/>
    <x v="47"/>
    <x v="154"/>
    <x v="4"/>
  </r>
  <r>
    <x v="0"/>
    <x v="11"/>
    <x v="11"/>
    <x v="14"/>
    <x v="14"/>
    <x v="14"/>
    <x v="8"/>
    <x v="123"/>
    <x v="166"/>
    <x v="63"/>
    <x v="176"/>
    <x v="61"/>
    <x v="155"/>
    <x v="4"/>
  </r>
  <r>
    <x v="0"/>
    <x v="11"/>
    <x v="11"/>
    <x v="10"/>
    <x v="10"/>
    <x v="10"/>
    <x v="9"/>
    <x v="96"/>
    <x v="151"/>
    <x v="72"/>
    <x v="144"/>
    <x v="75"/>
    <x v="156"/>
    <x v="4"/>
  </r>
  <r>
    <x v="0"/>
    <x v="11"/>
    <x v="11"/>
    <x v="7"/>
    <x v="7"/>
    <x v="7"/>
    <x v="10"/>
    <x v="87"/>
    <x v="167"/>
    <x v="78"/>
    <x v="177"/>
    <x v="58"/>
    <x v="149"/>
    <x v="4"/>
  </r>
  <r>
    <x v="0"/>
    <x v="11"/>
    <x v="11"/>
    <x v="12"/>
    <x v="12"/>
    <x v="12"/>
    <x v="11"/>
    <x v="72"/>
    <x v="114"/>
    <x v="62"/>
    <x v="178"/>
    <x v="76"/>
    <x v="157"/>
    <x v="4"/>
  </r>
  <r>
    <x v="0"/>
    <x v="11"/>
    <x v="11"/>
    <x v="8"/>
    <x v="8"/>
    <x v="8"/>
    <x v="12"/>
    <x v="63"/>
    <x v="102"/>
    <x v="64"/>
    <x v="33"/>
    <x v="61"/>
    <x v="155"/>
    <x v="8"/>
  </r>
  <r>
    <x v="0"/>
    <x v="11"/>
    <x v="11"/>
    <x v="11"/>
    <x v="11"/>
    <x v="11"/>
    <x v="13"/>
    <x v="64"/>
    <x v="168"/>
    <x v="72"/>
    <x v="144"/>
    <x v="61"/>
    <x v="155"/>
    <x v="4"/>
  </r>
  <r>
    <x v="0"/>
    <x v="11"/>
    <x v="11"/>
    <x v="15"/>
    <x v="15"/>
    <x v="15"/>
    <x v="14"/>
    <x v="74"/>
    <x v="169"/>
    <x v="57"/>
    <x v="57"/>
    <x v="50"/>
    <x v="158"/>
    <x v="10"/>
  </r>
  <r>
    <x v="0"/>
    <x v="11"/>
    <x v="11"/>
    <x v="23"/>
    <x v="23"/>
    <x v="23"/>
    <x v="15"/>
    <x v="67"/>
    <x v="142"/>
    <x v="80"/>
    <x v="146"/>
    <x v="52"/>
    <x v="144"/>
    <x v="4"/>
  </r>
  <r>
    <x v="0"/>
    <x v="11"/>
    <x v="11"/>
    <x v="25"/>
    <x v="25"/>
    <x v="25"/>
    <x v="16"/>
    <x v="76"/>
    <x v="170"/>
    <x v="57"/>
    <x v="57"/>
    <x v="44"/>
    <x v="153"/>
    <x v="4"/>
  </r>
  <r>
    <x v="0"/>
    <x v="11"/>
    <x v="11"/>
    <x v="13"/>
    <x v="13"/>
    <x v="13"/>
    <x v="16"/>
    <x v="76"/>
    <x v="170"/>
    <x v="65"/>
    <x v="179"/>
    <x v="59"/>
    <x v="159"/>
    <x v="4"/>
  </r>
  <r>
    <x v="0"/>
    <x v="11"/>
    <x v="11"/>
    <x v="16"/>
    <x v="16"/>
    <x v="16"/>
    <x v="18"/>
    <x v="68"/>
    <x v="171"/>
    <x v="62"/>
    <x v="178"/>
    <x v="52"/>
    <x v="144"/>
    <x v="4"/>
  </r>
  <r>
    <x v="0"/>
    <x v="11"/>
    <x v="11"/>
    <x v="22"/>
    <x v="22"/>
    <x v="22"/>
    <x v="18"/>
    <x v="68"/>
    <x v="171"/>
    <x v="88"/>
    <x v="180"/>
    <x v="66"/>
    <x v="151"/>
    <x v="4"/>
  </r>
  <r>
    <x v="0"/>
    <x v="12"/>
    <x v="12"/>
    <x v="1"/>
    <x v="1"/>
    <x v="1"/>
    <x v="0"/>
    <x v="124"/>
    <x v="172"/>
    <x v="104"/>
    <x v="181"/>
    <x v="83"/>
    <x v="160"/>
    <x v="8"/>
  </r>
  <r>
    <x v="0"/>
    <x v="12"/>
    <x v="12"/>
    <x v="0"/>
    <x v="0"/>
    <x v="0"/>
    <x v="1"/>
    <x v="125"/>
    <x v="173"/>
    <x v="105"/>
    <x v="182"/>
    <x v="87"/>
    <x v="161"/>
    <x v="4"/>
  </r>
  <r>
    <x v="0"/>
    <x v="12"/>
    <x v="12"/>
    <x v="2"/>
    <x v="2"/>
    <x v="2"/>
    <x v="2"/>
    <x v="126"/>
    <x v="174"/>
    <x v="106"/>
    <x v="183"/>
    <x v="88"/>
    <x v="162"/>
    <x v="8"/>
  </r>
  <r>
    <x v="0"/>
    <x v="12"/>
    <x v="12"/>
    <x v="4"/>
    <x v="4"/>
    <x v="4"/>
    <x v="3"/>
    <x v="80"/>
    <x v="175"/>
    <x v="87"/>
    <x v="184"/>
    <x v="89"/>
    <x v="163"/>
    <x v="4"/>
  </r>
  <r>
    <x v="0"/>
    <x v="12"/>
    <x v="12"/>
    <x v="3"/>
    <x v="3"/>
    <x v="3"/>
    <x v="4"/>
    <x v="127"/>
    <x v="176"/>
    <x v="107"/>
    <x v="185"/>
    <x v="90"/>
    <x v="164"/>
    <x v="4"/>
  </r>
  <r>
    <x v="0"/>
    <x v="12"/>
    <x v="12"/>
    <x v="6"/>
    <x v="6"/>
    <x v="6"/>
    <x v="5"/>
    <x v="128"/>
    <x v="177"/>
    <x v="85"/>
    <x v="186"/>
    <x v="91"/>
    <x v="165"/>
    <x v="4"/>
  </r>
  <r>
    <x v="0"/>
    <x v="12"/>
    <x v="12"/>
    <x v="7"/>
    <x v="7"/>
    <x v="7"/>
    <x v="6"/>
    <x v="129"/>
    <x v="166"/>
    <x v="108"/>
    <x v="187"/>
    <x v="47"/>
    <x v="166"/>
    <x v="4"/>
  </r>
  <r>
    <x v="0"/>
    <x v="12"/>
    <x v="12"/>
    <x v="8"/>
    <x v="8"/>
    <x v="8"/>
    <x v="7"/>
    <x v="113"/>
    <x v="178"/>
    <x v="109"/>
    <x v="188"/>
    <x v="72"/>
    <x v="167"/>
    <x v="4"/>
  </r>
  <r>
    <x v="0"/>
    <x v="12"/>
    <x v="12"/>
    <x v="10"/>
    <x v="10"/>
    <x v="10"/>
    <x v="8"/>
    <x v="130"/>
    <x v="179"/>
    <x v="35"/>
    <x v="189"/>
    <x v="68"/>
    <x v="28"/>
    <x v="4"/>
  </r>
  <r>
    <x v="0"/>
    <x v="12"/>
    <x v="12"/>
    <x v="9"/>
    <x v="9"/>
    <x v="9"/>
    <x v="9"/>
    <x v="119"/>
    <x v="180"/>
    <x v="86"/>
    <x v="190"/>
    <x v="92"/>
    <x v="168"/>
    <x v="4"/>
  </r>
  <r>
    <x v="0"/>
    <x v="12"/>
    <x v="12"/>
    <x v="5"/>
    <x v="5"/>
    <x v="5"/>
    <x v="10"/>
    <x v="48"/>
    <x v="181"/>
    <x v="54"/>
    <x v="191"/>
    <x v="92"/>
    <x v="168"/>
    <x v="4"/>
  </r>
  <r>
    <x v="0"/>
    <x v="12"/>
    <x v="12"/>
    <x v="12"/>
    <x v="12"/>
    <x v="12"/>
    <x v="11"/>
    <x v="131"/>
    <x v="182"/>
    <x v="84"/>
    <x v="115"/>
    <x v="93"/>
    <x v="169"/>
    <x v="4"/>
  </r>
  <r>
    <x v="0"/>
    <x v="12"/>
    <x v="12"/>
    <x v="17"/>
    <x v="17"/>
    <x v="17"/>
    <x v="12"/>
    <x v="132"/>
    <x v="154"/>
    <x v="55"/>
    <x v="192"/>
    <x v="83"/>
    <x v="160"/>
    <x v="4"/>
  </r>
  <r>
    <x v="0"/>
    <x v="12"/>
    <x v="12"/>
    <x v="13"/>
    <x v="13"/>
    <x v="13"/>
    <x v="13"/>
    <x v="51"/>
    <x v="183"/>
    <x v="63"/>
    <x v="193"/>
    <x v="54"/>
    <x v="170"/>
    <x v="4"/>
  </r>
  <r>
    <x v="0"/>
    <x v="12"/>
    <x v="12"/>
    <x v="14"/>
    <x v="14"/>
    <x v="14"/>
    <x v="14"/>
    <x v="121"/>
    <x v="184"/>
    <x v="70"/>
    <x v="194"/>
    <x v="61"/>
    <x v="171"/>
    <x v="4"/>
  </r>
  <r>
    <x v="0"/>
    <x v="12"/>
    <x v="12"/>
    <x v="11"/>
    <x v="11"/>
    <x v="11"/>
    <x v="15"/>
    <x v="54"/>
    <x v="185"/>
    <x v="110"/>
    <x v="195"/>
    <x v="50"/>
    <x v="172"/>
    <x v="4"/>
  </r>
  <r>
    <x v="0"/>
    <x v="12"/>
    <x v="12"/>
    <x v="22"/>
    <x v="22"/>
    <x v="22"/>
    <x v="16"/>
    <x v="133"/>
    <x v="186"/>
    <x v="89"/>
    <x v="196"/>
    <x v="94"/>
    <x v="95"/>
    <x v="4"/>
  </r>
  <r>
    <x v="0"/>
    <x v="12"/>
    <x v="12"/>
    <x v="16"/>
    <x v="16"/>
    <x v="16"/>
    <x v="17"/>
    <x v="95"/>
    <x v="187"/>
    <x v="44"/>
    <x v="197"/>
    <x v="64"/>
    <x v="173"/>
    <x v="4"/>
  </r>
  <r>
    <x v="0"/>
    <x v="12"/>
    <x v="12"/>
    <x v="20"/>
    <x v="20"/>
    <x v="20"/>
    <x v="17"/>
    <x v="95"/>
    <x v="187"/>
    <x v="89"/>
    <x v="196"/>
    <x v="87"/>
    <x v="161"/>
    <x v="4"/>
  </r>
  <r>
    <x v="0"/>
    <x v="12"/>
    <x v="12"/>
    <x v="18"/>
    <x v="18"/>
    <x v="18"/>
    <x v="17"/>
    <x v="95"/>
    <x v="187"/>
    <x v="72"/>
    <x v="198"/>
    <x v="48"/>
    <x v="174"/>
    <x v="4"/>
  </r>
  <r>
    <x v="0"/>
    <x v="13"/>
    <x v="13"/>
    <x v="1"/>
    <x v="1"/>
    <x v="1"/>
    <x v="0"/>
    <x v="113"/>
    <x v="188"/>
    <x v="45"/>
    <x v="199"/>
    <x v="59"/>
    <x v="175"/>
    <x v="4"/>
  </r>
  <r>
    <x v="0"/>
    <x v="13"/>
    <x v="13"/>
    <x v="2"/>
    <x v="2"/>
    <x v="2"/>
    <x v="1"/>
    <x v="110"/>
    <x v="189"/>
    <x v="83"/>
    <x v="200"/>
    <x v="82"/>
    <x v="176"/>
    <x v="4"/>
  </r>
  <r>
    <x v="0"/>
    <x v="13"/>
    <x v="13"/>
    <x v="0"/>
    <x v="0"/>
    <x v="0"/>
    <x v="2"/>
    <x v="93"/>
    <x v="190"/>
    <x v="111"/>
    <x v="201"/>
    <x v="61"/>
    <x v="177"/>
    <x v="4"/>
  </r>
  <r>
    <x v="0"/>
    <x v="13"/>
    <x v="13"/>
    <x v="3"/>
    <x v="3"/>
    <x v="3"/>
    <x v="3"/>
    <x v="50"/>
    <x v="191"/>
    <x v="112"/>
    <x v="202"/>
    <x v="47"/>
    <x v="178"/>
    <x v="0"/>
  </r>
  <r>
    <x v="0"/>
    <x v="13"/>
    <x v="13"/>
    <x v="4"/>
    <x v="4"/>
    <x v="4"/>
    <x v="4"/>
    <x v="134"/>
    <x v="163"/>
    <x v="15"/>
    <x v="203"/>
    <x v="81"/>
    <x v="179"/>
    <x v="4"/>
  </r>
  <r>
    <x v="0"/>
    <x v="13"/>
    <x v="13"/>
    <x v="6"/>
    <x v="6"/>
    <x v="6"/>
    <x v="5"/>
    <x v="60"/>
    <x v="192"/>
    <x v="98"/>
    <x v="123"/>
    <x v="47"/>
    <x v="178"/>
    <x v="4"/>
  </r>
  <r>
    <x v="0"/>
    <x v="13"/>
    <x v="13"/>
    <x v="9"/>
    <x v="9"/>
    <x v="9"/>
    <x v="6"/>
    <x v="71"/>
    <x v="193"/>
    <x v="56"/>
    <x v="204"/>
    <x v="75"/>
    <x v="180"/>
    <x v="4"/>
  </r>
  <r>
    <x v="0"/>
    <x v="13"/>
    <x v="13"/>
    <x v="7"/>
    <x v="7"/>
    <x v="7"/>
    <x v="7"/>
    <x v="85"/>
    <x v="194"/>
    <x v="84"/>
    <x v="205"/>
    <x v="52"/>
    <x v="181"/>
    <x v="4"/>
  </r>
  <r>
    <x v="0"/>
    <x v="13"/>
    <x v="13"/>
    <x v="10"/>
    <x v="10"/>
    <x v="10"/>
    <x v="8"/>
    <x v="96"/>
    <x v="195"/>
    <x v="55"/>
    <x v="206"/>
    <x v="69"/>
    <x v="182"/>
    <x v="4"/>
  </r>
  <r>
    <x v="0"/>
    <x v="13"/>
    <x v="13"/>
    <x v="8"/>
    <x v="8"/>
    <x v="8"/>
    <x v="9"/>
    <x v="97"/>
    <x v="123"/>
    <x v="78"/>
    <x v="147"/>
    <x v="67"/>
    <x v="183"/>
    <x v="8"/>
  </r>
  <r>
    <x v="0"/>
    <x v="13"/>
    <x v="13"/>
    <x v="14"/>
    <x v="14"/>
    <x v="14"/>
    <x v="10"/>
    <x v="87"/>
    <x v="124"/>
    <x v="73"/>
    <x v="207"/>
    <x v="61"/>
    <x v="177"/>
    <x v="4"/>
  </r>
  <r>
    <x v="0"/>
    <x v="13"/>
    <x v="13"/>
    <x v="5"/>
    <x v="5"/>
    <x v="5"/>
    <x v="11"/>
    <x v="89"/>
    <x v="153"/>
    <x v="72"/>
    <x v="208"/>
    <x v="66"/>
    <x v="184"/>
    <x v="4"/>
  </r>
  <r>
    <x v="0"/>
    <x v="13"/>
    <x v="13"/>
    <x v="16"/>
    <x v="16"/>
    <x v="16"/>
    <x v="12"/>
    <x v="74"/>
    <x v="184"/>
    <x v="65"/>
    <x v="209"/>
    <x v="50"/>
    <x v="185"/>
    <x v="4"/>
  </r>
  <r>
    <x v="0"/>
    <x v="13"/>
    <x v="13"/>
    <x v="19"/>
    <x v="19"/>
    <x v="19"/>
    <x v="13"/>
    <x v="98"/>
    <x v="196"/>
    <x v="71"/>
    <x v="97"/>
    <x v="65"/>
    <x v="186"/>
    <x v="4"/>
  </r>
  <r>
    <x v="0"/>
    <x v="13"/>
    <x v="13"/>
    <x v="12"/>
    <x v="12"/>
    <x v="12"/>
    <x v="14"/>
    <x v="75"/>
    <x v="197"/>
    <x v="80"/>
    <x v="210"/>
    <x v="61"/>
    <x v="177"/>
    <x v="4"/>
  </r>
  <r>
    <x v="0"/>
    <x v="13"/>
    <x v="13"/>
    <x v="13"/>
    <x v="13"/>
    <x v="13"/>
    <x v="15"/>
    <x v="66"/>
    <x v="198"/>
    <x v="80"/>
    <x v="210"/>
    <x v="59"/>
    <x v="175"/>
    <x v="4"/>
  </r>
  <r>
    <x v="0"/>
    <x v="13"/>
    <x v="13"/>
    <x v="15"/>
    <x v="15"/>
    <x v="15"/>
    <x v="15"/>
    <x v="66"/>
    <x v="198"/>
    <x v="57"/>
    <x v="57"/>
    <x v="47"/>
    <x v="178"/>
    <x v="4"/>
  </r>
  <r>
    <x v="0"/>
    <x v="13"/>
    <x v="13"/>
    <x v="26"/>
    <x v="26"/>
    <x v="26"/>
    <x v="17"/>
    <x v="67"/>
    <x v="157"/>
    <x v="37"/>
    <x v="211"/>
    <x v="55"/>
    <x v="187"/>
    <x v="4"/>
  </r>
  <r>
    <x v="0"/>
    <x v="13"/>
    <x v="13"/>
    <x v="23"/>
    <x v="23"/>
    <x v="23"/>
    <x v="17"/>
    <x v="67"/>
    <x v="157"/>
    <x v="62"/>
    <x v="212"/>
    <x v="59"/>
    <x v="175"/>
    <x v="4"/>
  </r>
  <r>
    <x v="0"/>
    <x v="13"/>
    <x v="13"/>
    <x v="32"/>
    <x v="32"/>
    <x v="32"/>
    <x v="17"/>
    <x v="67"/>
    <x v="157"/>
    <x v="80"/>
    <x v="210"/>
    <x v="58"/>
    <x v="188"/>
    <x v="4"/>
  </r>
  <r>
    <x v="0"/>
    <x v="14"/>
    <x v="14"/>
    <x v="1"/>
    <x v="1"/>
    <x v="1"/>
    <x v="0"/>
    <x v="119"/>
    <x v="199"/>
    <x v="113"/>
    <x v="213"/>
    <x v="50"/>
    <x v="189"/>
    <x v="4"/>
  </r>
  <r>
    <x v="0"/>
    <x v="14"/>
    <x v="14"/>
    <x v="3"/>
    <x v="3"/>
    <x v="3"/>
    <x v="1"/>
    <x v="115"/>
    <x v="200"/>
    <x v="111"/>
    <x v="214"/>
    <x v="71"/>
    <x v="190"/>
    <x v="8"/>
  </r>
  <r>
    <x v="0"/>
    <x v="14"/>
    <x v="14"/>
    <x v="2"/>
    <x v="2"/>
    <x v="2"/>
    <x v="2"/>
    <x v="47"/>
    <x v="201"/>
    <x v="114"/>
    <x v="215"/>
    <x v="83"/>
    <x v="191"/>
    <x v="4"/>
  </r>
  <r>
    <x v="0"/>
    <x v="14"/>
    <x v="14"/>
    <x v="0"/>
    <x v="0"/>
    <x v="0"/>
    <x v="3"/>
    <x v="131"/>
    <x v="202"/>
    <x v="76"/>
    <x v="216"/>
    <x v="66"/>
    <x v="192"/>
    <x v="4"/>
  </r>
  <r>
    <x v="0"/>
    <x v="14"/>
    <x v="14"/>
    <x v="4"/>
    <x v="4"/>
    <x v="4"/>
    <x v="4"/>
    <x v="135"/>
    <x v="203"/>
    <x v="52"/>
    <x v="217"/>
    <x v="86"/>
    <x v="193"/>
    <x v="4"/>
  </r>
  <r>
    <x v="0"/>
    <x v="14"/>
    <x v="14"/>
    <x v="8"/>
    <x v="8"/>
    <x v="8"/>
    <x v="5"/>
    <x v="101"/>
    <x v="204"/>
    <x v="95"/>
    <x v="218"/>
    <x v="66"/>
    <x v="192"/>
    <x v="4"/>
  </r>
  <r>
    <x v="0"/>
    <x v="14"/>
    <x v="14"/>
    <x v="6"/>
    <x v="6"/>
    <x v="6"/>
    <x v="6"/>
    <x v="56"/>
    <x v="205"/>
    <x v="115"/>
    <x v="161"/>
    <x v="66"/>
    <x v="192"/>
    <x v="4"/>
  </r>
  <r>
    <x v="0"/>
    <x v="14"/>
    <x v="14"/>
    <x v="7"/>
    <x v="7"/>
    <x v="7"/>
    <x v="7"/>
    <x v="85"/>
    <x v="206"/>
    <x v="63"/>
    <x v="219"/>
    <x v="59"/>
    <x v="194"/>
    <x v="4"/>
  </r>
  <r>
    <x v="0"/>
    <x v="14"/>
    <x v="14"/>
    <x v="9"/>
    <x v="9"/>
    <x v="9"/>
    <x v="8"/>
    <x v="97"/>
    <x v="124"/>
    <x v="56"/>
    <x v="134"/>
    <x v="65"/>
    <x v="195"/>
    <x v="4"/>
  </r>
  <r>
    <x v="0"/>
    <x v="14"/>
    <x v="14"/>
    <x v="14"/>
    <x v="14"/>
    <x v="14"/>
    <x v="8"/>
    <x v="97"/>
    <x v="124"/>
    <x v="39"/>
    <x v="220"/>
    <x v="59"/>
    <x v="194"/>
    <x v="4"/>
  </r>
  <r>
    <x v="0"/>
    <x v="14"/>
    <x v="14"/>
    <x v="13"/>
    <x v="13"/>
    <x v="13"/>
    <x v="10"/>
    <x v="62"/>
    <x v="207"/>
    <x v="67"/>
    <x v="221"/>
    <x v="47"/>
    <x v="196"/>
    <x v="4"/>
  </r>
  <r>
    <x v="0"/>
    <x v="14"/>
    <x v="14"/>
    <x v="10"/>
    <x v="10"/>
    <x v="10"/>
    <x v="11"/>
    <x v="89"/>
    <x v="61"/>
    <x v="65"/>
    <x v="16"/>
    <x v="72"/>
    <x v="197"/>
    <x v="4"/>
  </r>
  <r>
    <x v="0"/>
    <x v="14"/>
    <x v="14"/>
    <x v="12"/>
    <x v="12"/>
    <x v="12"/>
    <x v="12"/>
    <x v="73"/>
    <x v="208"/>
    <x v="65"/>
    <x v="16"/>
    <x v="60"/>
    <x v="198"/>
    <x v="4"/>
  </r>
  <r>
    <x v="0"/>
    <x v="14"/>
    <x v="14"/>
    <x v="23"/>
    <x v="23"/>
    <x v="23"/>
    <x v="13"/>
    <x v="63"/>
    <x v="209"/>
    <x v="52"/>
    <x v="217"/>
    <x v="61"/>
    <x v="199"/>
    <x v="4"/>
  </r>
  <r>
    <x v="0"/>
    <x v="14"/>
    <x v="14"/>
    <x v="16"/>
    <x v="16"/>
    <x v="16"/>
    <x v="14"/>
    <x v="65"/>
    <x v="104"/>
    <x v="66"/>
    <x v="222"/>
    <x v="65"/>
    <x v="195"/>
    <x v="4"/>
  </r>
  <r>
    <x v="0"/>
    <x v="14"/>
    <x v="14"/>
    <x v="11"/>
    <x v="11"/>
    <x v="11"/>
    <x v="15"/>
    <x v="75"/>
    <x v="198"/>
    <x v="55"/>
    <x v="223"/>
    <x v="52"/>
    <x v="200"/>
    <x v="4"/>
  </r>
  <r>
    <x v="0"/>
    <x v="14"/>
    <x v="14"/>
    <x v="15"/>
    <x v="15"/>
    <x v="15"/>
    <x v="15"/>
    <x v="75"/>
    <x v="198"/>
    <x v="88"/>
    <x v="224"/>
    <x v="47"/>
    <x v="196"/>
    <x v="4"/>
  </r>
  <r>
    <x v="0"/>
    <x v="14"/>
    <x v="14"/>
    <x v="18"/>
    <x v="18"/>
    <x v="18"/>
    <x v="17"/>
    <x v="66"/>
    <x v="77"/>
    <x v="65"/>
    <x v="16"/>
    <x v="55"/>
    <x v="61"/>
    <x v="4"/>
  </r>
  <r>
    <x v="0"/>
    <x v="14"/>
    <x v="14"/>
    <x v="27"/>
    <x v="27"/>
    <x v="27"/>
    <x v="18"/>
    <x v="67"/>
    <x v="210"/>
    <x v="65"/>
    <x v="16"/>
    <x v="59"/>
    <x v="194"/>
    <x v="8"/>
  </r>
  <r>
    <x v="0"/>
    <x v="14"/>
    <x v="14"/>
    <x v="5"/>
    <x v="5"/>
    <x v="5"/>
    <x v="19"/>
    <x v="76"/>
    <x v="211"/>
    <x v="66"/>
    <x v="222"/>
    <x v="61"/>
    <x v="199"/>
    <x v="4"/>
  </r>
  <r>
    <x v="0"/>
    <x v="15"/>
    <x v="15"/>
    <x v="1"/>
    <x v="1"/>
    <x v="1"/>
    <x v="0"/>
    <x v="136"/>
    <x v="212"/>
    <x v="116"/>
    <x v="225"/>
    <x v="59"/>
    <x v="201"/>
    <x v="4"/>
  </r>
  <r>
    <x v="0"/>
    <x v="15"/>
    <x v="15"/>
    <x v="0"/>
    <x v="0"/>
    <x v="0"/>
    <x v="1"/>
    <x v="137"/>
    <x v="213"/>
    <x v="24"/>
    <x v="226"/>
    <x v="52"/>
    <x v="200"/>
    <x v="4"/>
  </r>
  <r>
    <x v="0"/>
    <x v="15"/>
    <x v="15"/>
    <x v="2"/>
    <x v="2"/>
    <x v="2"/>
    <x v="2"/>
    <x v="138"/>
    <x v="214"/>
    <x v="117"/>
    <x v="227"/>
    <x v="82"/>
    <x v="202"/>
    <x v="4"/>
  </r>
  <r>
    <x v="0"/>
    <x v="15"/>
    <x v="15"/>
    <x v="3"/>
    <x v="3"/>
    <x v="3"/>
    <x v="3"/>
    <x v="139"/>
    <x v="174"/>
    <x v="103"/>
    <x v="228"/>
    <x v="76"/>
    <x v="203"/>
    <x v="8"/>
  </r>
  <r>
    <x v="0"/>
    <x v="15"/>
    <x v="15"/>
    <x v="4"/>
    <x v="4"/>
    <x v="4"/>
    <x v="4"/>
    <x v="116"/>
    <x v="215"/>
    <x v="71"/>
    <x v="229"/>
    <x v="85"/>
    <x v="204"/>
    <x v="4"/>
  </r>
  <r>
    <x v="0"/>
    <x v="15"/>
    <x v="15"/>
    <x v="6"/>
    <x v="6"/>
    <x v="6"/>
    <x v="5"/>
    <x v="56"/>
    <x v="216"/>
    <x v="98"/>
    <x v="230"/>
    <x v="65"/>
    <x v="205"/>
    <x v="4"/>
  </r>
  <r>
    <x v="0"/>
    <x v="15"/>
    <x v="15"/>
    <x v="24"/>
    <x v="24"/>
    <x v="24"/>
    <x v="6"/>
    <x v="123"/>
    <x v="217"/>
    <x v="80"/>
    <x v="231"/>
    <x v="64"/>
    <x v="206"/>
    <x v="4"/>
  </r>
  <r>
    <x v="0"/>
    <x v="15"/>
    <x v="15"/>
    <x v="8"/>
    <x v="8"/>
    <x v="8"/>
    <x v="7"/>
    <x v="97"/>
    <x v="218"/>
    <x v="15"/>
    <x v="204"/>
    <x v="58"/>
    <x v="207"/>
    <x v="4"/>
  </r>
  <r>
    <x v="0"/>
    <x v="15"/>
    <x v="15"/>
    <x v="9"/>
    <x v="9"/>
    <x v="9"/>
    <x v="8"/>
    <x v="88"/>
    <x v="219"/>
    <x v="52"/>
    <x v="232"/>
    <x v="50"/>
    <x v="208"/>
    <x v="4"/>
  </r>
  <r>
    <x v="0"/>
    <x v="15"/>
    <x v="15"/>
    <x v="7"/>
    <x v="7"/>
    <x v="7"/>
    <x v="8"/>
    <x v="88"/>
    <x v="219"/>
    <x v="73"/>
    <x v="233"/>
    <x v="58"/>
    <x v="207"/>
    <x v="4"/>
  </r>
  <r>
    <x v="0"/>
    <x v="15"/>
    <x v="15"/>
    <x v="10"/>
    <x v="10"/>
    <x v="10"/>
    <x v="10"/>
    <x v="89"/>
    <x v="10"/>
    <x v="80"/>
    <x v="231"/>
    <x v="47"/>
    <x v="209"/>
    <x v="4"/>
  </r>
  <r>
    <x v="0"/>
    <x v="15"/>
    <x v="15"/>
    <x v="33"/>
    <x v="33"/>
    <x v="33"/>
    <x v="10"/>
    <x v="89"/>
    <x v="10"/>
    <x v="57"/>
    <x v="57"/>
    <x v="95"/>
    <x v="210"/>
    <x v="4"/>
  </r>
  <r>
    <x v="0"/>
    <x v="15"/>
    <x v="15"/>
    <x v="12"/>
    <x v="12"/>
    <x v="12"/>
    <x v="12"/>
    <x v="73"/>
    <x v="61"/>
    <x v="65"/>
    <x v="234"/>
    <x v="60"/>
    <x v="211"/>
    <x v="4"/>
  </r>
  <r>
    <x v="0"/>
    <x v="15"/>
    <x v="15"/>
    <x v="14"/>
    <x v="14"/>
    <x v="14"/>
    <x v="13"/>
    <x v="64"/>
    <x v="47"/>
    <x v="56"/>
    <x v="163"/>
    <x v="52"/>
    <x v="200"/>
    <x v="4"/>
  </r>
  <r>
    <x v="0"/>
    <x v="15"/>
    <x v="15"/>
    <x v="19"/>
    <x v="19"/>
    <x v="19"/>
    <x v="14"/>
    <x v="65"/>
    <x v="220"/>
    <x v="37"/>
    <x v="124"/>
    <x v="47"/>
    <x v="209"/>
    <x v="4"/>
  </r>
  <r>
    <x v="0"/>
    <x v="15"/>
    <x v="15"/>
    <x v="15"/>
    <x v="15"/>
    <x v="15"/>
    <x v="15"/>
    <x v="98"/>
    <x v="33"/>
    <x v="57"/>
    <x v="57"/>
    <x v="60"/>
    <x v="211"/>
    <x v="4"/>
  </r>
  <r>
    <x v="0"/>
    <x v="15"/>
    <x v="15"/>
    <x v="13"/>
    <x v="13"/>
    <x v="13"/>
    <x v="16"/>
    <x v="75"/>
    <x v="63"/>
    <x v="80"/>
    <x v="231"/>
    <x v="61"/>
    <x v="199"/>
    <x v="4"/>
  </r>
  <r>
    <x v="0"/>
    <x v="15"/>
    <x v="15"/>
    <x v="11"/>
    <x v="11"/>
    <x v="11"/>
    <x v="16"/>
    <x v="75"/>
    <x v="63"/>
    <x v="64"/>
    <x v="235"/>
    <x v="58"/>
    <x v="207"/>
    <x v="4"/>
  </r>
  <r>
    <x v="0"/>
    <x v="15"/>
    <x v="15"/>
    <x v="16"/>
    <x v="16"/>
    <x v="16"/>
    <x v="18"/>
    <x v="66"/>
    <x v="17"/>
    <x v="65"/>
    <x v="234"/>
    <x v="55"/>
    <x v="212"/>
    <x v="4"/>
  </r>
  <r>
    <x v="0"/>
    <x v="15"/>
    <x v="15"/>
    <x v="5"/>
    <x v="5"/>
    <x v="5"/>
    <x v="19"/>
    <x v="67"/>
    <x v="221"/>
    <x v="71"/>
    <x v="229"/>
    <x v="66"/>
    <x v="192"/>
    <x v="4"/>
  </r>
  <r>
    <x v="0"/>
    <x v="16"/>
    <x v="16"/>
    <x v="0"/>
    <x v="0"/>
    <x v="0"/>
    <x v="0"/>
    <x v="37"/>
    <x v="222"/>
    <x v="118"/>
    <x v="236"/>
    <x v="64"/>
    <x v="213"/>
    <x v="4"/>
  </r>
  <r>
    <x v="0"/>
    <x v="16"/>
    <x v="16"/>
    <x v="1"/>
    <x v="1"/>
    <x v="1"/>
    <x v="1"/>
    <x v="140"/>
    <x v="223"/>
    <x v="119"/>
    <x v="237"/>
    <x v="60"/>
    <x v="214"/>
    <x v="4"/>
  </r>
  <r>
    <x v="0"/>
    <x v="16"/>
    <x v="16"/>
    <x v="3"/>
    <x v="3"/>
    <x v="3"/>
    <x v="2"/>
    <x v="43"/>
    <x v="224"/>
    <x v="120"/>
    <x v="238"/>
    <x v="56"/>
    <x v="215"/>
    <x v="10"/>
  </r>
  <r>
    <x v="0"/>
    <x v="16"/>
    <x v="16"/>
    <x v="2"/>
    <x v="2"/>
    <x v="2"/>
    <x v="3"/>
    <x v="141"/>
    <x v="225"/>
    <x v="59"/>
    <x v="239"/>
    <x v="96"/>
    <x v="216"/>
    <x v="10"/>
  </r>
  <r>
    <x v="0"/>
    <x v="16"/>
    <x v="16"/>
    <x v="13"/>
    <x v="13"/>
    <x v="13"/>
    <x v="4"/>
    <x v="142"/>
    <x v="121"/>
    <x v="97"/>
    <x v="240"/>
    <x v="39"/>
    <x v="217"/>
    <x v="4"/>
  </r>
  <r>
    <x v="0"/>
    <x v="16"/>
    <x v="16"/>
    <x v="5"/>
    <x v="5"/>
    <x v="5"/>
    <x v="5"/>
    <x v="93"/>
    <x v="226"/>
    <x v="95"/>
    <x v="33"/>
    <x v="86"/>
    <x v="218"/>
    <x v="4"/>
  </r>
  <r>
    <x v="0"/>
    <x v="16"/>
    <x v="16"/>
    <x v="12"/>
    <x v="12"/>
    <x v="12"/>
    <x v="6"/>
    <x v="132"/>
    <x v="99"/>
    <x v="73"/>
    <x v="241"/>
    <x v="43"/>
    <x v="219"/>
    <x v="4"/>
  </r>
  <r>
    <x v="0"/>
    <x v="16"/>
    <x v="16"/>
    <x v="4"/>
    <x v="4"/>
    <x v="4"/>
    <x v="7"/>
    <x v="100"/>
    <x v="227"/>
    <x v="65"/>
    <x v="19"/>
    <x v="45"/>
    <x v="220"/>
    <x v="4"/>
  </r>
  <r>
    <x v="0"/>
    <x v="16"/>
    <x v="16"/>
    <x v="6"/>
    <x v="6"/>
    <x v="6"/>
    <x v="8"/>
    <x v="143"/>
    <x v="228"/>
    <x v="115"/>
    <x v="242"/>
    <x v="71"/>
    <x v="221"/>
    <x v="4"/>
  </r>
  <r>
    <x v="0"/>
    <x v="16"/>
    <x v="16"/>
    <x v="10"/>
    <x v="10"/>
    <x v="10"/>
    <x v="9"/>
    <x v="55"/>
    <x v="229"/>
    <x v="55"/>
    <x v="43"/>
    <x v="51"/>
    <x v="222"/>
    <x v="4"/>
  </r>
  <r>
    <x v="0"/>
    <x v="16"/>
    <x v="16"/>
    <x v="8"/>
    <x v="8"/>
    <x v="8"/>
    <x v="10"/>
    <x v="84"/>
    <x v="87"/>
    <x v="63"/>
    <x v="243"/>
    <x v="61"/>
    <x v="172"/>
    <x v="0"/>
  </r>
  <r>
    <x v="0"/>
    <x v="16"/>
    <x v="16"/>
    <x v="16"/>
    <x v="16"/>
    <x v="16"/>
    <x v="11"/>
    <x v="60"/>
    <x v="230"/>
    <x v="95"/>
    <x v="33"/>
    <x v="69"/>
    <x v="1"/>
    <x v="4"/>
  </r>
  <r>
    <x v="0"/>
    <x v="16"/>
    <x v="16"/>
    <x v="34"/>
    <x v="34"/>
    <x v="34"/>
    <x v="12"/>
    <x v="56"/>
    <x v="231"/>
    <x v="73"/>
    <x v="241"/>
    <x v="76"/>
    <x v="64"/>
    <x v="4"/>
  </r>
  <r>
    <x v="0"/>
    <x v="16"/>
    <x v="16"/>
    <x v="7"/>
    <x v="7"/>
    <x v="7"/>
    <x v="13"/>
    <x v="122"/>
    <x v="232"/>
    <x v="35"/>
    <x v="92"/>
    <x v="53"/>
    <x v="149"/>
    <x v="4"/>
  </r>
  <r>
    <x v="0"/>
    <x v="16"/>
    <x v="16"/>
    <x v="15"/>
    <x v="15"/>
    <x v="15"/>
    <x v="14"/>
    <x v="123"/>
    <x v="155"/>
    <x v="71"/>
    <x v="38"/>
    <x v="64"/>
    <x v="213"/>
    <x v="10"/>
  </r>
  <r>
    <x v="0"/>
    <x v="16"/>
    <x v="16"/>
    <x v="18"/>
    <x v="18"/>
    <x v="18"/>
    <x v="15"/>
    <x v="97"/>
    <x v="186"/>
    <x v="56"/>
    <x v="244"/>
    <x v="50"/>
    <x v="60"/>
    <x v="4"/>
  </r>
  <r>
    <x v="0"/>
    <x v="16"/>
    <x v="16"/>
    <x v="11"/>
    <x v="11"/>
    <x v="11"/>
    <x v="16"/>
    <x v="61"/>
    <x v="198"/>
    <x v="15"/>
    <x v="245"/>
    <x v="65"/>
    <x v="143"/>
    <x v="4"/>
  </r>
  <r>
    <x v="0"/>
    <x v="16"/>
    <x v="16"/>
    <x v="9"/>
    <x v="9"/>
    <x v="9"/>
    <x v="17"/>
    <x v="87"/>
    <x v="233"/>
    <x v="65"/>
    <x v="19"/>
    <x v="46"/>
    <x v="56"/>
    <x v="4"/>
  </r>
  <r>
    <x v="0"/>
    <x v="16"/>
    <x v="16"/>
    <x v="27"/>
    <x v="27"/>
    <x v="27"/>
    <x v="18"/>
    <x v="72"/>
    <x v="77"/>
    <x v="15"/>
    <x v="245"/>
    <x v="50"/>
    <x v="60"/>
    <x v="4"/>
  </r>
  <r>
    <x v="0"/>
    <x v="16"/>
    <x v="16"/>
    <x v="17"/>
    <x v="17"/>
    <x v="17"/>
    <x v="19"/>
    <x v="88"/>
    <x v="234"/>
    <x v="64"/>
    <x v="83"/>
    <x v="47"/>
    <x v="223"/>
    <x v="4"/>
  </r>
  <r>
    <x v="0"/>
    <x v="17"/>
    <x v="17"/>
    <x v="2"/>
    <x v="2"/>
    <x v="2"/>
    <x v="0"/>
    <x v="144"/>
    <x v="235"/>
    <x v="121"/>
    <x v="246"/>
    <x v="92"/>
    <x v="224"/>
    <x v="4"/>
  </r>
  <r>
    <x v="0"/>
    <x v="17"/>
    <x v="17"/>
    <x v="1"/>
    <x v="1"/>
    <x v="1"/>
    <x v="1"/>
    <x v="145"/>
    <x v="236"/>
    <x v="122"/>
    <x v="247"/>
    <x v="52"/>
    <x v="105"/>
    <x v="4"/>
  </r>
  <r>
    <x v="0"/>
    <x v="17"/>
    <x v="17"/>
    <x v="3"/>
    <x v="3"/>
    <x v="3"/>
    <x v="2"/>
    <x v="146"/>
    <x v="237"/>
    <x v="123"/>
    <x v="248"/>
    <x v="95"/>
    <x v="225"/>
    <x v="8"/>
  </r>
  <r>
    <x v="0"/>
    <x v="17"/>
    <x v="17"/>
    <x v="24"/>
    <x v="24"/>
    <x v="24"/>
    <x v="3"/>
    <x v="57"/>
    <x v="238"/>
    <x v="95"/>
    <x v="217"/>
    <x v="97"/>
    <x v="226"/>
    <x v="4"/>
  </r>
  <r>
    <x v="0"/>
    <x v="17"/>
    <x v="17"/>
    <x v="0"/>
    <x v="0"/>
    <x v="0"/>
    <x v="4"/>
    <x v="83"/>
    <x v="239"/>
    <x v="124"/>
    <x v="249"/>
    <x v="61"/>
    <x v="227"/>
    <x v="4"/>
  </r>
  <r>
    <x v="0"/>
    <x v="17"/>
    <x v="17"/>
    <x v="4"/>
    <x v="4"/>
    <x v="4"/>
    <x v="5"/>
    <x v="93"/>
    <x v="240"/>
    <x v="55"/>
    <x v="210"/>
    <x v="97"/>
    <x v="226"/>
    <x v="4"/>
  </r>
  <r>
    <x v="0"/>
    <x v="17"/>
    <x v="17"/>
    <x v="35"/>
    <x v="35"/>
    <x v="35"/>
    <x v="6"/>
    <x v="94"/>
    <x v="241"/>
    <x v="125"/>
    <x v="250"/>
    <x v="76"/>
    <x v="228"/>
    <x v="4"/>
  </r>
  <r>
    <x v="0"/>
    <x v="17"/>
    <x v="17"/>
    <x v="9"/>
    <x v="9"/>
    <x v="9"/>
    <x v="7"/>
    <x v="143"/>
    <x v="242"/>
    <x v="86"/>
    <x v="251"/>
    <x v="47"/>
    <x v="25"/>
    <x v="4"/>
  </r>
  <r>
    <x v="0"/>
    <x v="17"/>
    <x v="17"/>
    <x v="8"/>
    <x v="8"/>
    <x v="8"/>
    <x v="8"/>
    <x v="84"/>
    <x v="243"/>
    <x v="50"/>
    <x v="252"/>
    <x v="62"/>
    <x v="65"/>
    <x v="4"/>
  </r>
  <r>
    <x v="0"/>
    <x v="17"/>
    <x v="17"/>
    <x v="7"/>
    <x v="7"/>
    <x v="7"/>
    <x v="8"/>
    <x v="84"/>
    <x v="243"/>
    <x v="110"/>
    <x v="175"/>
    <x v="52"/>
    <x v="105"/>
    <x v="4"/>
  </r>
  <r>
    <x v="0"/>
    <x v="17"/>
    <x v="17"/>
    <x v="14"/>
    <x v="14"/>
    <x v="14"/>
    <x v="10"/>
    <x v="59"/>
    <x v="8"/>
    <x v="86"/>
    <x v="251"/>
    <x v="58"/>
    <x v="229"/>
    <x v="4"/>
  </r>
  <r>
    <x v="0"/>
    <x v="17"/>
    <x v="17"/>
    <x v="6"/>
    <x v="6"/>
    <x v="6"/>
    <x v="11"/>
    <x v="122"/>
    <x v="244"/>
    <x v="35"/>
    <x v="253"/>
    <x v="66"/>
    <x v="148"/>
    <x v="4"/>
  </r>
  <r>
    <x v="0"/>
    <x v="17"/>
    <x v="17"/>
    <x v="36"/>
    <x v="36"/>
    <x v="36"/>
    <x v="12"/>
    <x v="88"/>
    <x v="103"/>
    <x v="73"/>
    <x v="232"/>
    <x v="58"/>
    <x v="229"/>
    <x v="4"/>
  </r>
  <r>
    <x v="0"/>
    <x v="17"/>
    <x v="17"/>
    <x v="10"/>
    <x v="10"/>
    <x v="10"/>
    <x v="13"/>
    <x v="62"/>
    <x v="232"/>
    <x v="67"/>
    <x v="100"/>
    <x v="47"/>
    <x v="25"/>
    <x v="4"/>
  </r>
  <r>
    <x v="0"/>
    <x v="17"/>
    <x v="17"/>
    <x v="12"/>
    <x v="12"/>
    <x v="12"/>
    <x v="14"/>
    <x v="89"/>
    <x v="32"/>
    <x v="64"/>
    <x v="165"/>
    <x v="44"/>
    <x v="230"/>
    <x v="4"/>
  </r>
  <r>
    <x v="0"/>
    <x v="17"/>
    <x v="17"/>
    <x v="16"/>
    <x v="16"/>
    <x v="16"/>
    <x v="15"/>
    <x v="73"/>
    <x v="245"/>
    <x v="62"/>
    <x v="56"/>
    <x v="47"/>
    <x v="25"/>
    <x v="4"/>
  </r>
  <r>
    <x v="0"/>
    <x v="17"/>
    <x v="17"/>
    <x v="29"/>
    <x v="29"/>
    <x v="29"/>
    <x v="16"/>
    <x v="64"/>
    <x v="76"/>
    <x v="72"/>
    <x v="254"/>
    <x v="61"/>
    <x v="227"/>
    <x v="4"/>
  </r>
  <r>
    <x v="0"/>
    <x v="17"/>
    <x v="17"/>
    <x v="15"/>
    <x v="15"/>
    <x v="15"/>
    <x v="17"/>
    <x v="65"/>
    <x v="17"/>
    <x v="89"/>
    <x v="255"/>
    <x v="72"/>
    <x v="50"/>
    <x v="4"/>
  </r>
  <r>
    <x v="0"/>
    <x v="17"/>
    <x v="17"/>
    <x v="11"/>
    <x v="11"/>
    <x v="11"/>
    <x v="18"/>
    <x v="74"/>
    <x v="157"/>
    <x v="52"/>
    <x v="256"/>
    <x v="52"/>
    <x v="105"/>
    <x v="4"/>
  </r>
  <r>
    <x v="0"/>
    <x v="17"/>
    <x v="17"/>
    <x v="22"/>
    <x v="22"/>
    <x v="22"/>
    <x v="19"/>
    <x v="75"/>
    <x v="246"/>
    <x v="66"/>
    <x v="169"/>
    <x v="66"/>
    <x v="148"/>
    <x v="4"/>
  </r>
  <r>
    <x v="0"/>
    <x v="17"/>
    <x v="17"/>
    <x v="13"/>
    <x v="13"/>
    <x v="13"/>
    <x v="19"/>
    <x v="75"/>
    <x v="246"/>
    <x v="62"/>
    <x v="56"/>
    <x v="55"/>
    <x v="29"/>
    <x v="4"/>
  </r>
  <r>
    <x v="0"/>
    <x v="18"/>
    <x v="18"/>
    <x v="1"/>
    <x v="1"/>
    <x v="1"/>
    <x v="0"/>
    <x v="137"/>
    <x v="247"/>
    <x v="126"/>
    <x v="257"/>
    <x v="59"/>
    <x v="231"/>
    <x v="4"/>
  </r>
  <r>
    <x v="0"/>
    <x v="18"/>
    <x v="18"/>
    <x v="3"/>
    <x v="3"/>
    <x v="3"/>
    <x v="1"/>
    <x v="58"/>
    <x v="248"/>
    <x v="83"/>
    <x v="258"/>
    <x v="54"/>
    <x v="232"/>
    <x v="4"/>
  </r>
  <r>
    <x v="0"/>
    <x v="18"/>
    <x v="18"/>
    <x v="2"/>
    <x v="2"/>
    <x v="2"/>
    <x v="2"/>
    <x v="99"/>
    <x v="249"/>
    <x v="115"/>
    <x v="259"/>
    <x v="98"/>
    <x v="233"/>
    <x v="4"/>
  </r>
  <r>
    <x v="0"/>
    <x v="18"/>
    <x v="18"/>
    <x v="0"/>
    <x v="0"/>
    <x v="0"/>
    <x v="3"/>
    <x v="147"/>
    <x v="250"/>
    <x v="69"/>
    <x v="260"/>
    <x v="55"/>
    <x v="234"/>
    <x v="4"/>
  </r>
  <r>
    <x v="0"/>
    <x v="18"/>
    <x v="18"/>
    <x v="4"/>
    <x v="4"/>
    <x v="4"/>
    <x v="4"/>
    <x v="84"/>
    <x v="251"/>
    <x v="65"/>
    <x v="231"/>
    <x v="51"/>
    <x v="235"/>
    <x v="4"/>
  </r>
  <r>
    <x v="0"/>
    <x v="18"/>
    <x v="18"/>
    <x v="6"/>
    <x v="6"/>
    <x v="6"/>
    <x v="5"/>
    <x v="87"/>
    <x v="252"/>
    <x v="44"/>
    <x v="186"/>
    <x v="53"/>
    <x v="36"/>
    <x v="4"/>
  </r>
  <r>
    <x v="0"/>
    <x v="18"/>
    <x v="18"/>
    <x v="15"/>
    <x v="15"/>
    <x v="15"/>
    <x v="6"/>
    <x v="72"/>
    <x v="226"/>
    <x v="57"/>
    <x v="57"/>
    <x v="71"/>
    <x v="236"/>
    <x v="8"/>
  </r>
  <r>
    <x v="0"/>
    <x v="18"/>
    <x v="18"/>
    <x v="10"/>
    <x v="10"/>
    <x v="10"/>
    <x v="7"/>
    <x v="63"/>
    <x v="253"/>
    <x v="65"/>
    <x v="231"/>
    <x v="47"/>
    <x v="237"/>
    <x v="4"/>
  </r>
  <r>
    <x v="0"/>
    <x v="18"/>
    <x v="18"/>
    <x v="7"/>
    <x v="7"/>
    <x v="7"/>
    <x v="8"/>
    <x v="74"/>
    <x v="254"/>
    <x v="52"/>
    <x v="95"/>
    <x v="52"/>
    <x v="14"/>
    <x v="4"/>
  </r>
  <r>
    <x v="0"/>
    <x v="18"/>
    <x v="18"/>
    <x v="14"/>
    <x v="14"/>
    <x v="14"/>
    <x v="8"/>
    <x v="74"/>
    <x v="254"/>
    <x v="56"/>
    <x v="261"/>
    <x v="62"/>
    <x v="65"/>
    <x v="4"/>
  </r>
  <r>
    <x v="0"/>
    <x v="18"/>
    <x v="18"/>
    <x v="12"/>
    <x v="12"/>
    <x v="12"/>
    <x v="10"/>
    <x v="98"/>
    <x v="255"/>
    <x v="80"/>
    <x v="262"/>
    <x v="61"/>
    <x v="238"/>
    <x v="4"/>
  </r>
  <r>
    <x v="0"/>
    <x v="18"/>
    <x v="18"/>
    <x v="9"/>
    <x v="9"/>
    <x v="9"/>
    <x v="11"/>
    <x v="75"/>
    <x v="256"/>
    <x v="62"/>
    <x v="241"/>
    <x v="55"/>
    <x v="234"/>
    <x v="4"/>
  </r>
  <r>
    <x v="0"/>
    <x v="18"/>
    <x v="18"/>
    <x v="13"/>
    <x v="13"/>
    <x v="13"/>
    <x v="12"/>
    <x v="66"/>
    <x v="257"/>
    <x v="66"/>
    <x v="263"/>
    <x v="55"/>
    <x v="234"/>
    <x v="8"/>
  </r>
  <r>
    <x v="0"/>
    <x v="18"/>
    <x v="18"/>
    <x v="11"/>
    <x v="11"/>
    <x v="11"/>
    <x v="13"/>
    <x v="67"/>
    <x v="155"/>
    <x v="55"/>
    <x v="264"/>
    <x v="62"/>
    <x v="65"/>
    <x v="4"/>
  </r>
  <r>
    <x v="0"/>
    <x v="18"/>
    <x v="18"/>
    <x v="8"/>
    <x v="8"/>
    <x v="8"/>
    <x v="13"/>
    <x v="67"/>
    <x v="155"/>
    <x v="80"/>
    <x v="262"/>
    <x v="67"/>
    <x v="171"/>
    <x v="8"/>
  </r>
  <r>
    <x v="0"/>
    <x v="18"/>
    <x v="18"/>
    <x v="5"/>
    <x v="5"/>
    <x v="5"/>
    <x v="15"/>
    <x v="76"/>
    <x v="34"/>
    <x v="71"/>
    <x v="124"/>
    <x v="53"/>
    <x v="36"/>
    <x v="4"/>
  </r>
  <r>
    <x v="0"/>
    <x v="18"/>
    <x v="18"/>
    <x v="18"/>
    <x v="18"/>
    <x v="18"/>
    <x v="16"/>
    <x v="68"/>
    <x v="258"/>
    <x v="62"/>
    <x v="241"/>
    <x v="52"/>
    <x v="14"/>
    <x v="4"/>
  </r>
  <r>
    <x v="0"/>
    <x v="18"/>
    <x v="18"/>
    <x v="37"/>
    <x v="37"/>
    <x v="37"/>
    <x v="17"/>
    <x v="77"/>
    <x v="142"/>
    <x v="88"/>
    <x v="265"/>
    <x v="53"/>
    <x v="36"/>
    <x v="4"/>
  </r>
  <r>
    <x v="0"/>
    <x v="18"/>
    <x v="18"/>
    <x v="19"/>
    <x v="19"/>
    <x v="19"/>
    <x v="17"/>
    <x v="77"/>
    <x v="142"/>
    <x v="37"/>
    <x v="179"/>
    <x v="59"/>
    <x v="231"/>
    <x v="4"/>
  </r>
  <r>
    <x v="0"/>
    <x v="18"/>
    <x v="18"/>
    <x v="16"/>
    <x v="16"/>
    <x v="16"/>
    <x v="19"/>
    <x v="78"/>
    <x v="211"/>
    <x v="71"/>
    <x v="124"/>
    <x v="59"/>
    <x v="231"/>
    <x v="4"/>
  </r>
  <r>
    <x v="0"/>
    <x v="18"/>
    <x v="18"/>
    <x v="22"/>
    <x v="22"/>
    <x v="22"/>
    <x v="19"/>
    <x v="78"/>
    <x v="211"/>
    <x v="89"/>
    <x v="266"/>
    <x v="61"/>
    <x v="238"/>
    <x v="4"/>
  </r>
  <r>
    <x v="0"/>
    <x v="18"/>
    <x v="18"/>
    <x v="38"/>
    <x v="38"/>
    <x v="38"/>
    <x v="19"/>
    <x v="78"/>
    <x v="211"/>
    <x v="88"/>
    <x v="265"/>
    <x v="55"/>
    <x v="234"/>
    <x v="4"/>
  </r>
  <r>
    <x v="0"/>
    <x v="18"/>
    <x v="18"/>
    <x v="23"/>
    <x v="23"/>
    <x v="23"/>
    <x v="19"/>
    <x v="78"/>
    <x v="211"/>
    <x v="65"/>
    <x v="231"/>
    <x v="67"/>
    <x v="171"/>
    <x v="4"/>
  </r>
  <r>
    <x v="0"/>
    <x v="19"/>
    <x v="19"/>
    <x v="1"/>
    <x v="1"/>
    <x v="1"/>
    <x v="0"/>
    <x v="148"/>
    <x v="259"/>
    <x v="127"/>
    <x v="267"/>
    <x v="82"/>
    <x v="239"/>
    <x v="4"/>
  </r>
  <r>
    <x v="0"/>
    <x v="19"/>
    <x v="19"/>
    <x v="0"/>
    <x v="0"/>
    <x v="0"/>
    <x v="1"/>
    <x v="43"/>
    <x v="260"/>
    <x v="81"/>
    <x v="268"/>
    <x v="72"/>
    <x v="240"/>
    <x v="4"/>
  </r>
  <r>
    <x v="0"/>
    <x v="19"/>
    <x v="19"/>
    <x v="2"/>
    <x v="2"/>
    <x v="2"/>
    <x v="2"/>
    <x v="149"/>
    <x v="261"/>
    <x v="128"/>
    <x v="269"/>
    <x v="84"/>
    <x v="241"/>
    <x v="8"/>
  </r>
  <r>
    <x v="0"/>
    <x v="19"/>
    <x v="19"/>
    <x v="3"/>
    <x v="3"/>
    <x v="3"/>
    <x v="3"/>
    <x v="136"/>
    <x v="262"/>
    <x v="128"/>
    <x v="269"/>
    <x v="49"/>
    <x v="242"/>
    <x v="10"/>
  </r>
  <r>
    <x v="0"/>
    <x v="19"/>
    <x v="19"/>
    <x v="8"/>
    <x v="8"/>
    <x v="8"/>
    <x v="4"/>
    <x v="150"/>
    <x v="263"/>
    <x v="129"/>
    <x v="270"/>
    <x v="69"/>
    <x v="243"/>
    <x v="4"/>
  </r>
  <r>
    <x v="0"/>
    <x v="19"/>
    <x v="19"/>
    <x v="4"/>
    <x v="4"/>
    <x v="4"/>
    <x v="5"/>
    <x v="115"/>
    <x v="264"/>
    <x v="52"/>
    <x v="146"/>
    <x v="68"/>
    <x v="244"/>
    <x v="4"/>
  </r>
  <r>
    <x v="0"/>
    <x v="19"/>
    <x v="19"/>
    <x v="7"/>
    <x v="7"/>
    <x v="7"/>
    <x v="6"/>
    <x v="138"/>
    <x v="265"/>
    <x v="85"/>
    <x v="271"/>
    <x v="66"/>
    <x v="245"/>
    <x v="4"/>
  </r>
  <r>
    <x v="0"/>
    <x v="19"/>
    <x v="19"/>
    <x v="6"/>
    <x v="6"/>
    <x v="6"/>
    <x v="7"/>
    <x v="58"/>
    <x v="266"/>
    <x v="101"/>
    <x v="272"/>
    <x v="82"/>
    <x v="239"/>
    <x v="4"/>
  </r>
  <r>
    <x v="0"/>
    <x v="19"/>
    <x v="19"/>
    <x v="9"/>
    <x v="9"/>
    <x v="9"/>
    <x v="8"/>
    <x v="147"/>
    <x v="6"/>
    <x v="115"/>
    <x v="273"/>
    <x v="81"/>
    <x v="203"/>
    <x v="4"/>
  </r>
  <r>
    <x v="0"/>
    <x v="19"/>
    <x v="19"/>
    <x v="10"/>
    <x v="10"/>
    <x v="10"/>
    <x v="9"/>
    <x v="51"/>
    <x v="267"/>
    <x v="50"/>
    <x v="274"/>
    <x v="49"/>
    <x v="242"/>
    <x v="4"/>
  </r>
  <r>
    <x v="0"/>
    <x v="19"/>
    <x v="19"/>
    <x v="12"/>
    <x v="12"/>
    <x v="12"/>
    <x v="9"/>
    <x v="51"/>
    <x v="267"/>
    <x v="44"/>
    <x v="275"/>
    <x v="98"/>
    <x v="246"/>
    <x v="4"/>
  </r>
  <r>
    <x v="0"/>
    <x v="19"/>
    <x v="19"/>
    <x v="11"/>
    <x v="11"/>
    <x v="11"/>
    <x v="11"/>
    <x v="134"/>
    <x v="167"/>
    <x v="53"/>
    <x v="276"/>
    <x v="44"/>
    <x v="8"/>
    <x v="4"/>
  </r>
  <r>
    <x v="0"/>
    <x v="19"/>
    <x v="19"/>
    <x v="13"/>
    <x v="13"/>
    <x v="13"/>
    <x v="12"/>
    <x v="143"/>
    <x v="114"/>
    <x v="72"/>
    <x v="277"/>
    <x v="99"/>
    <x v="247"/>
    <x v="8"/>
  </r>
  <r>
    <x v="0"/>
    <x v="19"/>
    <x v="19"/>
    <x v="5"/>
    <x v="5"/>
    <x v="5"/>
    <x v="13"/>
    <x v="60"/>
    <x v="256"/>
    <x v="67"/>
    <x v="278"/>
    <x v="39"/>
    <x v="248"/>
    <x v="4"/>
  </r>
  <r>
    <x v="0"/>
    <x v="19"/>
    <x v="19"/>
    <x v="15"/>
    <x v="15"/>
    <x v="15"/>
    <x v="14"/>
    <x v="71"/>
    <x v="138"/>
    <x v="88"/>
    <x v="279"/>
    <x v="54"/>
    <x v="249"/>
    <x v="4"/>
  </r>
  <r>
    <x v="0"/>
    <x v="19"/>
    <x v="19"/>
    <x v="17"/>
    <x v="17"/>
    <x v="17"/>
    <x v="15"/>
    <x v="123"/>
    <x v="49"/>
    <x v="67"/>
    <x v="278"/>
    <x v="57"/>
    <x v="21"/>
    <x v="4"/>
  </r>
  <r>
    <x v="0"/>
    <x v="19"/>
    <x v="19"/>
    <x v="23"/>
    <x v="23"/>
    <x v="23"/>
    <x v="16"/>
    <x v="72"/>
    <x v="268"/>
    <x v="65"/>
    <x v="280"/>
    <x v="75"/>
    <x v="250"/>
    <x v="4"/>
  </r>
  <r>
    <x v="0"/>
    <x v="19"/>
    <x v="19"/>
    <x v="14"/>
    <x v="14"/>
    <x v="14"/>
    <x v="16"/>
    <x v="72"/>
    <x v="268"/>
    <x v="44"/>
    <x v="275"/>
    <x v="55"/>
    <x v="251"/>
    <x v="4"/>
  </r>
  <r>
    <x v="0"/>
    <x v="19"/>
    <x v="19"/>
    <x v="29"/>
    <x v="29"/>
    <x v="29"/>
    <x v="18"/>
    <x v="62"/>
    <x v="92"/>
    <x v="52"/>
    <x v="146"/>
    <x v="66"/>
    <x v="245"/>
    <x v="4"/>
  </r>
  <r>
    <x v="0"/>
    <x v="19"/>
    <x v="19"/>
    <x v="26"/>
    <x v="26"/>
    <x v="26"/>
    <x v="18"/>
    <x v="62"/>
    <x v="92"/>
    <x v="64"/>
    <x v="43"/>
    <x v="44"/>
    <x v="8"/>
    <x v="4"/>
  </r>
  <r>
    <x v="0"/>
    <x v="20"/>
    <x v="20"/>
    <x v="18"/>
    <x v="18"/>
    <x v="18"/>
    <x v="0"/>
    <x v="67"/>
    <x v="269"/>
    <x v="55"/>
    <x v="281"/>
    <x v="62"/>
    <x v="65"/>
    <x v="4"/>
  </r>
  <r>
    <x v="0"/>
    <x v="20"/>
    <x v="20"/>
    <x v="3"/>
    <x v="3"/>
    <x v="3"/>
    <x v="1"/>
    <x v="78"/>
    <x v="270"/>
    <x v="65"/>
    <x v="282"/>
    <x v="62"/>
    <x v="65"/>
    <x v="8"/>
  </r>
  <r>
    <x v="0"/>
    <x v="20"/>
    <x v="20"/>
    <x v="39"/>
    <x v="39"/>
    <x v="39"/>
    <x v="2"/>
    <x v="151"/>
    <x v="271"/>
    <x v="57"/>
    <x v="57"/>
    <x v="62"/>
    <x v="65"/>
    <x v="4"/>
  </r>
  <r>
    <x v="0"/>
    <x v="20"/>
    <x v="20"/>
    <x v="16"/>
    <x v="16"/>
    <x v="16"/>
    <x v="3"/>
    <x v="152"/>
    <x v="272"/>
    <x v="57"/>
    <x v="57"/>
    <x v="67"/>
    <x v="252"/>
    <x v="8"/>
  </r>
  <r>
    <x v="0"/>
    <x v="20"/>
    <x v="20"/>
    <x v="40"/>
    <x v="40"/>
    <x v="40"/>
    <x v="3"/>
    <x v="152"/>
    <x v="272"/>
    <x v="57"/>
    <x v="57"/>
    <x v="62"/>
    <x v="65"/>
    <x v="4"/>
  </r>
  <r>
    <x v="0"/>
    <x v="20"/>
    <x v="20"/>
    <x v="24"/>
    <x v="24"/>
    <x v="24"/>
    <x v="5"/>
    <x v="153"/>
    <x v="7"/>
    <x v="57"/>
    <x v="57"/>
    <x v="62"/>
    <x v="65"/>
    <x v="4"/>
  </r>
  <r>
    <x v="0"/>
    <x v="20"/>
    <x v="20"/>
    <x v="2"/>
    <x v="2"/>
    <x v="2"/>
    <x v="5"/>
    <x v="153"/>
    <x v="7"/>
    <x v="57"/>
    <x v="57"/>
    <x v="67"/>
    <x v="252"/>
    <x v="4"/>
  </r>
  <r>
    <x v="0"/>
    <x v="20"/>
    <x v="20"/>
    <x v="11"/>
    <x v="11"/>
    <x v="11"/>
    <x v="5"/>
    <x v="153"/>
    <x v="7"/>
    <x v="57"/>
    <x v="57"/>
    <x v="67"/>
    <x v="252"/>
    <x v="4"/>
  </r>
  <r>
    <x v="0"/>
    <x v="21"/>
    <x v="21"/>
    <x v="18"/>
    <x v="18"/>
    <x v="18"/>
    <x v="0"/>
    <x v="86"/>
    <x v="273"/>
    <x v="84"/>
    <x v="283"/>
    <x v="62"/>
    <x v="65"/>
    <x v="4"/>
  </r>
  <r>
    <x v="0"/>
    <x v="21"/>
    <x v="21"/>
    <x v="15"/>
    <x v="15"/>
    <x v="15"/>
    <x v="1"/>
    <x v="67"/>
    <x v="274"/>
    <x v="57"/>
    <x v="57"/>
    <x v="67"/>
    <x v="253"/>
    <x v="4"/>
  </r>
  <r>
    <x v="0"/>
    <x v="21"/>
    <x v="21"/>
    <x v="16"/>
    <x v="16"/>
    <x v="16"/>
    <x v="2"/>
    <x v="154"/>
    <x v="213"/>
    <x v="89"/>
    <x v="284"/>
    <x v="58"/>
    <x v="254"/>
    <x v="4"/>
  </r>
  <r>
    <x v="0"/>
    <x v="21"/>
    <x v="21"/>
    <x v="2"/>
    <x v="2"/>
    <x v="2"/>
    <x v="3"/>
    <x v="155"/>
    <x v="275"/>
    <x v="71"/>
    <x v="285"/>
    <x v="62"/>
    <x v="65"/>
    <x v="4"/>
  </r>
  <r>
    <x v="0"/>
    <x v="21"/>
    <x v="21"/>
    <x v="41"/>
    <x v="41"/>
    <x v="41"/>
    <x v="4"/>
    <x v="153"/>
    <x v="48"/>
    <x v="57"/>
    <x v="57"/>
    <x v="67"/>
    <x v="253"/>
    <x v="4"/>
  </r>
  <r>
    <x v="0"/>
    <x v="21"/>
    <x v="21"/>
    <x v="3"/>
    <x v="3"/>
    <x v="3"/>
    <x v="4"/>
    <x v="153"/>
    <x v="48"/>
    <x v="57"/>
    <x v="57"/>
    <x v="67"/>
    <x v="253"/>
    <x v="4"/>
  </r>
  <r>
    <x v="0"/>
    <x v="22"/>
    <x v="22"/>
    <x v="1"/>
    <x v="1"/>
    <x v="1"/>
    <x v="0"/>
    <x v="82"/>
    <x v="276"/>
    <x v="130"/>
    <x v="286"/>
    <x v="55"/>
    <x v="255"/>
    <x v="8"/>
  </r>
  <r>
    <x v="0"/>
    <x v="22"/>
    <x v="22"/>
    <x v="0"/>
    <x v="0"/>
    <x v="0"/>
    <x v="1"/>
    <x v="58"/>
    <x v="277"/>
    <x v="49"/>
    <x v="287"/>
    <x v="52"/>
    <x v="7"/>
    <x v="4"/>
  </r>
  <r>
    <x v="0"/>
    <x v="22"/>
    <x v="22"/>
    <x v="2"/>
    <x v="2"/>
    <x v="2"/>
    <x v="2"/>
    <x v="49"/>
    <x v="236"/>
    <x v="101"/>
    <x v="288"/>
    <x v="48"/>
    <x v="256"/>
    <x v="8"/>
  </r>
  <r>
    <x v="0"/>
    <x v="22"/>
    <x v="22"/>
    <x v="3"/>
    <x v="3"/>
    <x v="3"/>
    <x v="3"/>
    <x v="52"/>
    <x v="278"/>
    <x v="112"/>
    <x v="289"/>
    <x v="53"/>
    <x v="34"/>
    <x v="8"/>
  </r>
  <r>
    <x v="0"/>
    <x v="22"/>
    <x v="22"/>
    <x v="4"/>
    <x v="4"/>
    <x v="4"/>
    <x v="4"/>
    <x v="59"/>
    <x v="279"/>
    <x v="52"/>
    <x v="290"/>
    <x v="38"/>
    <x v="257"/>
    <x v="4"/>
  </r>
  <r>
    <x v="0"/>
    <x v="22"/>
    <x v="22"/>
    <x v="6"/>
    <x v="6"/>
    <x v="6"/>
    <x v="5"/>
    <x v="71"/>
    <x v="280"/>
    <x v="39"/>
    <x v="291"/>
    <x v="50"/>
    <x v="258"/>
    <x v="4"/>
  </r>
  <r>
    <x v="0"/>
    <x v="22"/>
    <x v="22"/>
    <x v="8"/>
    <x v="8"/>
    <x v="8"/>
    <x v="6"/>
    <x v="97"/>
    <x v="281"/>
    <x v="95"/>
    <x v="292"/>
    <x v="52"/>
    <x v="7"/>
    <x v="8"/>
  </r>
  <r>
    <x v="0"/>
    <x v="22"/>
    <x v="22"/>
    <x v="24"/>
    <x v="24"/>
    <x v="24"/>
    <x v="7"/>
    <x v="62"/>
    <x v="124"/>
    <x v="55"/>
    <x v="293"/>
    <x v="44"/>
    <x v="259"/>
    <x v="4"/>
  </r>
  <r>
    <x v="0"/>
    <x v="22"/>
    <x v="22"/>
    <x v="5"/>
    <x v="5"/>
    <x v="5"/>
    <x v="7"/>
    <x v="62"/>
    <x v="124"/>
    <x v="15"/>
    <x v="294"/>
    <x v="53"/>
    <x v="34"/>
    <x v="4"/>
  </r>
  <r>
    <x v="0"/>
    <x v="22"/>
    <x v="22"/>
    <x v="9"/>
    <x v="9"/>
    <x v="9"/>
    <x v="9"/>
    <x v="89"/>
    <x v="282"/>
    <x v="15"/>
    <x v="294"/>
    <x v="55"/>
    <x v="255"/>
    <x v="4"/>
  </r>
  <r>
    <x v="0"/>
    <x v="22"/>
    <x v="22"/>
    <x v="23"/>
    <x v="23"/>
    <x v="23"/>
    <x v="9"/>
    <x v="89"/>
    <x v="282"/>
    <x v="56"/>
    <x v="31"/>
    <x v="59"/>
    <x v="260"/>
    <x v="4"/>
  </r>
  <r>
    <x v="0"/>
    <x v="22"/>
    <x v="22"/>
    <x v="14"/>
    <x v="14"/>
    <x v="14"/>
    <x v="9"/>
    <x v="89"/>
    <x v="282"/>
    <x v="50"/>
    <x v="295"/>
    <x v="59"/>
    <x v="260"/>
    <x v="4"/>
  </r>
  <r>
    <x v="0"/>
    <x v="22"/>
    <x v="22"/>
    <x v="12"/>
    <x v="12"/>
    <x v="12"/>
    <x v="12"/>
    <x v="63"/>
    <x v="74"/>
    <x v="37"/>
    <x v="296"/>
    <x v="60"/>
    <x v="261"/>
    <x v="4"/>
  </r>
  <r>
    <x v="0"/>
    <x v="22"/>
    <x v="22"/>
    <x v="13"/>
    <x v="13"/>
    <x v="13"/>
    <x v="13"/>
    <x v="65"/>
    <x v="11"/>
    <x v="55"/>
    <x v="293"/>
    <x v="61"/>
    <x v="262"/>
    <x v="4"/>
  </r>
  <r>
    <x v="0"/>
    <x v="22"/>
    <x v="22"/>
    <x v="10"/>
    <x v="10"/>
    <x v="10"/>
    <x v="14"/>
    <x v="74"/>
    <x v="283"/>
    <x v="67"/>
    <x v="297"/>
    <x v="55"/>
    <x v="255"/>
    <x v="4"/>
  </r>
  <r>
    <x v="0"/>
    <x v="22"/>
    <x v="22"/>
    <x v="16"/>
    <x v="16"/>
    <x v="16"/>
    <x v="15"/>
    <x v="75"/>
    <x v="284"/>
    <x v="64"/>
    <x v="51"/>
    <x v="58"/>
    <x v="263"/>
    <x v="4"/>
  </r>
  <r>
    <x v="0"/>
    <x v="22"/>
    <x v="22"/>
    <x v="7"/>
    <x v="7"/>
    <x v="7"/>
    <x v="15"/>
    <x v="75"/>
    <x v="284"/>
    <x v="52"/>
    <x v="290"/>
    <x v="62"/>
    <x v="65"/>
    <x v="4"/>
  </r>
  <r>
    <x v="0"/>
    <x v="22"/>
    <x v="22"/>
    <x v="11"/>
    <x v="11"/>
    <x v="11"/>
    <x v="17"/>
    <x v="67"/>
    <x v="90"/>
    <x v="64"/>
    <x v="51"/>
    <x v="67"/>
    <x v="102"/>
    <x v="4"/>
  </r>
  <r>
    <x v="0"/>
    <x v="22"/>
    <x v="22"/>
    <x v="15"/>
    <x v="15"/>
    <x v="15"/>
    <x v="17"/>
    <x v="67"/>
    <x v="90"/>
    <x v="57"/>
    <x v="57"/>
    <x v="66"/>
    <x v="264"/>
    <x v="8"/>
  </r>
  <r>
    <x v="0"/>
    <x v="22"/>
    <x v="22"/>
    <x v="37"/>
    <x v="37"/>
    <x v="37"/>
    <x v="19"/>
    <x v="76"/>
    <x v="91"/>
    <x v="37"/>
    <x v="296"/>
    <x v="55"/>
    <x v="255"/>
    <x v="4"/>
  </r>
  <r>
    <x v="0"/>
    <x v="23"/>
    <x v="23"/>
    <x v="3"/>
    <x v="3"/>
    <x v="3"/>
    <x v="0"/>
    <x v="102"/>
    <x v="285"/>
    <x v="77"/>
    <x v="298"/>
    <x v="59"/>
    <x v="265"/>
    <x v="4"/>
  </r>
  <r>
    <x v="0"/>
    <x v="23"/>
    <x v="23"/>
    <x v="4"/>
    <x v="4"/>
    <x v="4"/>
    <x v="1"/>
    <x v="85"/>
    <x v="286"/>
    <x v="65"/>
    <x v="299"/>
    <x v="38"/>
    <x v="266"/>
    <x v="4"/>
  </r>
  <r>
    <x v="0"/>
    <x v="23"/>
    <x v="23"/>
    <x v="1"/>
    <x v="1"/>
    <x v="1"/>
    <x v="2"/>
    <x v="87"/>
    <x v="96"/>
    <x v="35"/>
    <x v="300"/>
    <x v="62"/>
    <x v="65"/>
    <x v="4"/>
  </r>
  <r>
    <x v="0"/>
    <x v="23"/>
    <x v="23"/>
    <x v="2"/>
    <x v="2"/>
    <x v="2"/>
    <x v="3"/>
    <x v="88"/>
    <x v="287"/>
    <x v="52"/>
    <x v="301"/>
    <x v="50"/>
    <x v="267"/>
    <x v="4"/>
  </r>
  <r>
    <x v="0"/>
    <x v="23"/>
    <x v="23"/>
    <x v="0"/>
    <x v="0"/>
    <x v="0"/>
    <x v="4"/>
    <x v="64"/>
    <x v="288"/>
    <x v="56"/>
    <x v="302"/>
    <x v="52"/>
    <x v="268"/>
    <x v="4"/>
  </r>
  <r>
    <x v="0"/>
    <x v="23"/>
    <x v="23"/>
    <x v="9"/>
    <x v="9"/>
    <x v="9"/>
    <x v="5"/>
    <x v="75"/>
    <x v="289"/>
    <x v="64"/>
    <x v="303"/>
    <x v="58"/>
    <x v="49"/>
    <x v="4"/>
  </r>
  <r>
    <x v="0"/>
    <x v="23"/>
    <x v="23"/>
    <x v="16"/>
    <x v="16"/>
    <x v="16"/>
    <x v="5"/>
    <x v="75"/>
    <x v="289"/>
    <x v="65"/>
    <x v="299"/>
    <x v="61"/>
    <x v="269"/>
    <x v="0"/>
  </r>
  <r>
    <x v="0"/>
    <x v="23"/>
    <x v="23"/>
    <x v="24"/>
    <x v="24"/>
    <x v="24"/>
    <x v="7"/>
    <x v="68"/>
    <x v="73"/>
    <x v="57"/>
    <x v="57"/>
    <x v="50"/>
    <x v="267"/>
    <x v="4"/>
  </r>
  <r>
    <x v="0"/>
    <x v="23"/>
    <x v="23"/>
    <x v="6"/>
    <x v="6"/>
    <x v="6"/>
    <x v="7"/>
    <x v="68"/>
    <x v="73"/>
    <x v="62"/>
    <x v="304"/>
    <x v="52"/>
    <x v="268"/>
    <x v="4"/>
  </r>
  <r>
    <x v="0"/>
    <x v="23"/>
    <x v="23"/>
    <x v="10"/>
    <x v="10"/>
    <x v="10"/>
    <x v="9"/>
    <x v="78"/>
    <x v="290"/>
    <x v="71"/>
    <x v="193"/>
    <x v="59"/>
    <x v="265"/>
    <x v="4"/>
  </r>
  <r>
    <x v="0"/>
    <x v="23"/>
    <x v="23"/>
    <x v="18"/>
    <x v="18"/>
    <x v="18"/>
    <x v="9"/>
    <x v="78"/>
    <x v="290"/>
    <x v="62"/>
    <x v="304"/>
    <x v="62"/>
    <x v="65"/>
    <x v="4"/>
  </r>
  <r>
    <x v="0"/>
    <x v="23"/>
    <x v="23"/>
    <x v="14"/>
    <x v="14"/>
    <x v="14"/>
    <x v="9"/>
    <x v="78"/>
    <x v="290"/>
    <x v="65"/>
    <x v="299"/>
    <x v="67"/>
    <x v="270"/>
    <x v="4"/>
  </r>
  <r>
    <x v="0"/>
    <x v="23"/>
    <x v="23"/>
    <x v="42"/>
    <x v="42"/>
    <x v="42"/>
    <x v="12"/>
    <x v="103"/>
    <x v="12"/>
    <x v="89"/>
    <x v="305"/>
    <x v="59"/>
    <x v="265"/>
    <x v="4"/>
  </r>
  <r>
    <x v="0"/>
    <x v="23"/>
    <x v="23"/>
    <x v="11"/>
    <x v="11"/>
    <x v="11"/>
    <x v="13"/>
    <x v="154"/>
    <x v="139"/>
    <x v="37"/>
    <x v="167"/>
    <x v="67"/>
    <x v="270"/>
    <x v="4"/>
  </r>
  <r>
    <x v="0"/>
    <x v="23"/>
    <x v="23"/>
    <x v="31"/>
    <x v="31"/>
    <x v="31"/>
    <x v="14"/>
    <x v="151"/>
    <x v="17"/>
    <x v="57"/>
    <x v="57"/>
    <x v="59"/>
    <x v="265"/>
    <x v="4"/>
  </r>
  <r>
    <x v="0"/>
    <x v="23"/>
    <x v="23"/>
    <x v="7"/>
    <x v="7"/>
    <x v="7"/>
    <x v="14"/>
    <x v="151"/>
    <x v="17"/>
    <x v="71"/>
    <x v="193"/>
    <x v="62"/>
    <x v="65"/>
    <x v="4"/>
  </r>
  <r>
    <x v="0"/>
    <x v="23"/>
    <x v="23"/>
    <x v="43"/>
    <x v="43"/>
    <x v="43"/>
    <x v="16"/>
    <x v="155"/>
    <x v="291"/>
    <x v="89"/>
    <x v="305"/>
    <x v="67"/>
    <x v="270"/>
    <x v="4"/>
  </r>
  <r>
    <x v="0"/>
    <x v="23"/>
    <x v="23"/>
    <x v="21"/>
    <x v="21"/>
    <x v="21"/>
    <x v="16"/>
    <x v="155"/>
    <x v="291"/>
    <x v="57"/>
    <x v="57"/>
    <x v="58"/>
    <x v="49"/>
    <x v="4"/>
  </r>
  <r>
    <x v="0"/>
    <x v="23"/>
    <x v="23"/>
    <x v="5"/>
    <x v="5"/>
    <x v="5"/>
    <x v="16"/>
    <x v="155"/>
    <x v="291"/>
    <x v="71"/>
    <x v="193"/>
    <x v="62"/>
    <x v="65"/>
    <x v="4"/>
  </r>
  <r>
    <x v="0"/>
    <x v="23"/>
    <x v="23"/>
    <x v="8"/>
    <x v="8"/>
    <x v="8"/>
    <x v="16"/>
    <x v="155"/>
    <x v="291"/>
    <x v="57"/>
    <x v="57"/>
    <x v="62"/>
    <x v="65"/>
    <x v="4"/>
  </r>
  <r>
    <x v="0"/>
    <x v="23"/>
    <x v="23"/>
    <x v="15"/>
    <x v="15"/>
    <x v="15"/>
    <x v="16"/>
    <x v="155"/>
    <x v="291"/>
    <x v="57"/>
    <x v="57"/>
    <x v="52"/>
    <x v="268"/>
    <x v="4"/>
  </r>
  <r>
    <x v="0"/>
    <x v="23"/>
    <x v="23"/>
    <x v="44"/>
    <x v="44"/>
    <x v="44"/>
    <x v="16"/>
    <x v="155"/>
    <x v="291"/>
    <x v="57"/>
    <x v="57"/>
    <x v="58"/>
    <x v="49"/>
    <x v="4"/>
  </r>
  <r>
    <x v="0"/>
    <x v="23"/>
    <x v="23"/>
    <x v="32"/>
    <x v="32"/>
    <x v="32"/>
    <x v="16"/>
    <x v="155"/>
    <x v="291"/>
    <x v="71"/>
    <x v="193"/>
    <x v="62"/>
    <x v="65"/>
    <x v="4"/>
  </r>
  <r>
    <x v="0"/>
    <x v="23"/>
    <x v="23"/>
    <x v="28"/>
    <x v="28"/>
    <x v="28"/>
    <x v="16"/>
    <x v="155"/>
    <x v="291"/>
    <x v="57"/>
    <x v="57"/>
    <x v="58"/>
    <x v="49"/>
    <x v="4"/>
  </r>
  <r>
    <x v="0"/>
    <x v="24"/>
    <x v="24"/>
    <x v="2"/>
    <x v="2"/>
    <x v="2"/>
    <x v="0"/>
    <x v="71"/>
    <x v="235"/>
    <x v="15"/>
    <x v="306"/>
    <x v="69"/>
    <x v="271"/>
    <x v="4"/>
  </r>
  <r>
    <x v="0"/>
    <x v="24"/>
    <x v="24"/>
    <x v="1"/>
    <x v="1"/>
    <x v="1"/>
    <x v="1"/>
    <x v="85"/>
    <x v="292"/>
    <x v="87"/>
    <x v="260"/>
    <x v="67"/>
    <x v="130"/>
    <x v="4"/>
  </r>
  <r>
    <x v="0"/>
    <x v="24"/>
    <x v="24"/>
    <x v="0"/>
    <x v="0"/>
    <x v="0"/>
    <x v="2"/>
    <x v="87"/>
    <x v="293"/>
    <x v="54"/>
    <x v="307"/>
    <x v="59"/>
    <x v="140"/>
    <x v="4"/>
  </r>
  <r>
    <x v="0"/>
    <x v="24"/>
    <x v="24"/>
    <x v="3"/>
    <x v="3"/>
    <x v="3"/>
    <x v="3"/>
    <x v="72"/>
    <x v="294"/>
    <x v="54"/>
    <x v="307"/>
    <x v="58"/>
    <x v="272"/>
    <x v="4"/>
  </r>
  <r>
    <x v="0"/>
    <x v="24"/>
    <x v="24"/>
    <x v="4"/>
    <x v="4"/>
    <x v="4"/>
    <x v="4"/>
    <x v="62"/>
    <x v="295"/>
    <x v="57"/>
    <x v="57"/>
    <x v="57"/>
    <x v="273"/>
    <x v="4"/>
  </r>
  <r>
    <x v="0"/>
    <x v="24"/>
    <x v="24"/>
    <x v="6"/>
    <x v="6"/>
    <x v="6"/>
    <x v="5"/>
    <x v="65"/>
    <x v="296"/>
    <x v="64"/>
    <x v="27"/>
    <x v="55"/>
    <x v="274"/>
    <x v="4"/>
  </r>
  <r>
    <x v="0"/>
    <x v="24"/>
    <x v="24"/>
    <x v="8"/>
    <x v="8"/>
    <x v="8"/>
    <x v="6"/>
    <x v="98"/>
    <x v="297"/>
    <x v="52"/>
    <x v="308"/>
    <x v="62"/>
    <x v="65"/>
    <x v="4"/>
  </r>
  <r>
    <x v="0"/>
    <x v="24"/>
    <x v="24"/>
    <x v="9"/>
    <x v="9"/>
    <x v="9"/>
    <x v="7"/>
    <x v="66"/>
    <x v="298"/>
    <x v="66"/>
    <x v="151"/>
    <x v="53"/>
    <x v="275"/>
    <x v="4"/>
  </r>
  <r>
    <x v="0"/>
    <x v="24"/>
    <x v="24"/>
    <x v="7"/>
    <x v="7"/>
    <x v="7"/>
    <x v="8"/>
    <x v="77"/>
    <x v="219"/>
    <x v="80"/>
    <x v="309"/>
    <x v="62"/>
    <x v="65"/>
    <x v="4"/>
  </r>
  <r>
    <x v="0"/>
    <x v="24"/>
    <x v="24"/>
    <x v="16"/>
    <x v="16"/>
    <x v="16"/>
    <x v="9"/>
    <x v="78"/>
    <x v="299"/>
    <x v="66"/>
    <x v="151"/>
    <x v="52"/>
    <x v="276"/>
    <x v="4"/>
  </r>
  <r>
    <x v="0"/>
    <x v="24"/>
    <x v="24"/>
    <x v="37"/>
    <x v="37"/>
    <x v="37"/>
    <x v="10"/>
    <x v="103"/>
    <x v="300"/>
    <x v="89"/>
    <x v="310"/>
    <x v="59"/>
    <x v="140"/>
    <x v="4"/>
  </r>
  <r>
    <x v="0"/>
    <x v="24"/>
    <x v="24"/>
    <x v="12"/>
    <x v="12"/>
    <x v="12"/>
    <x v="10"/>
    <x v="103"/>
    <x v="300"/>
    <x v="66"/>
    <x v="151"/>
    <x v="67"/>
    <x v="130"/>
    <x v="4"/>
  </r>
  <r>
    <x v="0"/>
    <x v="24"/>
    <x v="24"/>
    <x v="23"/>
    <x v="23"/>
    <x v="23"/>
    <x v="10"/>
    <x v="103"/>
    <x v="300"/>
    <x v="37"/>
    <x v="138"/>
    <x v="52"/>
    <x v="276"/>
    <x v="4"/>
  </r>
  <r>
    <x v="0"/>
    <x v="24"/>
    <x v="24"/>
    <x v="10"/>
    <x v="10"/>
    <x v="10"/>
    <x v="13"/>
    <x v="154"/>
    <x v="185"/>
    <x v="37"/>
    <x v="138"/>
    <x v="67"/>
    <x v="130"/>
    <x v="4"/>
  </r>
  <r>
    <x v="0"/>
    <x v="24"/>
    <x v="24"/>
    <x v="22"/>
    <x v="22"/>
    <x v="22"/>
    <x v="13"/>
    <x v="154"/>
    <x v="185"/>
    <x v="89"/>
    <x v="310"/>
    <x v="58"/>
    <x v="272"/>
    <x v="4"/>
  </r>
  <r>
    <x v="0"/>
    <x v="24"/>
    <x v="24"/>
    <x v="11"/>
    <x v="11"/>
    <x v="11"/>
    <x v="13"/>
    <x v="154"/>
    <x v="185"/>
    <x v="37"/>
    <x v="138"/>
    <x v="67"/>
    <x v="130"/>
    <x v="4"/>
  </r>
  <r>
    <x v="0"/>
    <x v="24"/>
    <x v="24"/>
    <x v="15"/>
    <x v="15"/>
    <x v="15"/>
    <x v="13"/>
    <x v="154"/>
    <x v="185"/>
    <x v="57"/>
    <x v="57"/>
    <x v="61"/>
    <x v="277"/>
    <x v="4"/>
  </r>
  <r>
    <x v="0"/>
    <x v="24"/>
    <x v="24"/>
    <x v="24"/>
    <x v="24"/>
    <x v="24"/>
    <x v="17"/>
    <x v="151"/>
    <x v="221"/>
    <x v="89"/>
    <x v="310"/>
    <x v="52"/>
    <x v="276"/>
    <x v="4"/>
  </r>
  <r>
    <x v="0"/>
    <x v="24"/>
    <x v="24"/>
    <x v="35"/>
    <x v="35"/>
    <x v="35"/>
    <x v="17"/>
    <x v="151"/>
    <x v="221"/>
    <x v="37"/>
    <x v="138"/>
    <x v="62"/>
    <x v="65"/>
    <x v="4"/>
  </r>
  <r>
    <x v="0"/>
    <x v="24"/>
    <x v="24"/>
    <x v="13"/>
    <x v="13"/>
    <x v="13"/>
    <x v="17"/>
    <x v="151"/>
    <x v="221"/>
    <x v="71"/>
    <x v="311"/>
    <x v="67"/>
    <x v="130"/>
    <x v="4"/>
  </r>
  <r>
    <x v="0"/>
    <x v="24"/>
    <x v="24"/>
    <x v="38"/>
    <x v="38"/>
    <x v="38"/>
    <x v="17"/>
    <x v="151"/>
    <x v="221"/>
    <x v="71"/>
    <x v="311"/>
    <x v="67"/>
    <x v="130"/>
    <x v="4"/>
  </r>
  <r>
    <x v="0"/>
    <x v="24"/>
    <x v="24"/>
    <x v="5"/>
    <x v="5"/>
    <x v="5"/>
    <x v="17"/>
    <x v="151"/>
    <x v="221"/>
    <x v="71"/>
    <x v="311"/>
    <x v="67"/>
    <x v="130"/>
    <x v="4"/>
  </r>
  <r>
    <x v="0"/>
    <x v="24"/>
    <x v="24"/>
    <x v="18"/>
    <x v="18"/>
    <x v="18"/>
    <x v="17"/>
    <x v="151"/>
    <x v="221"/>
    <x v="89"/>
    <x v="310"/>
    <x v="52"/>
    <x v="276"/>
    <x v="4"/>
  </r>
  <r>
    <x v="0"/>
    <x v="25"/>
    <x v="25"/>
    <x v="2"/>
    <x v="2"/>
    <x v="2"/>
    <x v="0"/>
    <x v="84"/>
    <x v="301"/>
    <x v="73"/>
    <x v="312"/>
    <x v="46"/>
    <x v="278"/>
    <x v="4"/>
  </r>
  <r>
    <x v="0"/>
    <x v="25"/>
    <x v="25"/>
    <x v="1"/>
    <x v="1"/>
    <x v="1"/>
    <x v="1"/>
    <x v="59"/>
    <x v="235"/>
    <x v="101"/>
    <x v="313"/>
    <x v="62"/>
    <x v="65"/>
    <x v="4"/>
  </r>
  <r>
    <x v="0"/>
    <x v="25"/>
    <x v="25"/>
    <x v="0"/>
    <x v="0"/>
    <x v="0"/>
    <x v="2"/>
    <x v="86"/>
    <x v="174"/>
    <x v="35"/>
    <x v="314"/>
    <x v="58"/>
    <x v="99"/>
    <x v="4"/>
  </r>
  <r>
    <x v="0"/>
    <x v="25"/>
    <x v="25"/>
    <x v="6"/>
    <x v="6"/>
    <x v="6"/>
    <x v="3"/>
    <x v="73"/>
    <x v="302"/>
    <x v="55"/>
    <x v="315"/>
    <x v="66"/>
    <x v="279"/>
    <x v="4"/>
  </r>
  <r>
    <x v="0"/>
    <x v="25"/>
    <x v="25"/>
    <x v="4"/>
    <x v="4"/>
    <x v="4"/>
    <x v="4"/>
    <x v="63"/>
    <x v="303"/>
    <x v="37"/>
    <x v="316"/>
    <x v="72"/>
    <x v="280"/>
    <x v="4"/>
  </r>
  <r>
    <x v="0"/>
    <x v="25"/>
    <x v="25"/>
    <x v="3"/>
    <x v="3"/>
    <x v="3"/>
    <x v="4"/>
    <x v="63"/>
    <x v="303"/>
    <x v="44"/>
    <x v="317"/>
    <x v="67"/>
    <x v="281"/>
    <x v="4"/>
  </r>
  <r>
    <x v="0"/>
    <x v="25"/>
    <x v="25"/>
    <x v="9"/>
    <x v="9"/>
    <x v="9"/>
    <x v="6"/>
    <x v="75"/>
    <x v="122"/>
    <x v="65"/>
    <x v="318"/>
    <x v="53"/>
    <x v="85"/>
    <x v="4"/>
  </r>
  <r>
    <x v="0"/>
    <x v="25"/>
    <x v="25"/>
    <x v="10"/>
    <x v="10"/>
    <x v="10"/>
    <x v="7"/>
    <x v="66"/>
    <x v="304"/>
    <x v="66"/>
    <x v="319"/>
    <x v="53"/>
    <x v="85"/>
    <x v="4"/>
  </r>
  <r>
    <x v="0"/>
    <x v="25"/>
    <x v="25"/>
    <x v="14"/>
    <x v="14"/>
    <x v="14"/>
    <x v="7"/>
    <x v="66"/>
    <x v="304"/>
    <x v="72"/>
    <x v="250"/>
    <x v="62"/>
    <x v="65"/>
    <x v="4"/>
  </r>
  <r>
    <x v="0"/>
    <x v="25"/>
    <x v="25"/>
    <x v="16"/>
    <x v="16"/>
    <x v="16"/>
    <x v="9"/>
    <x v="67"/>
    <x v="267"/>
    <x v="37"/>
    <x v="316"/>
    <x v="53"/>
    <x v="85"/>
    <x v="4"/>
  </r>
  <r>
    <x v="0"/>
    <x v="25"/>
    <x v="25"/>
    <x v="7"/>
    <x v="7"/>
    <x v="7"/>
    <x v="10"/>
    <x v="76"/>
    <x v="305"/>
    <x v="67"/>
    <x v="320"/>
    <x v="67"/>
    <x v="281"/>
    <x v="4"/>
  </r>
  <r>
    <x v="0"/>
    <x v="25"/>
    <x v="25"/>
    <x v="11"/>
    <x v="11"/>
    <x v="11"/>
    <x v="11"/>
    <x v="77"/>
    <x v="61"/>
    <x v="62"/>
    <x v="321"/>
    <x v="67"/>
    <x v="281"/>
    <x v="4"/>
  </r>
  <r>
    <x v="0"/>
    <x v="25"/>
    <x v="25"/>
    <x v="8"/>
    <x v="8"/>
    <x v="8"/>
    <x v="11"/>
    <x v="77"/>
    <x v="61"/>
    <x v="37"/>
    <x v="316"/>
    <x v="58"/>
    <x v="99"/>
    <x v="4"/>
  </r>
  <r>
    <x v="0"/>
    <x v="25"/>
    <x v="25"/>
    <x v="24"/>
    <x v="24"/>
    <x v="24"/>
    <x v="13"/>
    <x v="78"/>
    <x v="31"/>
    <x v="88"/>
    <x v="322"/>
    <x v="55"/>
    <x v="282"/>
    <x v="4"/>
  </r>
  <r>
    <x v="0"/>
    <x v="25"/>
    <x v="25"/>
    <x v="15"/>
    <x v="15"/>
    <x v="15"/>
    <x v="13"/>
    <x v="78"/>
    <x v="31"/>
    <x v="57"/>
    <x v="57"/>
    <x v="53"/>
    <x v="85"/>
    <x v="4"/>
  </r>
  <r>
    <x v="0"/>
    <x v="25"/>
    <x v="25"/>
    <x v="19"/>
    <x v="19"/>
    <x v="19"/>
    <x v="15"/>
    <x v="103"/>
    <x v="245"/>
    <x v="57"/>
    <x v="57"/>
    <x v="55"/>
    <x v="282"/>
    <x v="4"/>
  </r>
  <r>
    <x v="0"/>
    <x v="25"/>
    <x v="25"/>
    <x v="26"/>
    <x v="26"/>
    <x v="26"/>
    <x v="15"/>
    <x v="103"/>
    <x v="245"/>
    <x v="71"/>
    <x v="165"/>
    <x v="52"/>
    <x v="74"/>
    <x v="4"/>
  </r>
  <r>
    <x v="0"/>
    <x v="25"/>
    <x v="25"/>
    <x v="13"/>
    <x v="13"/>
    <x v="13"/>
    <x v="17"/>
    <x v="154"/>
    <x v="306"/>
    <x v="66"/>
    <x v="319"/>
    <x v="62"/>
    <x v="65"/>
    <x v="4"/>
  </r>
  <r>
    <x v="0"/>
    <x v="25"/>
    <x v="25"/>
    <x v="12"/>
    <x v="12"/>
    <x v="12"/>
    <x v="17"/>
    <x v="154"/>
    <x v="306"/>
    <x v="71"/>
    <x v="165"/>
    <x v="52"/>
    <x v="74"/>
    <x v="4"/>
  </r>
  <r>
    <x v="0"/>
    <x v="25"/>
    <x v="25"/>
    <x v="27"/>
    <x v="27"/>
    <x v="27"/>
    <x v="17"/>
    <x v="154"/>
    <x v="306"/>
    <x v="89"/>
    <x v="323"/>
    <x v="52"/>
    <x v="74"/>
    <x v="4"/>
  </r>
  <r>
    <x v="0"/>
    <x v="25"/>
    <x v="25"/>
    <x v="28"/>
    <x v="28"/>
    <x v="28"/>
    <x v="17"/>
    <x v="154"/>
    <x v="306"/>
    <x v="71"/>
    <x v="165"/>
    <x v="52"/>
    <x v="74"/>
    <x v="4"/>
  </r>
  <r>
    <x v="0"/>
    <x v="25"/>
    <x v="25"/>
    <x v="39"/>
    <x v="39"/>
    <x v="39"/>
    <x v="17"/>
    <x v="154"/>
    <x v="306"/>
    <x v="57"/>
    <x v="57"/>
    <x v="62"/>
    <x v="65"/>
    <x v="4"/>
  </r>
  <r>
    <x v="0"/>
    <x v="26"/>
    <x v="26"/>
    <x v="3"/>
    <x v="3"/>
    <x v="3"/>
    <x v="0"/>
    <x v="72"/>
    <x v="307"/>
    <x v="39"/>
    <x v="324"/>
    <x v="67"/>
    <x v="283"/>
    <x v="4"/>
  </r>
  <r>
    <x v="0"/>
    <x v="26"/>
    <x v="26"/>
    <x v="1"/>
    <x v="1"/>
    <x v="1"/>
    <x v="0"/>
    <x v="72"/>
    <x v="307"/>
    <x v="98"/>
    <x v="325"/>
    <x v="62"/>
    <x v="65"/>
    <x v="4"/>
  </r>
  <r>
    <x v="0"/>
    <x v="26"/>
    <x v="26"/>
    <x v="2"/>
    <x v="2"/>
    <x v="2"/>
    <x v="2"/>
    <x v="88"/>
    <x v="235"/>
    <x v="52"/>
    <x v="326"/>
    <x v="50"/>
    <x v="284"/>
    <x v="4"/>
  </r>
  <r>
    <x v="0"/>
    <x v="26"/>
    <x v="26"/>
    <x v="4"/>
    <x v="4"/>
    <x v="4"/>
    <x v="3"/>
    <x v="74"/>
    <x v="308"/>
    <x v="37"/>
    <x v="327"/>
    <x v="65"/>
    <x v="285"/>
    <x v="4"/>
  </r>
  <r>
    <x v="0"/>
    <x v="26"/>
    <x v="26"/>
    <x v="9"/>
    <x v="9"/>
    <x v="9"/>
    <x v="4"/>
    <x v="76"/>
    <x v="309"/>
    <x v="67"/>
    <x v="328"/>
    <x v="67"/>
    <x v="283"/>
    <x v="4"/>
  </r>
  <r>
    <x v="0"/>
    <x v="26"/>
    <x v="26"/>
    <x v="14"/>
    <x v="14"/>
    <x v="14"/>
    <x v="5"/>
    <x v="68"/>
    <x v="310"/>
    <x v="67"/>
    <x v="328"/>
    <x v="62"/>
    <x v="65"/>
    <x v="4"/>
  </r>
  <r>
    <x v="0"/>
    <x v="26"/>
    <x v="26"/>
    <x v="15"/>
    <x v="15"/>
    <x v="15"/>
    <x v="6"/>
    <x v="77"/>
    <x v="226"/>
    <x v="57"/>
    <x v="57"/>
    <x v="66"/>
    <x v="286"/>
    <x v="4"/>
  </r>
  <r>
    <x v="0"/>
    <x v="26"/>
    <x v="26"/>
    <x v="16"/>
    <x v="16"/>
    <x v="16"/>
    <x v="7"/>
    <x v="78"/>
    <x v="7"/>
    <x v="71"/>
    <x v="329"/>
    <x v="59"/>
    <x v="287"/>
    <x v="4"/>
  </r>
  <r>
    <x v="0"/>
    <x v="26"/>
    <x v="26"/>
    <x v="10"/>
    <x v="10"/>
    <x v="10"/>
    <x v="8"/>
    <x v="103"/>
    <x v="311"/>
    <x v="71"/>
    <x v="329"/>
    <x v="58"/>
    <x v="288"/>
    <x v="4"/>
  </r>
  <r>
    <x v="0"/>
    <x v="26"/>
    <x v="26"/>
    <x v="24"/>
    <x v="24"/>
    <x v="24"/>
    <x v="8"/>
    <x v="103"/>
    <x v="311"/>
    <x v="89"/>
    <x v="330"/>
    <x v="52"/>
    <x v="289"/>
    <x v="8"/>
  </r>
  <r>
    <x v="0"/>
    <x v="26"/>
    <x v="26"/>
    <x v="0"/>
    <x v="0"/>
    <x v="0"/>
    <x v="8"/>
    <x v="103"/>
    <x v="311"/>
    <x v="37"/>
    <x v="327"/>
    <x v="52"/>
    <x v="289"/>
    <x v="4"/>
  </r>
  <r>
    <x v="0"/>
    <x v="26"/>
    <x v="26"/>
    <x v="8"/>
    <x v="8"/>
    <x v="8"/>
    <x v="8"/>
    <x v="103"/>
    <x v="311"/>
    <x v="66"/>
    <x v="331"/>
    <x v="62"/>
    <x v="65"/>
    <x v="4"/>
  </r>
  <r>
    <x v="0"/>
    <x v="26"/>
    <x v="26"/>
    <x v="7"/>
    <x v="7"/>
    <x v="7"/>
    <x v="8"/>
    <x v="103"/>
    <x v="311"/>
    <x v="66"/>
    <x v="331"/>
    <x v="67"/>
    <x v="283"/>
    <x v="4"/>
  </r>
  <r>
    <x v="0"/>
    <x v="26"/>
    <x v="26"/>
    <x v="28"/>
    <x v="28"/>
    <x v="28"/>
    <x v="8"/>
    <x v="103"/>
    <x v="311"/>
    <x v="71"/>
    <x v="329"/>
    <x v="58"/>
    <x v="288"/>
    <x v="4"/>
  </r>
  <r>
    <x v="0"/>
    <x v="26"/>
    <x v="26"/>
    <x v="6"/>
    <x v="6"/>
    <x v="6"/>
    <x v="14"/>
    <x v="154"/>
    <x v="137"/>
    <x v="37"/>
    <x v="327"/>
    <x v="67"/>
    <x v="283"/>
    <x v="4"/>
  </r>
  <r>
    <x v="0"/>
    <x v="26"/>
    <x v="26"/>
    <x v="25"/>
    <x v="25"/>
    <x v="25"/>
    <x v="15"/>
    <x v="155"/>
    <x v="312"/>
    <x v="57"/>
    <x v="57"/>
    <x v="58"/>
    <x v="288"/>
    <x v="4"/>
  </r>
  <r>
    <x v="0"/>
    <x v="26"/>
    <x v="26"/>
    <x v="22"/>
    <x v="22"/>
    <x v="22"/>
    <x v="15"/>
    <x v="155"/>
    <x v="312"/>
    <x v="89"/>
    <x v="330"/>
    <x v="67"/>
    <x v="283"/>
    <x v="4"/>
  </r>
  <r>
    <x v="0"/>
    <x v="26"/>
    <x v="26"/>
    <x v="13"/>
    <x v="13"/>
    <x v="13"/>
    <x v="15"/>
    <x v="155"/>
    <x v="312"/>
    <x v="89"/>
    <x v="330"/>
    <x v="67"/>
    <x v="283"/>
    <x v="4"/>
  </r>
  <r>
    <x v="0"/>
    <x v="26"/>
    <x v="26"/>
    <x v="11"/>
    <x v="11"/>
    <x v="11"/>
    <x v="15"/>
    <x v="155"/>
    <x v="312"/>
    <x v="71"/>
    <x v="329"/>
    <x v="62"/>
    <x v="65"/>
    <x v="4"/>
  </r>
  <r>
    <x v="0"/>
    <x v="26"/>
    <x v="26"/>
    <x v="12"/>
    <x v="12"/>
    <x v="12"/>
    <x v="15"/>
    <x v="155"/>
    <x v="312"/>
    <x v="71"/>
    <x v="329"/>
    <x v="62"/>
    <x v="65"/>
    <x v="4"/>
  </r>
  <r>
    <x v="0"/>
    <x v="27"/>
    <x v="27"/>
    <x v="2"/>
    <x v="2"/>
    <x v="2"/>
    <x v="0"/>
    <x v="87"/>
    <x v="313"/>
    <x v="55"/>
    <x v="332"/>
    <x v="60"/>
    <x v="290"/>
    <x v="4"/>
  </r>
  <r>
    <x v="0"/>
    <x v="27"/>
    <x v="27"/>
    <x v="1"/>
    <x v="1"/>
    <x v="1"/>
    <x v="1"/>
    <x v="72"/>
    <x v="314"/>
    <x v="39"/>
    <x v="333"/>
    <x v="67"/>
    <x v="143"/>
    <x v="4"/>
  </r>
  <r>
    <x v="0"/>
    <x v="27"/>
    <x v="27"/>
    <x v="3"/>
    <x v="3"/>
    <x v="3"/>
    <x v="2"/>
    <x v="88"/>
    <x v="315"/>
    <x v="54"/>
    <x v="334"/>
    <x v="52"/>
    <x v="145"/>
    <x v="4"/>
  </r>
  <r>
    <x v="0"/>
    <x v="27"/>
    <x v="27"/>
    <x v="0"/>
    <x v="0"/>
    <x v="0"/>
    <x v="3"/>
    <x v="75"/>
    <x v="316"/>
    <x v="64"/>
    <x v="335"/>
    <x v="58"/>
    <x v="291"/>
    <x v="4"/>
  </r>
  <r>
    <x v="0"/>
    <x v="27"/>
    <x v="27"/>
    <x v="6"/>
    <x v="6"/>
    <x v="6"/>
    <x v="4"/>
    <x v="76"/>
    <x v="57"/>
    <x v="67"/>
    <x v="336"/>
    <x v="67"/>
    <x v="143"/>
    <x v="4"/>
  </r>
  <r>
    <x v="0"/>
    <x v="27"/>
    <x v="27"/>
    <x v="4"/>
    <x v="4"/>
    <x v="4"/>
    <x v="5"/>
    <x v="68"/>
    <x v="317"/>
    <x v="88"/>
    <x v="76"/>
    <x v="66"/>
    <x v="292"/>
    <x v="4"/>
  </r>
  <r>
    <x v="0"/>
    <x v="27"/>
    <x v="27"/>
    <x v="14"/>
    <x v="14"/>
    <x v="14"/>
    <x v="5"/>
    <x v="68"/>
    <x v="317"/>
    <x v="67"/>
    <x v="336"/>
    <x v="62"/>
    <x v="65"/>
    <x v="4"/>
  </r>
  <r>
    <x v="0"/>
    <x v="27"/>
    <x v="27"/>
    <x v="7"/>
    <x v="7"/>
    <x v="7"/>
    <x v="7"/>
    <x v="78"/>
    <x v="194"/>
    <x v="62"/>
    <x v="337"/>
    <x v="62"/>
    <x v="65"/>
    <x v="4"/>
  </r>
  <r>
    <x v="0"/>
    <x v="27"/>
    <x v="27"/>
    <x v="10"/>
    <x v="10"/>
    <x v="10"/>
    <x v="8"/>
    <x v="103"/>
    <x v="318"/>
    <x v="71"/>
    <x v="338"/>
    <x v="58"/>
    <x v="291"/>
    <x v="4"/>
  </r>
  <r>
    <x v="0"/>
    <x v="27"/>
    <x v="27"/>
    <x v="13"/>
    <x v="13"/>
    <x v="13"/>
    <x v="8"/>
    <x v="103"/>
    <x v="318"/>
    <x v="66"/>
    <x v="339"/>
    <x v="67"/>
    <x v="143"/>
    <x v="4"/>
  </r>
  <r>
    <x v="0"/>
    <x v="27"/>
    <x v="27"/>
    <x v="9"/>
    <x v="9"/>
    <x v="9"/>
    <x v="10"/>
    <x v="154"/>
    <x v="45"/>
    <x v="66"/>
    <x v="339"/>
    <x v="62"/>
    <x v="65"/>
    <x v="4"/>
  </r>
  <r>
    <x v="0"/>
    <x v="27"/>
    <x v="27"/>
    <x v="19"/>
    <x v="19"/>
    <x v="19"/>
    <x v="10"/>
    <x v="154"/>
    <x v="45"/>
    <x v="71"/>
    <x v="338"/>
    <x v="52"/>
    <x v="145"/>
    <x v="4"/>
  </r>
  <r>
    <x v="0"/>
    <x v="27"/>
    <x v="27"/>
    <x v="15"/>
    <x v="15"/>
    <x v="15"/>
    <x v="10"/>
    <x v="154"/>
    <x v="45"/>
    <x v="57"/>
    <x v="57"/>
    <x v="61"/>
    <x v="293"/>
    <x v="4"/>
  </r>
  <r>
    <x v="0"/>
    <x v="27"/>
    <x v="27"/>
    <x v="16"/>
    <x v="16"/>
    <x v="16"/>
    <x v="13"/>
    <x v="151"/>
    <x v="47"/>
    <x v="89"/>
    <x v="244"/>
    <x v="52"/>
    <x v="145"/>
    <x v="4"/>
  </r>
  <r>
    <x v="0"/>
    <x v="27"/>
    <x v="27"/>
    <x v="24"/>
    <x v="24"/>
    <x v="24"/>
    <x v="13"/>
    <x v="151"/>
    <x v="47"/>
    <x v="57"/>
    <x v="57"/>
    <x v="59"/>
    <x v="275"/>
    <x v="4"/>
  </r>
  <r>
    <x v="0"/>
    <x v="27"/>
    <x v="27"/>
    <x v="8"/>
    <x v="8"/>
    <x v="8"/>
    <x v="13"/>
    <x v="151"/>
    <x v="47"/>
    <x v="71"/>
    <x v="338"/>
    <x v="62"/>
    <x v="65"/>
    <x v="4"/>
  </r>
  <r>
    <x v="0"/>
    <x v="27"/>
    <x v="27"/>
    <x v="22"/>
    <x v="22"/>
    <x v="22"/>
    <x v="16"/>
    <x v="155"/>
    <x v="76"/>
    <x v="89"/>
    <x v="244"/>
    <x v="67"/>
    <x v="143"/>
    <x v="4"/>
  </r>
  <r>
    <x v="0"/>
    <x v="27"/>
    <x v="27"/>
    <x v="37"/>
    <x v="37"/>
    <x v="37"/>
    <x v="17"/>
    <x v="152"/>
    <x v="319"/>
    <x v="57"/>
    <x v="57"/>
    <x v="52"/>
    <x v="145"/>
    <x v="4"/>
  </r>
  <r>
    <x v="0"/>
    <x v="27"/>
    <x v="27"/>
    <x v="20"/>
    <x v="20"/>
    <x v="20"/>
    <x v="17"/>
    <x v="152"/>
    <x v="319"/>
    <x v="57"/>
    <x v="57"/>
    <x v="52"/>
    <x v="145"/>
    <x v="4"/>
  </r>
  <r>
    <x v="0"/>
    <x v="27"/>
    <x v="27"/>
    <x v="21"/>
    <x v="21"/>
    <x v="21"/>
    <x v="17"/>
    <x v="152"/>
    <x v="319"/>
    <x v="88"/>
    <x v="76"/>
    <x v="67"/>
    <x v="143"/>
    <x v="4"/>
  </r>
  <r>
    <x v="0"/>
    <x v="27"/>
    <x v="27"/>
    <x v="5"/>
    <x v="5"/>
    <x v="5"/>
    <x v="17"/>
    <x v="152"/>
    <x v="319"/>
    <x v="57"/>
    <x v="57"/>
    <x v="67"/>
    <x v="143"/>
    <x v="4"/>
  </r>
  <r>
    <x v="0"/>
    <x v="27"/>
    <x v="27"/>
    <x v="18"/>
    <x v="18"/>
    <x v="18"/>
    <x v="17"/>
    <x v="152"/>
    <x v="319"/>
    <x v="57"/>
    <x v="57"/>
    <x v="52"/>
    <x v="145"/>
    <x v="4"/>
  </r>
  <r>
    <x v="0"/>
    <x v="27"/>
    <x v="27"/>
    <x v="23"/>
    <x v="23"/>
    <x v="23"/>
    <x v="17"/>
    <x v="152"/>
    <x v="319"/>
    <x v="88"/>
    <x v="76"/>
    <x v="67"/>
    <x v="143"/>
    <x v="4"/>
  </r>
  <r>
    <x v="0"/>
    <x v="27"/>
    <x v="27"/>
    <x v="27"/>
    <x v="27"/>
    <x v="27"/>
    <x v="17"/>
    <x v="152"/>
    <x v="319"/>
    <x v="89"/>
    <x v="244"/>
    <x v="62"/>
    <x v="65"/>
    <x v="4"/>
  </r>
  <r>
    <x v="0"/>
    <x v="27"/>
    <x v="27"/>
    <x v="44"/>
    <x v="44"/>
    <x v="44"/>
    <x v="17"/>
    <x v="152"/>
    <x v="319"/>
    <x v="57"/>
    <x v="57"/>
    <x v="67"/>
    <x v="143"/>
    <x v="4"/>
  </r>
  <r>
    <x v="0"/>
    <x v="28"/>
    <x v="28"/>
    <x v="3"/>
    <x v="3"/>
    <x v="3"/>
    <x v="0"/>
    <x v="96"/>
    <x v="320"/>
    <x v="63"/>
    <x v="340"/>
    <x v="58"/>
    <x v="294"/>
    <x v="4"/>
  </r>
  <r>
    <x v="0"/>
    <x v="28"/>
    <x v="28"/>
    <x v="1"/>
    <x v="1"/>
    <x v="1"/>
    <x v="1"/>
    <x v="62"/>
    <x v="321"/>
    <x v="78"/>
    <x v="341"/>
    <x v="62"/>
    <x v="65"/>
    <x v="4"/>
  </r>
  <r>
    <x v="0"/>
    <x v="28"/>
    <x v="28"/>
    <x v="2"/>
    <x v="2"/>
    <x v="2"/>
    <x v="2"/>
    <x v="64"/>
    <x v="322"/>
    <x v="67"/>
    <x v="328"/>
    <x v="66"/>
    <x v="295"/>
    <x v="4"/>
  </r>
  <r>
    <x v="0"/>
    <x v="28"/>
    <x v="28"/>
    <x v="4"/>
    <x v="4"/>
    <x v="4"/>
    <x v="3"/>
    <x v="98"/>
    <x v="323"/>
    <x v="71"/>
    <x v="329"/>
    <x v="65"/>
    <x v="296"/>
    <x v="4"/>
  </r>
  <r>
    <x v="0"/>
    <x v="28"/>
    <x v="28"/>
    <x v="0"/>
    <x v="0"/>
    <x v="0"/>
    <x v="3"/>
    <x v="98"/>
    <x v="323"/>
    <x v="52"/>
    <x v="326"/>
    <x v="67"/>
    <x v="297"/>
    <x v="4"/>
  </r>
  <r>
    <x v="0"/>
    <x v="28"/>
    <x v="28"/>
    <x v="9"/>
    <x v="9"/>
    <x v="9"/>
    <x v="5"/>
    <x v="77"/>
    <x v="132"/>
    <x v="65"/>
    <x v="304"/>
    <x v="52"/>
    <x v="298"/>
    <x v="4"/>
  </r>
  <r>
    <x v="0"/>
    <x v="28"/>
    <x v="28"/>
    <x v="27"/>
    <x v="27"/>
    <x v="27"/>
    <x v="5"/>
    <x v="77"/>
    <x v="132"/>
    <x v="80"/>
    <x v="342"/>
    <x v="62"/>
    <x v="65"/>
    <x v="4"/>
  </r>
  <r>
    <x v="0"/>
    <x v="28"/>
    <x v="28"/>
    <x v="10"/>
    <x v="10"/>
    <x v="10"/>
    <x v="7"/>
    <x v="103"/>
    <x v="324"/>
    <x v="65"/>
    <x v="304"/>
    <x v="62"/>
    <x v="65"/>
    <x v="4"/>
  </r>
  <r>
    <x v="0"/>
    <x v="28"/>
    <x v="28"/>
    <x v="16"/>
    <x v="16"/>
    <x v="16"/>
    <x v="8"/>
    <x v="154"/>
    <x v="325"/>
    <x v="71"/>
    <x v="329"/>
    <x v="52"/>
    <x v="298"/>
    <x v="4"/>
  </r>
  <r>
    <x v="0"/>
    <x v="28"/>
    <x v="28"/>
    <x v="6"/>
    <x v="6"/>
    <x v="6"/>
    <x v="8"/>
    <x v="154"/>
    <x v="325"/>
    <x v="71"/>
    <x v="329"/>
    <x v="52"/>
    <x v="298"/>
    <x v="4"/>
  </r>
  <r>
    <x v="0"/>
    <x v="28"/>
    <x v="28"/>
    <x v="5"/>
    <x v="5"/>
    <x v="5"/>
    <x v="8"/>
    <x v="154"/>
    <x v="325"/>
    <x v="66"/>
    <x v="331"/>
    <x v="62"/>
    <x v="65"/>
    <x v="4"/>
  </r>
  <r>
    <x v="0"/>
    <x v="28"/>
    <x v="28"/>
    <x v="8"/>
    <x v="8"/>
    <x v="8"/>
    <x v="8"/>
    <x v="154"/>
    <x v="325"/>
    <x v="71"/>
    <x v="329"/>
    <x v="67"/>
    <x v="297"/>
    <x v="4"/>
  </r>
  <r>
    <x v="0"/>
    <x v="28"/>
    <x v="28"/>
    <x v="7"/>
    <x v="7"/>
    <x v="7"/>
    <x v="8"/>
    <x v="154"/>
    <x v="325"/>
    <x v="66"/>
    <x v="331"/>
    <x v="62"/>
    <x v="65"/>
    <x v="4"/>
  </r>
  <r>
    <x v="0"/>
    <x v="28"/>
    <x v="28"/>
    <x v="12"/>
    <x v="12"/>
    <x v="12"/>
    <x v="13"/>
    <x v="151"/>
    <x v="88"/>
    <x v="88"/>
    <x v="169"/>
    <x v="58"/>
    <x v="294"/>
    <x v="4"/>
  </r>
  <r>
    <x v="0"/>
    <x v="28"/>
    <x v="28"/>
    <x v="18"/>
    <x v="18"/>
    <x v="18"/>
    <x v="13"/>
    <x v="151"/>
    <x v="88"/>
    <x v="71"/>
    <x v="329"/>
    <x v="67"/>
    <x v="297"/>
    <x v="4"/>
  </r>
  <r>
    <x v="0"/>
    <x v="28"/>
    <x v="28"/>
    <x v="15"/>
    <x v="15"/>
    <x v="15"/>
    <x v="13"/>
    <x v="151"/>
    <x v="88"/>
    <x v="57"/>
    <x v="57"/>
    <x v="58"/>
    <x v="294"/>
    <x v="4"/>
  </r>
  <r>
    <x v="0"/>
    <x v="28"/>
    <x v="28"/>
    <x v="14"/>
    <x v="14"/>
    <x v="14"/>
    <x v="13"/>
    <x v="151"/>
    <x v="88"/>
    <x v="37"/>
    <x v="327"/>
    <x v="62"/>
    <x v="65"/>
    <x v="4"/>
  </r>
  <r>
    <x v="0"/>
    <x v="28"/>
    <x v="28"/>
    <x v="24"/>
    <x v="24"/>
    <x v="24"/>
    <x v="17"/>
    <x v="155"/>
    <x v="306"/>
    <x v="57"/>
    <x v="57"/>
    <x v="52"/>
    <x v="298"/>
    <x v="8"/>
  </r>
  <r>
    <x v="0"/>
    <x v="28"/>
    <x v="28"/>
    <x v="36"/>
    <x v="36"/>
    <x v="36"/>
    <x v="17"/>
    <x v="155"/>
    <x v="306"/>
    <x v="89"/>
    <x v="330"/>
    <x v="67"/>
    <x v="297"/>
    <x v="4"/>
  </r>
  <r>
    <x v="0"/>
    <x v="28"/>
    <x v="28"/>
    <x v="19"/>
    <x v="19"/>
    <x v="19"/>
    <x v="17"/>
    <x v="155"/>
    <x v="306"/>
    <x v="57"/>
    <x v="57"/>
    <x v="58"/>
    <x v="294"/>
    <x v="4"/>
  </r>
  <r>
    <x v="0"/>
    <x v="28"/>
    <x v="28"/>
    <x v="13"/>
    <x v="13"/>
    <x v="13"/>
    <x v="17"/>
    <x v="155"/>
    <x v="306"/>
    <x v="89"/>
    <x v="330"/>
    <x v="67"/>
    <x v="297"/>
    <x v="4"/>
  </r>
  <r>
    <x v="0"/>
    <x v="28"/>
    <x v="28"/>
    <x v="44"/>
    <x v="44"/>
    <x v="44"/>
    <x v="17"/>
    <x v="155"/>
    <x v="306"/>
    <x v="57"/>
    <x v="57"/>
    <x v="58"/>
    <x v="294"/>
    <x v="4"/>
  </r>
  <r>
    <x v="0"/>
    <x v="29"/>
    <x v="29"/>
    <x v="1"/>
    <x v="1"/>
    <x v="1"/>
    <x v="0"/>
    <x v="69"/>
    <x v="326"/>
    <x v="94"/>
    <x v="343"/>
    <x v="59"/>
    <x v="12"/>
    <x v="4"/>
  </r>
  <r>
    <x v="0"/>
    <x v="29"/>
    <x v="29"/>
    <x v="3"/>
    <x v="3"/>
    <x v="3"/>
    <x v="1"/>
    <x v="117"/>
    <x v="55"/>
    <x v="79"/>
    <x v="344"/>
    <x v="66"/>
    <x v="299"/>
    <x v="8"/>
  </r>
  <r>
    <x v="0"/>
    <x v="29"/>
    <x v="29"/>
    <x v="2"/>
    <x v="2"/>
    <x v="2"/>
    <x v="2"/>
    <x v="59"/>
    <x v="327"/>
    <x v="84"/>
    <x v="345"/>
    <x v="50"/>
    <x v="300"/>
    <x v="4"/>
  </r>
  <r>
    <x v="0"/>
    <x v="29"/>
    <x v="29"/>
    <x v="0"/>
    <x v="0"/>
    <x v="0"/>
    <x v="3"/>
    <x v="122"/>
    <x v="328"/>
    <x v="48"/>
    <x v="346"/>
    <x v="67"/>
    <x v="301"/>
    <x v="4"/>
  </r>
  <r>
    <x v="0"/>
    <x v="29"/>
    <x v="29"/>
    <x v="4"/>
    <x v="4"/>
    <x v="4"/>
    <x v="4"/>
    <x v="71"/>
    <x v="329"/>
    <x v="72"/>
    <x v="123"/>
    <x v="71"/>
    <x v="302"/>
    <x v="4"/>
  </r>
  <r>
    <x v="0"/>
    <x v="29"/>
    <x v="29"/>
    <x v="6"/>
    <x v="6"/>
    <x v="6"/>
    <x v="5"/>
    <x v="123"/>
    <x v="330"/>
    <x v="78"/>
    <x v="347"/>
    <x v="50"/>
    <x v="300"/>
    <x v="4"/>
  </r>
  <r>
    <x v="0"/>
    <x v="29"/>
    <x v="29"/>
    <x v="8"/>
    <x v="8"/>
    <x v="8"/>
    <x v="6"/>
    <x v="73"/>
    <x v="331"/>
    <x v="65"/>
    <x v="129"/>
    <x v="62"/>
    <x v="65"/>
    <x v="4"/>
  </r>
  <r>
    <x v="0"/>
    <x v="29"/>
    <x v="29"/>
    <x v="9"/>
    <x v="9"/>
    <x v="9"/>
    <x v="7"/>
    <x v="74"/>
    <x v="332"/>
    <x v="72"/>
    <x v="123"/>
    <x v="58"/>
    <x v="146"/>
    <x v="4"/>
  </r>
  <r>
    <x v="0"/>
    <x v="29"/>
    <x v="29"/>
    <x v="7"/>
    <x v="7"/>
    <x v="7"/>
    <x v="8"/>
    <x v="67"/>
    <x v="219"/>
    <x v="67"/>
    <x v="125"/>
    <x v="52"/>
    <x v="303"/>
    <x v="4"/>
  </r>
  <r>
    <x v="0"/>
    <x v="29"/>
    <x v="29"/>
    <x v="10"/>
    <x v="10"/>
    <x v="10"/>
    <x v="9"/>
    <x v="76"/>
    <x v="10"/>
    <x v="65"/>
    <x v="129"/>
    <x v="59"/>
    <x v="12"/>
    <x v="4"/>
  </r>
  <r>
    <x v="0"/>
    <x v="29"/>
    <x v="29"/>
    <x v="16"/>
    <x v="16"/>
    <x v="16"/>
    <x v="10"/>
    <x v="68"/>
    <x v="208"/>
    <x v="65"/>
    <x v="129"/>
    <x v="58"/>
    <x v="146"/>
    <x v="4"/>
  </r>
  <r>
    <x v="0"/>
    <x v="29"/>
    <x v="29"/>
    <x v="12"/>
    <x v="12"/>
    <x v="12"/>
    <x v="10"/>
    <x v="68"/>
    <x v="208"/>
    <x v="89"/>
    <x v="348"/>
    <x v="55"/>
    <x v="277"/>
    <x v="4"/>
  </r>
  <r>
    <x v="0"/>
    <x v="29"/>
    <x v="29"/>
    <x v="14"/>
    <x v="14"/>
    <x v="14"/>
    <x v="12"/>
    <x v="77"/>
    <x v="333"/>
    <x v="65"/>
    <x v="129"/>
    <x v="52"/>
    <x v="303"/>
    <x v="4"/>
  </r>
  <r>
    <x v="0"/>
    <x v="29"/>
    <x v="29"/>
    <x v="19"/>
    <x v="19"/>
    <x v="19"/>
    <x v="13"/>
    <x v="78"/>
    <x v="33"/>
    <x v="71"/>
    <x v="122"/>
    <x v="59"/>
    <x v="12"/>
    <x v="4"/>
  </r>
  <r>
    <x v="0"/>
    <x v="29"/>
    <x v="29"/>
    <x v="18"/>
    <x v="18"/>
    <x v="18"/>
    <x v="14"/>
    <x v="103"/>
    <x v="16"/>
    <x v="37"/>
    <x v="349"/>
    <x v="52"/>
    <x v="303"/>
    <x v="4"/>
  </r>
  <r>
    <x v="0"/>
    <x v="29"/>
    <x v="29"/>
    <x v="37"/>
    <x v="37"/>
    <x v="37"/>
    <x v="15"/>
    <x v="154"/>
    <x v="334"/>
    <x v="89"/>
    <x v="348"/>
    <x v="58"/>
    <x v="146"/>
    <x v="4"/>
  </r>
  <r>
    <x v="0"/>
    <x v="29"/>
    <x v="29"/>
    <x v="22"/>
    <x v="22"/>
    <x v="22"/>
    <x v="15"/>
    <x v="154"/>
    <x v="334"/>
    <x v="89"/>
    <x v="348"/>
    <x v="58"/>
    <x v="146"/>
    <x v="4"/>
  </r>
  <r>
    <x v="0"/>
    <x v="29"/>
    <x v="29"/>
    <x v="13"/>
    <x v="13"/>
    <x v="13"/>
    <x v="15"/>
    <x v="154"/>
    <x v="334"/>
    <x v="89"/>
    <x v="348"/>
    <x v="58"/>
    <x v="146"/>
    <x v="4"/>
  </r>
  <r>
    <x v="0"/>
    <x v="29"/>
    <x v="29"/>
    <x v="5"/>
    <x v="5"/>
    <x v="5"/>
    <x v="15"/>
    <x v="154"/>
    <x v="334"/>
    <x v="57"/>
    <x v="57"/>
    <x v="59"/>
    <x v="12"/>
    <x v="4"/>
  </r>
  <r>
    <x v="0"/>
    <x v="29"/>
    <x v="29"/>
    <x v="45"/>
    <x v="45"/>
    <x v="45"/>
    <x v="15"/>
    <x v="154"/>
    <x v="334"/>
    <x v="57"/>
    <x v="57"/>
    <x v="61"/>
    <x v="304"/>
    <x v="4"/>
  </r>
  <r>
    <x v="0"/>
    <x v="29"/>
    <x v="29"/>
    <x v="26"/>
    <x v="26"/>
    <x v="26"/>
    <x v="15"/>
    <x v="154"/>
    <x v="334"/>
    <x v="88"/>
    <x v="350"/>
    <x v="58"/>
    <x v="146"/>
    <x v="4"/>
  </r>
  <r>
    <x v="0"/>
    <x v="30"/>
    <x v="30"/>
    <x v="0"/>
    <x v="0"/>
    <x v="0"/>
    <x v="0"/>
    <x v="59"/>
    <x v="335"/>
    <x v="86"/>
    <x v="351"/>
    <x v="58"/>
    <x v="305"/>
    <x v="4"/>
  </r>
  <r>
    <x v="0"/>
    <x v="30"/>
    <x v="30"/>
    <x v="1"/>
    <x v="1"/>
    <x v="1"/>
    <x v="1"/>
    <x v="61"/>
    <x v="55"/>
    <x v="35"/>
    <x v="352"/>
    <x v="67"/>
    <x v="306"/>
    <x v="4"/>
  </r>
  <r>
    <x v="0"/>
    <x v="30"/>
    <x v="30"/>
    <x v="2"/>
    <x v="2"/>
    <x v="2"/>
    <x v="2"/>
    <x v="87"/>
    <x v="336"/>
    <x v="64"/>
    <x v="353"/>
    <x v="72"/>
    <x v="307"/>
    <x v="4"/>
  </r>
  <r>
    <x v="0"/>
    <x v="30"/>
    <x v="30"/>
    <x v="3"/>
    <x v="3"/>
    <x v="3"/>
    <x v="3"/>
    <x v="72"/>
    <x v="337"/>
    <x v="54"/>
    <x v="354"/>
    <x v="52"/>
    <x v="66"/>
    <x v="8"/>
  </r>
  <r>
    <x v="0"/>
    <x v="30"/>
    <x v="30"/>
    <x v="4"/>
    <x v="4"/>
    <x v="4"/>
    <x v="4"/>
    <x v="67"/>
    <x v="164"/>
    <x v="89"/>
    <x v="24"/>
    <x v="50"/>
    <x v="308"/>
    <x v="4"/>
  </r>
  <r>
    <x v="0"/>
    <x v="30"/>
    <x v="30"/>
    <x v="12"/>
    <x v="12"/>
    <x v="12"/>
    <x v="4"/>
    <x v="67"/>
    <x v="164"/>
    <x v="62"/>
    <x v="355"/>
    <x v="59"/>
    <x v="30"/>
    <x v="4"/>
  </r>
  <r>
    <x v="0"/>
    <x v="30"/>
    <x v="30"/>
    <x v="9"/>
    <x v="9"/>
    <x v="9"/>
    <x v="6"/>
    <x v="76"/>
    <x v="338"/>
    <x v="67"/>
    <x v="356"/>
    <x v="67"/>
    <x v="306"/>
    <x v="4"/>
  </r>
  <r>
    <x v="0"/>
    <x v="30"/>
    <x v="30"/>
    <x v="6"/>
    <x v="6"/>
    <x v="6"/>
    <x v="7"/>
    <x v="77"/>
    <x v="339"/>
    <x v="37"/>
    <x v="357"/>
    <x v="59"/>
    <x v="30"/>
    <x v="4"/>
  </r>
  <r>
    <x v="0"/>
    <x v="30"/>
    <x v="30"/>
    <x v="18"/>
    <x v="18"/>
    <x v="18"/>
    <x v="7"/>
    <x v="77"/>
    <x v="339"/>
    <x v="62"/>
    <x v="355"/>
    <x v="67"/>
    <x v="306"/>
    <x v="4"/>
  </r>
  <r>
    <x v="0"/>
    <x v="30"/>
    <x v="30"/>
    <x v="8"/>
    <x v="8"/>
    <x v="8"/>
    <x v="7"/>
    <x v="77"/>
    <x v="339"/>
    <x v="65"/>
    <x v="358"/>
    <x v="62"/>
    <x v="65"/>
    <x v="4"/>
  </r>
  <r>
    <x v="0"/>
    <x v="30"/>
    <x v="30"/>
    <x v="7"/>
    <x v="7"/>
    <x v="7"/>
    <x v="7"/>
    <x v="77"/>
    <x v="339"/>
    <x v="80"/>
    <x v="359"/>
    <x v="62"/>
    <x v="65"/>
    <x v="4"/>
  </r>
  <r>
    <x v="0"/>
    <x v="30"/>
    <x v="30"/>
    <x v="10"/>
    <x v="10"/>
    <x v="10"/>
    <x v="11"/>
    <x v="78"/>
    <x v="340"/>
    <x v="37"/>
    <x v="357"/>
    <x v="58"/>
    <x v="305"/>
    <x v="4"/>
  </r>
  <r>
    <x v="0"/>
    <x v="30"/>
    <x v="30"/>
    <x v="16"/>
    <x v="16"/>
    <x v="16"/>
    <x v="11"/>
    <x v="78"/>
    <x v="340"/>
    <x v="37"/>
    <x v="357"/>
    <x v="58"/>
    <x v="305"/>
    <x v="4"/>
  </r>
  <r>
    <x v="0"/>
    <x v="30"/>
    <x v="30"/>
    <x v="14"/>
    <x v="14"/>
    <x v="14"/>
    <x v="11"/>
    <x v="78"/>
    <x v="340"/>
    <x v="62"/>
    <x v="355"/>
    <x v="62"/>
    <x v="65"/>
    <x v="4"/>
  </r>
  <r>
    <x v="0"/>
    <x v="30"/>
    <x v="30"/>
    <x v="46"/>
    <x v="46"/>
    <x v="46"/>
    <x v="14"/>
    <x v="103"/>
    <x v="341"/>
    <x v="57"/>
    <x v="57"/>
    <x v="55"/>
    <x v="309"/>
    <x v="4"/>
  </r>
  <r>
    <x v="0"/>
    <x v="30"/>
    <x v="30"/>
    <x v="23"/>
    <x v="23"/>
    <x v="23"/>
    <x v="15"/>
    <x v="154"/>
    <x v="138"/>
    <x v="71"/>
    <x v="360"/>
    <x v="67"/>
    <x v="306"/>
    <x v="4"/>
  </r>
  <r>
    <x v="0"/>
    <x v="30"/>
    <x v="30"/>
    <x v="32"/>
    <x v="32"/>
    <x v="32"/>
    <x v="16"/>
    <x v="151"/>
    <x v="187"/>
    <x v="71"/>
    <x v="360"/>
    <x v="67"/>
    <x v="306"/>
    <x v="4"/>
  </r>
  <r>
    <x v="0"/>
    <x v="30"/>
    <x v="30"/>
    <x v="24"/>
    <x v="24"/>
    <x v="24"/>
    <x v="17"/>
    <x v="155"/>
    <x v="342"/>
    <x v="89"/>
    <x v="24"/>
    <x v="67"/>
    <x v="306"/>
    <x v="4"/>
  </r>
  <r>
    <x v="0"/>
    <x v="30"/>
    <x v="30"/>
    <x v="19"/>
    <x v="19"/>
    <x v="19"/>
    <x v="17"/>
    <x v="155"/>
    <x v="342"/>
    <x v="89"/>
    <x v="24"/>
    <x v="67"/>
    <x v="306"/>
    <x v="4"/>
  </r>
  <r>
    <x v="0"/>
    <x v="30"/>
    <x v="30"/>
    <x v="22"/>
    <x v="22"/>
    <x v="22"/>
    <x v="17"/>
    <x v="155"/>
    <x v="342"/>
    <x v="88"/>
    <x v="361"/>
    <x v="52"/>
    <x v="66"/>
    <x v="4"/>
  </r>
  <r>
    <x v="0"/>
    <x v="30"/>
    <x v="30"/>
    <x v="20"/>
    <x v="20"/>
    <x v="20"/>
    <x v="17"/>
    <x v="155"/>
    <x v="342"/>
    <x v="57"/>
    <x v="57"/>
    <x v="58"/>
    <x v="305"/>
    <x v="4"/>
  </r>
  <r>
    <x v="0"/>
    <x v="30"/>
    <x v="30"/>
    <x v="13"/>
    <x v="13"/>
    <x v="13"/>
    <x v="17"/>
    <x v="155"/>
    <x v="342"/>
    <x v="88"/>
    <x v="361"/>
    <x v="52"/>
    <x v="66"/>
    <x v="4"/>
  </r>
  <r>
    <x v="0"/>
    <x v="30"/>
    <x v="30"/>
    <x v="15"/>
    <x v="15"/>
    <x v="15"/>
    <x v="17"/>
    <x v="155"/>
    <x v="342"/>
    <x v="57"/>
    <x v="57"/>
    <x v="58"/>
    <x v="305"/>
    <x v="4"/>
  </r>
  <r>
    <x v="0"/>
    <x v="31"/>
    <x v="31"/>
    <x v="0"/>
    <x v="0"/>
    <x v="0"/>
    <x v="0"/>
    <x v="71"/>
    <x v="343"/>
    <x v="79"/>
    <x v="362"/>
    <x v="67"/>
    <x v="310"/>
    <x v="4"/>
  </r>
  <r>
    <x v="0"/>
    <x v="31"/>
    <x v="31"/>
    <x v="18"/>
    <x v="18"/>
    <x v="18"/>
    <x v="1"/>
    <x v="97"/>
    <x v="344"/>
    <x v="95"/>
    <x v="363"/>
    <x v="66"/>
    <x v="311"/>
    <x v="4"/>
  </r>
  <r>
    <x v="0"/>
    <x v="31"/>
    <x v="31"/>
    <x v="3"/>
    <x v="3"/>
    <x v="3"/>
    <x v="2"/>
    <x v="88"/>
    <x v="345"/>
    <x v="78"/>
    <x v="364"/>
    <x v="62"/>
    <x v="65"/>
    <x v="8"/>
  </r>
  <r>
    <x v="0"/>
    <x v="31"/>
    <x v="31"/>
    <x v="1"/>
    <x v="1"/>
    <x v="1"/>
    <x v="3"/>
    <x v="62"/>
    <x v="346"/>
    <x v="73"/>
    <x v="365"/>
    <x v="67"/>
    <x v="310"/>
    <x v="8"/>
  </r>
  <r>
    <x v="0"/>
    <x v="31"/>
    <x v="31"/>
    <x v="2"/>
    <x v="2"/>
    <x v="2"/>
    <x v="4"/>
    <x v="73"/>
    <x v="347"/>
    <x v="64"/>
    <x v="366"/>
    <x v="50"/>
    <x v="312"/>
    <x v="4"/>
  </r>
  <r>
    <x v="0"/>
    <x v="31"/>
    <x v="31"/>
    <x v="4"/>
    <x v="4"/>
    <x v="4"/>
    <x v="5"/>
    <x v="64"/>
    <x v="348"/>
    <x v="37"/>
    <x v="367"/>
    <x v="60"/>
    <x v="313"/>
    <x v="4"/>
  </r>
  <r>
    <x v="0"/>
    <x v="31"/>
    <x v="31"/>
    <x v="8"/>
    <x v="8"/>
    <x v="8"/>
    <x v="6"/>
    <x v="67"/>
    <x v="349"/>
    <x v="65"/>
    <x v="368"/>
    <x v="62"/>
    <x v="65"/>
    <x v="4"/>
  </r>
  <r>
    <x v="0"/>
    <x v="31"/>
    <x v="31"/>
    <x v="6"/>
    <x v="6"/>
    <x v="6"/>
    <x v="7"/>
    <x v="76"/>
    <x v="121"/>
    <x v="62"/>
    <x v="369"/>
    <x v="58"/>
    <x v="109"/>
    <x v="4"/>
  </r>
  <r>
    <x v="0"/>
    <x v="31"/>
    <x v="31"/>
    <x v="10"/>
    <x v="10"/>
    <x v="10"/>
    <x v="8"/>
    <x v="78"/>
    <x v="350"/>
    <x v="37"/>
    <x v="367"/>
    <x v="58"/>
    <x v="109"/>
    <x v="4"/>
  </r>
  <r>
    <x v="0"/>
    <x v="31"/>
    <x v="31"/>
    <x v="23"/>
    <x v="23"/>
    <x v="23"/>
    <x v="9"/>
    <x v="103"/>
    <x v="351"/>
    <x v="66"/>
    <x v="163"/>
    <x v="67"/>
    <x v="310"/>
    <x v="4"/>
  </r>
  <r>
    <x v="0"/>
    <x v="31"/>
    <x v="31"/>
    <x v="12"/>
    <x v="12"/>
    <x v="12"/>
    <x v="10"/>
    <x v="154"/>
    <x v="352"/>
    <x v="57"/>
    <x v="57"/>
    <x v="61"/>
    <x v="314"/>
    <x v="4"/>
  </r>
  <r>
    <x v="0"/>
    <x v="31"/>
    <x v="31"/>
    <x v="16"/>
    <x v="16"/>
    <x v="16"/>
    <x v="11"/>
    <x v="151"/>
    <x v="33"/>
    <x v="37"/>
    <x v="367"/>
    <x v="62"/>
    <x v="65"/>
    <x v="4"/>
  </r>
  <r>
    <x v="0"/>
    <x v="31"/>
    <x v="31"/>
    <x v="32"/>
    <x v="32"/>
    <x v="32"/>
    <x v="11"/>
    <x v="151"/>
    <x v="33"/>
    <x v="71"/>
    <x v="13"/>
    <x v="67"/>
    <x v="310"/>
    <x v="4"/>
  </r>
  <r>
    <x v="0"/>
    <x v="31"/>
    <x v="31"/>
    <x v="9"/>
    <x v="9"/>
    <x v="9"/>
    <x v="13"/>
    <x v="155"/>
    <x v="353"/>
    <x v="57"/>
    <x v="57"/>
    <x v="58"/>
    <x v="109"/>
    <x v="4"/>
  </r>
  <r>
    <x v="0"/>
    <x v="31"/>
    <x v="31"/>
    <x v="24"/>
    <x v="24"/>
    <x v="24"/>
    <x v="13"/>
    <x v="155"/>
    <x v="353"/>
    <x v="88"/>
    <x v="229"/>
    <x v="52"/>
    <x v="315"/>
    <x v="4"/>
  </r>
  <r>
    <x v="0"/>
    <x v="31"/>
    <x v="31"/>
    <x v="31"/>
    <x v="31"/>
    <x v="31"/>
    <x v="13"/>
    <x v="155"/>
    <x v="353"/>
    <x v="57"/>
    <x v="57"/>
    <x v="58"/>
    <x v="109"/>
    <x v="4"/>
  </r>
  <r>
    <x v="0"/>
    <x v="31"/>
    <x v="31"/>
    <x v="47"/>
    <x v="47"/>
    <x v="47"/>
    <x v="13"/>
    <x v="155"/>
    <x v="353"/>
    <x v="88"/>
    <x v="229"/>
    <x v="52"/>
    <x v="315"/>
    <x v="4"/>
  </r>
  <r>
    <x v="0"/>
    <x v="31"/>
    <x v="31"/>
    <x v="38"/>
    <x v="38"/>
    <x v="38"/>
    <x v="13"/>
    <x v="155"/>
    <x v="353"/>
    <x v="88"/>
    <x v="229"/>
    <x v="52"/>
    <x v="315"/>
    <x v="4"/>
  </r>
  <r>
    <x v="0"/>
    <x v="31"/>
    <x v="31"/>
    <x v="26"/>
    <x v="26"/>
    <x v="26"/>
    <x v="13"/>
    <x v="155"/>
    <x v="353"/>
    <x v="89"/>
    <x v="370"/>
    <x v="67"/>
    <x v="310"/>
    <x v="4"/>
  </r>
  <r>
    <x v="0"/>
    <x v="31"/>
    <x v="31"/>
    <x v="14"/>
    <x v="14"/>
    <x v="14"/>
    <x v="13"/>
    <x v="155"/>
    <x v="353"/>
    <x v="89"/>
    <x v="370"/>
    <x v="67"/>
    <x v="310"/>
    <x v="4"/>
  </r>
  <r>
    <x v="0"/>
    <x v="32"/>
    <x v="32"/>
    <x v="18"/>
    <x v="18"/>
    <x v="18"/>
    <x v="0"/>
    <x v="156"/>
    <x v="354"/>
    <x v="131"/>
    <x v="371"/>
    <x v="60"/>
    <x v="316"/>
    <x v="4"/>
  </r>
  <r>
    <x v="0"/>
    <x v="32"/>
    <x v="32"/>
    <x v="0"/>
    <x v="0"/>
    <x v="0"/>
    <x v="1"/>
    <x v="118"/>
    <x v="355"/>
    <x v="106"/>
    <x v="372"/>
    <x v="61"/>
    <x v="317"/>
    <x v="8"/>
  </r>
  <r>
    <x v="0"/>
    <x v="32"/>
    <x v="32"/>
    <x v="3"/>
    <x v="3"/>
    <x v="3"/>
    <x v="2"/>
    <x v="157"/>
    <x v="356"/>
    <x v="103"/>
    <x v="373"/>
    <x v="60"/>
    <x v="316"/>
    <x v="8"/>
  </r>
  <r>
    <x v="0"/>
    <x v="32"/>
    <x v="32"/>
    <x v="2"/>
    <x v="2"/>
    <x v="2"/>
    <x v="3"/>
    <x v="52"/>
    <x v="357"/>
    <x v="87"/>
    <x v="374"/>
    <x v="95"/>
    <x v="318"/>
    <x v="0"/>
  </r>
  <r>
    <x v="0"/>
    <x v="32"/>
    <x v="32"/>
    <x v="4"/>
    <x v="4"/>
    <x v="4"/>
    <x v="4"/>
    <x v="117"/>
    <x v="358"/>
    <x v="72"/>
    <x v="375"/>
    <x v="54"/>
    <x v="319"/>
    <x v="4"/>
  </r>
  <r>
    <x v="0"/>
    <x v="32"/>
    <x v="32"/>
    <x v="1"/>
    <x v="1"/>
    <x v="1"/>
    <x v="5"/>
    <x v="59"/>
    <x v="57"/>
    <x v="86"/>
    <x v="376"/>
    <x v="52"/>
    <x v="149"/>
    <x v="8"/>
  </r>
  <r>
    <x v="0"/>
    <x v="32"/>
    <x v="32"/>
    <x v="27"/>
    <x v="27"/>
    <x v="27"/>
    <x v="6"/>
    <x v="122"/>
    <x v="359"/>
    <x v="115"/>
    <x v="377"/>
    <x v="55"/>
    <x v="12"/>
    <x v="4"/>
  </r>
  <r>
    <x v="0"/>
    <x v="32"/>
    <x v="32"/>
    <x v="8"/>
    <x v="8"/>
    <x v="8"/>
    <x v="7"/>
    <x v="64"/>
    <x v="360"/>
    <x v="55"/>
    <x v="378"/>
    <x v="67"/>
    <x v="320"/>
    <x v="0"/>
  </r>
  <r>
    <x v="0"/>
    <x v="32"/>
    <x v="32"/>
    <x v="23"/>
    <x v="23"/>
    <x v="23"/>
    <x v="8"/>
    <x v="98"/>
    <x v="300"/>
    <x v="62"/>
    <x v="165"/>
    <x v="55"/>
    <x v="12"/>
    <x v="4"/>
  </r>
  <r>
    <x v="0"/>
    <x v="32"/>
    <x v="32"/>
    <x v="9"/>
    <x v="9"/>
    <x v="9"/>
    <x v="9"/>
    <x v="75"/>
    <x v="184"/>
    <x v="62"/>
    <x v="165"/>
    <x v="55"/>
    <x v="12"/>
    <x v="4"/>
  </r>
  <r>
    <x v="0"/>
    <x v="32"/>
    <x v="32"/>
    <x v="16"/>
    <x v="16"/>
    <x v="16"/>
    <x v="9"/>
    <x v="75"/>
    <x v="184"/>
    <x v="65"/>
    <x v="379"/>
    <x v="53"/>
    <x v="321"/>
    <x v="4"/>
  </r>
  <r>
    <x v="0"/>
    <x v="32"/>
    <x v="32"/>
    <x v="46"/>
    <x v="46"/>
    <x v="46"/>
    <x v="9"/>
    <x v="75"/>
    <x v="184"/>
    <x v="89"/>
    <x v="380"/>
    <x v="65"/>
    <x v="322"/>
    <x v="4"/>
  </r>
  <r>
    <x v="0"/>
    <x v="32"/>
    <x v="32"/>
    <x v="6"/>
    <x v="6"/>
    <x v="6"/>
    <x v="12"/>
    <x v="66"/>
    <x v="62"/>
    <x v="65"/>
    <x v="379"/>
    <x v="55"/>
    <x v="12"/>
    <x v="4"/>
  </r>
  <r>
    <x v="0"/>
    <x v="32"/>
    <x v="32"/>
    <x v="10"/>
    <x v="10"/>
    <x v="10"/>
    <x v="13"/>
    <x v="67"/>
    <x v="63"/>
    <x v="65"/>
    <x v="379"/>
    <x v="61"/>
    <x v="317"/>
    <x v="4"/>
  </r>
  <r>
    <x v="0"/>
    <x v="32"/>
    <x v="32"/>
    <x v="37"/>
    <x v="37"/>
    <x v="37"/>
    <x v="13"/>
    <x v="67"/>
    <x v="63"/>
    <x v="80"/>
    <x v="98"/>
    <x v="52"/>
    <x v="149"/>
    <x v="8"/>
  </r>
  <r>
    <x v="0"/>
    <x v="32"/>
    <x v="32"/>
    <x v="7"/>
    <x v="7"/>
    <x v="7"/>
    <x v="13"/>
    <x v="67"/>
    <x v="63"/>
    <x v="55"/>
    <x v="378"/>
    <x v="62"/>
    <x v="65"/>
    <x v="4"/>
  </r>
  <r>
    <x v="0"/>
    <x v="32"/>
    <x v="32"/>
    <x v="15"/>
    <x v="15"/>
    <x v="15"/>
    <x v="13"/>
    <x v="67"/>
    <x v="63"/>
    <x v="57"/>
    <x v="57"/>
    <x v="66"/>
    <x v="323"/>
    <x v="8"/>
  </r>
  <r>
    <x v="0"/>
    <x v="32"/>
    <x v="32"/>
    <x v="24"/>
    <x v="24"/>
    <x v="24"/>
    <x v="17"/>
    <x v="68"/>
    <x v="64"/>
    <x v="89"/>
    <x v="380"/>
    <x v="53"/>
    <x v="321"/>
    <x v="4"/>
  </r>
  <r>
    <x v="0"/>
    <x v="32"/>
    <x v="32"/>
    <x v="21"/>
    <x v="21"/>
    <x v="21"/>
    <x v="18"/>
    <x v="77"/>
    <x v="211"/>
    <x v="89"/>
    <x v="380"/>
    <x v="55"/>
    <x v="12"/>
    <x v="4"/>
  </r>
  <r>
    <x v="0"/>
    <x v="32"/>
    <x v="32"/>
    <x v="14"/>
    <x v="14"/>
    <x v="14"/>
    <x v="18"/>
    <x v="77"/>
    <x v="211"/>
    <x v="80"/>
    <x v="98"/>
    <x v="62"/>
    <x v="65"/>
    <x v="4"/>
  </r>
  <r>
    <x v="0"/>
    <x v="33"/>
    <x v="33"/>
    <x v="34"/>
    <x v="34"/>
    <x v="34"/>
    <x v="0"/>
    <x v="67"/>
    <x v="361"/>
    <x v="55"/>
    <x v="381"/>
    <x v="62"/>
    <x v="65"/>
    <x v="4"/>
  </r>
  <r>
    <x v="0"/>
    <x v="33"/>
    <x v="33"/>
    <x v="3"/>
    <x v="3"/>
    <x v="3"/>
    <x v="1"/>
    <x v="77"/>
    <x v="362"/>
    <x v="80"/>
    <x v="382"/>
    <x v="62"/>
    <x v="65"/>
    <x v="4"/>
  </r>
  <r>
    <x v="0"/>
    <x v="33"/>
    <x v="33"/>
    <x v="4"/>
    <x v="4"/>
    <x v="4"/>
    <x v="2"/>
    <x v="103"/>
    <x v="363"/>
    <x v="57"/>
    <x v="57"/>
    <x v="55"/>
    <x v="324"/>
    <x v="4"/>
  </r>
  <r>
    <x v="0"/>
    <x v="33"/>
    <x v="33"/>
    <x v="2"/>
    <x v="2"/>
    <x v="2"/>
    <x v="3"/>
    <x v="154"/>
    <x v="287"/>
    <x v="37"/>
    <x v="383"/>
    <x v="67"/>
    <x v="325"/>
    <x v="4"/>
  </r>
  <r>
    <x v="0"/>
    <x v="33"/>
    <x v="33"/>
    <x v="18"/>
    <x v="18"/>
    <x v="18"/>
    <x v="3"/>
    <x v="154"/>
    <x v="287"/>
    <x v="66"/>
    <x v="384"/>
    <x v="62"/>
    <x v="65"/>
    <x v="4"/>
  </r>
  <r>
    <x v="0"/>
    <x v="33"/>
    <x v="33"/>
    <x v="0"/>
    <x v="0"/>
    <x v="0"/>
    <x v="5"/>
    <x v="155"/>
    <x v="82"/>
    <x v="71"/>
    <x v="385"/>
    <x v="62"/>
    <x v="65"/>
    <x v="4"/>
  </r>
  <r>
    <x v="0"/>
    <x v="33"/>
    <x v="33"/>
    <x v="15"/>
    <x v="15"/>
    <x v="15"/>
    <x v="5"/>
    <x v="155"/>
    <x v="82"/>
    <x v="57"/>
    <x v="57"/>
    <x v="62"/>
    <x v="65"/>
    <x v="4"/>
  </r>
  <r>
    <x v="0"/>
    <x v="33"/>
    <x v="33"/>
    <x v="5"/>
    <x v="5"/>
    <x v="5"/>
    <x v="7"/>
    <x v="152"/>
    <x v="364"/>
    <x v="57"/>
    <x v="57"/>
    <x v="67"/>
    <x v="325"/>
    <x v="4"/>
  </r>
  <r>
    <x v="0"/>
    <x v="33"/>
    <x v="33"/>
    <x v="27"/>
    <x v="27"/>
    <x v="27"/>
    <x v="7"/>
    <x v="152"/>
    <x v="364"/>
    <x v="89"/>
    <x v="386"/>
    <x v="62"/>
    <x v="65"/>
    <x v="4"/>
  </r>
  <r>
    <x v="0"/>
    <x v="33"/>
    <x v="33"/>
    <x v="7"/>
    <x v="7"/>
    <x v="7"/>
    <x v="7"/>
    <x v="152"/>
    <x v="364"/>
    <x v="89"/>
    <x v="386"/>
    <x v="62"/>
    <x v="65"/>
    <x v="4"/>
  </r>
  <r>
    <x v="0"/>
    <x v="33"/>
    <x v="33"/>
    <x v="44"/>
    <x v="44"/>
    <x v="44"/>
    <x v="7"/>
    <x v="152"/>
    <x v="364"/>
    <x v="57"/>
    <x v="57"/>
    <x v="52"/>
    <x v="326"/>
    <x v="4"/>
  </r>
  <r>
    <x v="0"/>
    <x v="33"/>
    <x v="33"/>
    <x v="32"/>
    <x v="32"/>
    <x v="32"/>
    <x v="7"/>
    <x v="152"/>
    <x v="364"/>
    <x v="89"/>
    <x v="386"/>
    <x v="62"/>
    <x v="65"/>
    <x v="4"/>
  </r>
  <r>
    <x v="0"/>
    <x v="33"/>
    <x v="33"/>
    <x v="48"/>
    <x v="48"/>
    <x v="48"/>
    <x v="12"/>
    <x v="153"/>
    <x v="35"/>
    <x v="57"/>
    <x v="57"/>
    <x v="67"/>
    <x v="325"/>
    <x v="4"/>
  </r>
  <r>
    <x v="0"/>
    <x v="33"/>
    <x v="33"/>
    <x v="49"/>
    <x v="49"/>
    <x v="49"/>
    <x v="12"/>
    <x v="153"/>
    <x v="35"/>
    <x v="57"/>
    <x v="57"/>
    <x v="67"/>
    <x v="325"/>
    <x v="4"/>
  </r>
  <r>
    <x v="0"/>
    <x v="33"/>
    <x v="33"/>
    <x v="36"/>
    <x v="36"/>
    <x v="36"/>
    <x v="12"/>
    <x v="153"/>
    <x v="35"/>
    <x v="88"/>
    <x v="387"/>
    <x v="62"/>
    <x v="65"/>
    <x v="4"/>
  </r>
  <r>
    <x v="0"/>
    <x v="33"/>
    <x v="33"/>
    <x v="50"/>
    <x v="50"/>
    <x v="50"/>
    <x v="12"/>
    <x v="153"/>
    <x v="35"/>
    <x v="57"/>
    <x v="57"/>
    <x v="62"/>
    <x v="65"/>
    <x v="4"/>
  </r>
  <r>
    <x v="0"/>
    <x v="33"/>
    <x v="33"/>
    <x v="38"/>
    <x v="38"/>
    <x v="38"/>
    <x v="12"/>
    <x v="153"/>
    <x v="35"/>
    <x v="57"/>
    <x v="57"/>
    <x v="67"/>
    <x v="325"/>
    <x v="4"/>
  </r>
  <r>
    <x v="0"/>
    <x v="33"/>
    <x v="33"/>
    <x v="11"/>
    <x v="11"/>
    <x v="11"/>
    <x v="12"/>
    <x v="153"/>
    <x v="35"/>
    <x v="88"/>
    <x v="387"/>
    <x v="62"/>
    <x v="65"/>
    <x v="4"/>
  </r>
  <r>
    <x v="0"/>
    <x v="33"/>
    <x v="33"/>
    <x v="26"/>
    <x v="26"/>
    <x v="26"/>
    <x v="12"/>
    <x v="153"/>
    <x v="35"/>
    <x v="88"/>
    <x v="387"/>
    <x v="62"/>
    <x v="65"/>
    <x v="4"/>
  </r>
  <r>
    <x v="0"/>
    <x v="33"/>
    <x v="33"/>
    <x v="1"/>
    <x v="1"/>
    <x v="1"/>
    <x v="12"/>
    <x v="153"/>
    <x v="35"/>
    <x v="88"/>
    <x v="387"/>
    <x v="62"/>
    <x v="65"/>
    <x v="4"/>
  </r>
  <r>
    <x v="0"/>
    <x v="33"/>
    <x v="33"/>
    <x v="8"/>
    <x v="8"/>
    <x v="8"/>
    <x v="12"/>
    <x v="153"/>
    <x v="35"/>
    <x v="57"/>
    <x v="57"/>
    <x v="62"/>
    <x v="65"/>
    <x v="4"/>
  </r>
  <r>
    <x v="0"/>
    <x v="34"/>
    <x v="34"/>
    <x v="3"/>
    <x v="3"/>
    <x v="3"/>
    <x v="0"/>
    <x v="66"/>
    <x v="365"/>
    <x v="62"/>
    <x v="388"/>
    <x v="61"/>
    <x v="273"/>
    <x v="4"/>
  </r>
  <r>
    <x v="0"/>
    <x v="34"/>
    <x v="34"/>
    <x v="0"/>
    <x v="0"/>
    <x v="0"/>
    <x v="1"/>
    <x v="78"/>
    <x v="366"/>
    <x v="65"/>
    <x v="333"/>
    <x v="67"/>
    <x v="327"/>
    <x v="4"/>
  </r>
  <r>
    <x v="0"/>
    <x v="34"/>
    <x v="34"/>
    <x v="4"/>
    <x v="4"/>
    <x v="4"/>
    <x v="2"/>
    <x v="103"/>
    <x v="367"/>
    <x v="89"/>
    <x v="342"/>
    <x v="59"/>
    <x v="328"/>
    <x v="4"/>
  </r>
  <r>
    <x v="0"/>
    <x v="34"/>
    <x v="34"/>
    <x v="1"/>
    <x v="1"/>
    <x v="1"/>
    <x v="2"/>
    <x v="103"/>
    <x v="367"/>
    <x v="65"/>
    <x v="333"/>
    <x v="62"/>
    <x v="65"/>
    <x v="4"/>
  </r>
  <r>
    <x v="0"/>
    <x v="34"/>
    <x v="34"/>
    <x v="2"/>
    <x v="2"/>
    <x v="2"/>
    <x v="4"/>
    <x v="154"/>
    <x v="190"/>
    <x v="89"/>
    <x v="342"/>
    <x v="58"/>
    <x v="126"/>
    <x v="4"/>
  </r>
  <r>
    <x v="0"/>
    <x v="34"/>
    <x v="34"/>
    <x v="9"/>
    <x v="9"/>
    <x v="9"/>
    <x v="5"/>
    <x v="155"/>
    <x v="289"/>
    <x v="71"/>
    <x v="332"/>
    <x v="62"/>
    <x v="65"/>
    <x v="4"/>
  </r>
  <r>
    <x v="0"/>
    <x v="34"/>
    <x v="34"/>
    <x v="31"/>
    <x v="31"/>
    <x v="31"/>
    <x v="5"/>
    <x v="155"/>
    <x v="289"/>
    <x v="57"/>
    <x v="57"/>
    <x v="58"/>
    <x v="126"/>
    <x v="4"/>
  </r>
  <r>
    <x v="0"/>
    <x v="34"/>
    <x v="34"/>
    <x v="46"/>
    <x v="46"/>
    <x v="46"/>
    <x v="5"/>
    <x v="155"/>
    <x v="289"/>
    <x v="88"/>
    <x v="327"/>
    <x v="52"/>
    <x v="329"/>
    <x v="4"/>
  </r>
  <r>
    <x v="0"/>
    <x v="34"/>
    <x v="34"/>
    <x v="5"/>
    <x v="5"/>
    <x v="5"/>
    <x v="8"/>
    <x v="152"/>
    <x v="84"/>
    <x v="57"/>
    <x v="57"/>
    <x v="67"/>
    <x v="327"/>
    <x v="4"/>
  </r>
  <r>
    <x v="0"/>
    <x v="34"/>
    <x v="34"/>
    <x v="26"/>
    <x v="26"/>
    <x v="26"/>
    <x v="8"/>
    <x v="152"/>
    <x v="84"/>
    <x v="89"/>
    <x v="342"/>
    <x v="62"/>
    <x v="65"/>
    <x v="4"/>
  </r>
  <r>
    <x v="0"/>
    <x v="34"/>
    <x v="34"/>
    <x v="10"/>
    <x v="10"/>
    <x v="10"/>
    <x v="10"/>
    <x v="153"/>
    <x v="90"/>
    <x v="57"/>
    <x v="57"/>
    <x v="67"/>
    <x v="327"/>
    <x v="4"/>
  </r>
  <r>
    <x v="0"/>
    <x v="34"/>
    <x v="34"/>
    <x v="16"/>
    <x v="16"/>
    <x v="16"/>
    <x v="10"/>
    <x v="153"/>
    <x v="90"/>
    <x v="88"/>
    <x v="327"/>
    <x v="62"/>
    <x v="65"/>
    <x v="4"/>
  </r>
  <r>
    <x v="0"/>
    <x v="34"/>
    <x v="34"/>
    <x v="24"/>
    <x v="24"/>
    <x v="24"/>
    <x v="10"/>
    <x v="153"/>
    <x v="90"/>
    <x v="57"/>
    <x v="57"/>
    <x v="67"/>
    <x v="327"/>
    <x v="4"/>
  </r>
  <r>
    <x v="0"/>
    <x v="34"/>
    <x v="34"/>
    <x v="37"/>
    <x v="37"/>
    <x v="37"/>
    <x v="10"/>
    <x v="153"/>
    <x v="90"/>
    <x v="57"/>
    <x v="57"/>
    <x v="67"/>
    <x v="327"/>
    <x v="4"/>
  </r>
  <r>
    <x v="0"/>
    <x v="34"/>
    <x v="34"/>
    <x v="50"/>
    <x v="50"/>
    <x v="50"/>
    <x v="10"/>
    <x v="153"/>
    <x v="90"/>
    <x v="57"/>
    <x v="57"/>
    <x v="62"/>
    <x v="65"/>
    <x v="4"/>
  </r>
  <r>
    <x v="0"/>
    <x v="34"/>
    <x v="34"/>
    <x v="51"/>
    <x v="51"/>
    <x v="51"/>
    <x v="10"/>
    <x v="153"/>
    <x v="90"/>
    <x v="57"/>
    <x v="57"/>
    <x v="67"/>
    <x v="327"/>
    <x v="4"/>
  </r>
  <r>
    <x v="0"/>
    <x v="34"/>
    <x v="34"/>
    <x v="19"/>
    <x v="19"/>
    <x v="19"/>
    <x v="10"/>
    <x v="153"/>
    <x v="90"/>
    <x v="88"/>
    <x v="327"/>
    <x v="62"/>
    <x v="65"/>
    <x v="4"/>
  </r>
  <r>
    <x v="0"/>
    <x v="34"/>
    <x v="34"/>
    <x v="11"/>
    <x v="11"/>
    <x v="11"/>
    <x v="10"/>
    <x v="153"/>
    <x v="90"/>
    <x v="57"/>
    <x v="57"/>
    <x v="67"/>
    <x v="327"/>
    <x v="4"/>
  </r>
  <r>
    <x v="0"/>
    <x v="34"/>
    <x v="34"/>
    <x v="18"/>
    <x v="18"/>
    <x v="18"/>
    <x v="10"/>
    <x v="153"/>
    <x v="90"/>
    <x v="88"/>
    <x v="327"/>
    <x v="62"/>
    <x v="65"/>
    <x v="4"/>
  </r>
  <r>
    <x v="0"/>
    <x v="34"/>
    <x v="34"/>
    <x v="7"/>
    <x v="7"/>
    <x v="7"/>
    <x v="10"/>
    <x v="153"/>
    <x v="90"/>
    <x v="88"/>
    <x v="327"/>
    <x v="62"/>
    <x v="65"/>
    <x v="4"/>
  </r>
  <r>
    <x v="0"/>
    <x v="34"/>
    <x v="34"/>
    <x v="15"/>
    <x v="15"/>
    <x v="15"/>
    <x v="10"/>
    <x v="153"/>
    <x v="90"/>
    <x v="57"/>
    <x v="57"/>
    <x v="62"/>
    <x v="65"/>
    <x v="4"/>
  </r>
  <r>
    <x v="0"/>
    <x v="34"/>
    <x v="34"/>
    <x v="28"/>
    <x v="28"/>
    <x v="28"/>
    <x v="10"/>
    <x v="153"/>
    <x v="90"/>
    <x v="57"/>
    <x v="57"/>
    <x v="67"/>
    <x v="327"/>
    <x v="4"/>
  </r>
  <r>
    <x v="0"/>
    <x v="35"/>
    <x v="35"/>
    <x v="0"/>
    <x v="0"/>
    <x v="0"/>
    <x v="0"/>
    <x v="158"/>
    <x v="368"/>
    <x v="76"/>
    <x v="389"/>
    <x v="52"/>
    <x v="330"/>
    <x v="4"/>
  </r>
  <r>
    <x v="0"/>
    <x v="35"/>
    <x v="35"/>
    <x v="3"/>
    <x v="3"/>
    <x v="3"/>
    <x v="1"/>
    <x v="93"/>
    <x v="369"/>
    <x v="94"/>
    <x v="390"/>
    <x v="50"/>
    <x v="331"/>
    <x v="4"/>
  </r>
  <r>
    <x v="0"/>
    <x v="35"/>
    <x v="35"/>
    <x v="1"/>
    <x v="1"/>
    <x v="1"/>
    <x v="2"/>
    <x v="56"/>
    <x v="370"/>
    <x v="86"/>
    <x v="346"/>
    <x v="67"/>
    <x v="26"/>
    <x v="4"/>
  </r>
  <r>
    <x v="0"/>
    <x v="35"/>
    <x v="35"/>
    <x v="2"/>
    <x v="2"/>
    <x v="2"/>
    <x v="3"/>
    <x v="72"/>
    <x v="176"/>
    <x v="15"/>
    <x v="391"/>
    <x v="50"/>
    <x v="331"/>
    <x v="4"/>
  </r>
  <r>
    <x v="0"/>
    <x v="35"/>
    <x v="35"/>
    <x v="18"/>
    <x v="18"/>
    <x v="18"/>
    <x v="4"/>
    <x v="88"/>
    <x v="371"/>
    <x v="39"/>
    <x v="392"/>
    <x v="62"/>
    <x v="65"/>
    <x v="4"/>
  </r>
  <r>
    <x v="0"/>
    <x v="35"/>
    <x v="35"/>
    <x v="5"/>
    <x v="5"/>
    <x v="5"/>
    <x v="5"/>
    <x v="74"/>
    <x v="372"/>
    <x v="65"/>
    <x v="138"/>
    <x v="50"/>
    <x v="331"/>
    <x v="4"/>
  </r>
  <r>
    <x v="0"/>
    <x v="35"/>
    <x v="35"/>
    <x v="27"/>
    <x v="27"/>
    <x v="27"/>
    <x v="6"/>
    <x v="67"/>
    <x v="311"/>
    <x v="80"/>
    <x v="393"/>
    <x v="52"/>
    <x v="330"/>
    <x v="4"/>
  </r>
  <r>
    <x v="0"/>
    <x v="35"/>
    <x v="35"/>
    <x v="10"/>
    <x v="10"/>
    <x v="10"/>
    <x v="7"/>
    <x v="68"/>
    <x v="373"/>
    <x v="89"/>
    <x v="394"/>
    <x v="53"/>
    <x v="332"/>
    <x v="4"/>
  </r>
  <r>
    <x v="0"/>
    <x v="35"/>
    <x v="35"/>
    <x v="16"/>
    <x v="16"/>
    <x v="16"/>
    <x v="7"/>
    <x v="68"/>
    <x v="373"/>
    <x v="67"/>
    <x v="395"/>
    <x v="62"/>
    <x v="65"/>
    <x v="4"/>
  </r>
  <r>
    <x v="0"/>
    <x v="35"/>
    <x v="35"/>
    <x v="4"/>
    <x v="4"/>
    <x v="4"/>
    <x v="9"/>
    <x v="77"/>
    <x v="154"/>
    <x v="88"/>
    <x v="396"/>
    <x v="53"/>
    <x v="332"/>
    <x v="4"/>
  </r>
  <r>
    <x v="0"/>
    <x v="35"/>
    <x v="35"/>
    <x v="13"/>
    <x v="13"/>
    <x v="13"/>
    <x v="9"/>
    <x v="77"/>
    <x v="154"/>
    <x v="65"/>
    <x v="138"/>
    <x v="52"/>
    <x v="330"/>
    <x v="4"/>
  </r>
  <r>
    <x v="0"/>
    <x v="35"/>
    <x v="35"/>
    <x v="8"/>
    <x v="8"/>
    <x v="8"/>
    <x v="9"/>
    <x v="77"/>
    <x v="154"/>
    <x v="71"/>
    <x v="310"/>
    <x v="52"/>
    <x v="330"/>
    <x v="4"/>
  </r>
  <r>
    <x v="0"/>
    <x v="35"/>
    <x v="35"/>
    <x v="15"/>
    <x v="15"/>
    <x v="15"/>
    <x v="12"/>
    <x v="78"/>
    <x v="155"/>
    <x v="57"/>
    <x v="57"/>
    <x v="58"/>
    <x v="134"/>
    <x v="4"/>
  </r>
  <r>
    <x v="0"/>
    <x v="35"/>
    <x v="35"/>
    <x v="9"/>
    <x v="9"/>
    <x v="9"/>
    <x v="13"/>
    <x v="103"/>
    <x v="140"/>
    <x v="89"/>
    <x v="394"/>
    <x v="59"/>
    <x v="333"/>
    <x v="4"/>
  </r>
  <r>
    <x v="0"/>
    <x v="35"/>
    <x v="35"/>
    <x v="23"/>
    <x v="23"/>
    <x v="23"/>
    <x v="13"/>
    <x v="103"/>
    <x v="140"/>
    <x v="71"/>
    <x v="310"/>
    <x v="52"/>
    <x v="330"/>
    <x v="4"/>
  </r>
  <r>
    <x v="0"/>
    <x v="35"/>
    <x v="35"/>
    <x v="52"/>
    <x v="52"/>
    <x v="52"/>
    <x v="15"/>
    <x v="154"/>
    <x v="92"/>
    <x v="71"/>
    <x v="310"/>
    <x v="52"/>
    <x v="330"/>
    <x v="4"/>
  </r>
  <r>
    <x v="0"/>
    <x v="35"/>
    <x v="35"/>
    <x v="46"/>
    <x v="46"/>
    <x v="46"/>
    <x v="15"/>
    <x v="154"/>
    <x v="92"/>
    <x v="88"/>
    <x v="396"/>
    <x v="59"/>
    <x v="333"/>
    <x v="4"/>
  </r>
  <r>
    <x v="0"/>
    <x v="35"/>
    <x v="35"/>
    <x v="12"/>
    <x v="12"/>
    <x v="12"/>
    <x v="15"/>
    <x v="154"/>
    <x v="92"/>
    <x v="71"/>
    <x v="310"/>
    <x v="52"/>
    <x v="330"/>
    <x v="4"/>
  </r>
  <r>
    <x v="0"/>
    <x v="35"/>
    <x v="35"/>
    <x v="31"/>
    <x v="31"/>
    <x v="31"/>
    <x v="18"/>
    <x v="151"/>
    <x v="319"/>
    <x v="88"/>
    <x v="396"/>
    <x v="58"/>
    <x v="134"/>
    <x v="4"/>
  </r>
  <r>
    <x v="0"/>
    <x v="35"/>
    <x v="35"/>
    <x v="19"/>
    <x v="19"/>
    <x v="19"/>
    <x v="18"/>
    <x v="151"/>
    <x v="319"/>
    <x v="88"/>
    <x v="396"/>
    <x v="58"/>
    <x v="134"/>
    <x v="4"/>
  </r>
  <r>
    <x v="0"/>
    <x v="35"/>
    <x v="35"/>
    <x v="6"/>
    <x v="6"/>
    <x v="6"/>
    <x v="18"/>
    <x v="151"/>
    <x v="319"/>
    <x v="37"/>
    <x v="127"/>
    <x v="62"/>
    <x v="65"/>
    <x v="4"/>
  </r>
  <r>
    <x v="0"/>
    <x v="35"/>
    <x v="35"/>
    <x v="26"/>
    <x v="26"/>
    <x v="26"/>
    <x v="18"/>
    <x v="151"/>
    <x v="319"/>
    <x v="71"/>
    <x v="310"/>
    <x v="67"/>
    <x v="26"/>
    <x v="4"/>
  </r>
  <r>
    <x v="0"/>
    <x v="35"/>
    <x v="35"/>
    <x v="7"/>
    <x v="7"/>
    <x v="7"/>
    <x v="18"/>
    <x v="151"/>
    <x v="319"/>
    <x v="89"/>
    <x v="394"/>
    <x v="52"/>
    <x v="330"/>
    <x v="4"/>
  </r>
  <r>
    <x v="0"/>
    <x v="35"/>
    <x v="35"/>
    <x v="14"/>
    <x v="14"/>
    <x v="14"/>
    <x v="18"/>
    <x v="151"/>
    <x v="319"/>
    <x v="71"/>
    <x v="310"/>
    <x v="67"/>
    <x v="26"/>
    <x v="4"/>
  </r>
  <r>
    <x v="0"/>
    <x v="36"/>
    <x v="36"/>
    <x v="3"/>
    <x v="3"/>
    <x v="3"/>
    <x v="0"/>
    <x v="72"/>
    <x v="374"/>
    <x v="78"/>
    <x v="397"/>
    <x v="52"/>
    <x v="66"/>
    <x v="4"/>
  </r>
  <r>
    <x v="0"/>
    <x v="36"/>
    <x v="36"/>
    <x v="1"/>
    <x v="1"/>
    <x v="1"/>
    <x v="0"/>
    <x v="72"/>
    <x v="374"/>
    <x v="39"/>
    <x v="398"/>
    <x v="67"/>
    <x v="306"/>
    <x v="4"/>
  </r>
  <r>
    <x v="0"/>
    <x v="36"/>
    <x v="36"/>
    <x v="0"/>
    <x v="0"/>
    <x v="0"/>
    <x v="2"/>
    <x v="89"/>
    <x v="375"/>
    <x v="73"/>
    <x v="214"/>
    <x v="67"/>
    <x v="306"/>
    <x v="4"/>
  </r>
  <r>
    <x v="0"/>
    <x v="36"/>
    <x v="36"/>
    <x v="18"/>
    <x v="18"/>
    <x v="18"/>
    <x v="3"/>
    <x v="63"/>
    <x v="348"/>
    <x v="50"/>
    <x v="399"/>
    <x v="52"/>
    <x v="66"/>
    <x v="4"/>
  </r>
  <r>
    <x v="0"/>
    <x v="36"/>
    <x v="36"/>
    <x v="2"/>
    <x v="2"/>
    <x v="2"/>
    <x v="4"/>
    <x v="64"/>
    <x v="376"/>
    <x v="80"/>
    <x v="230"/>
    <x v="66"/>
    <x v="334"/>
    <x v="4"/>
  </r>
  <r>
    <x v="0"/>
    <x v="36"/>
    <x v="36"/>
    <x v="34"/>
    <x v="34"/>
    <x v="34"/>
    <x v="5"/>
    <x v="98"/>
    <x v="377"/>
    <x v="55"/>
    <x v="400"/>
    <x v="58"/>
    <x v="305"/>
    <x v="4"/>
  </r>
  <r>
    <x v="0"/>
    <x v="36"/>
    <x v="36"/>
    <x v="4"/>
    <x v="4"/>
    <x v="4"/>
    <x v="6"/>
    <x v="75"/>
    <x v="215"/>
    <x v="88"/>
    <x v="401"/>
    <x v="47"/>
    <x v="335"/>
    <x v="4"/>
  </r>
  <r>
    <x v="0"/>
    <x v="36"/>
    <x v="36"/>
    <x v="6"/>
    <x v="6"/>
    <x v="6"/>
    <x v="7"/>
    <x v="66"/>
    <x v="378"/>
    <x v="62"/>
    <x v="309"/>
    <x v="61"/>
    <x v="336"/>
    <x v="4"/>
  </r>
  <r>
    <x v="0"/>
    <x v="36"/>
    <x v="36"/>
    <x v="23"/>
    <x v="23"/>
    <x v="23"/>
    <x v="8"/>
    <x v="68"/>
    <x v="194"/>
    <x v="80"/>
    <x v="230"/>
    <x v="67"/>
    <x v="306"/>
    <x v="4"/>
  </r>
  <r>
    <x v="0"/>
    <x v="36"/>
    <x v="36"/>
    <x v="10"/>
    <x v="10"/>
    <x v="10"/>
    <x v="9"/>
    <x v="78"/>
    <x v="379"/>
    <x v="37"/>
    <x v="402"/>
    <x v="58"/>
    <x v="305"/>
    <x v="4"/>
  </r>
  <r>
    <x v="0"/>
    <x v="36"/>
    <x v="36"/>
    <x v="11"/>
    <x v="11"/>
    <x v="11"/>
    <x v="9"/>
    <x v="78"/>
    <x v="379"/>
    <x v="37"/>
    <x v="402"/>
    <x v="58"/>
    <x v="305"/>
    <x v="4"/>
  </r>
  <r>
    <x v="0"/>
    <x v="36"/>
    <x v="36"/>
    <x v="27"/>
    <x v="27"/>
    <x v="27"/>
    <x v="9"/>
    <x v="78"/>
    <x v="379"/>
    <x v="65"/>
    <x v="79"/>
    <x v="67"/>
    <x v="306"/>
    <x v="4"/>
  </r>
  <r>
    <x v="0"/>
    <x v="36"/>
    <x v="36"/>
    <x v="14"/>
    <x v="14"/>
    <x v="14"/>
    <x v="9"/>
    <x v="78"/>
    <x v="379"/>
    <x v="65"/>
    <x v="79"/>
    <x v="67"/>
    <x v="306"/>
    <x v="4"/>
  </r>
  <r>
    <x v="0"/>
    <x v="36"/>
    <x v="36"/>
    <x v="16"/>
    <x v="16"/>
    <x v="16"/>
    <x v="13"/>
    <x v="154"/>
    <x v="300"/>
    <x v="88"/>
    <x v="401"/>
    <x v="59"/>
    <x v="30"/>
    <x v="4"/>
  </r>
  <r>
    <x v="0"/>
    <x v="36"/>
    <x v="36"/>
    <x v="13"/>
    <x v="13"/>
    <x v="13"/>
    <x v="13"/>
    <x v="154"/>
    <x v="300"/>
    <x v="37"/>
    <x v="402"/>
    <x v="67"/>
    <x v="306"/>
    <x v="4"/>
  </r>
  <r>
    <x v="0"/>
    <x v="36"/>
    <x v="36"/>
    <x v="8"/>
    <x v="8"/>
    <x v="8"/>
    <x v="13"/>
    <x v="154"/>
    <x v="300"/>
    <x v="71"/>
    <x v="274"/>
    <x v="62"/>
    <x v="65"/>
    <x v="0"/>
  </r>
  <r>
    <x v="0"/>
    <x v="36"/>
    <x v="36"/>
    <x v="15"/>
    <x v="15"/>
    <x v="15"/>
    <x v="13"/>
    <x v="154"/>
    <x v="300"/>
    <x v="57"/>
    <x v="57"/>
    <x v="58"/>
    <x v="305"/>
    <x v="4"/>
  </r>
  <r>
    <x v="0"/>
    <x v="36"/>
    <x v="36"/>
    <x v="12"/>
    <x v="12"/>
    <x v="12"/>
    <x v="17"/>
    <x v="151"/>
    <x v="380"/>
    <x v="89"/>
    <x v="403"/>
    <x v="52"/>
    <x v="66"/>
    <x v="4"/>
  </r>
  <r>
    <x v="0"/>
    <x v="36"/>
    <x v="36"/>
    <x v="9"/>
    <x v="9"/>
    <x v="9"/>
    <x v="18"/>
    <x v="155"/>
    <x v="78"/>
    <x v="89"/>
    <x v="403"/>
    <x v="67"/>
    <x v="306"/>
    <x v="4"/>
  </r>
  <r>
    <x v="0"/>
    <x v="36"/>
    <x v="36"/>
    <x v="29"/>
    <x v="29"/>
    <x v="29"/>
    <x v="18"/>
    <x v="155"/>
    <x v="78"/>
    <x v="88"/>
    <x v="401"/>
    <x v="52"/>
    <x v="66"/>
    <x v="4"/>
  </r>
  <r>
    <x v="0"/>
    <x v="36"/>
    <x v="36"/>
    <x v="22"/>
    <x v="22"/>
    <x v="22"/>
    <x v="18"/>
    <x v="155"/>
    <x v="78"/>
    <x v="88"/>
    <x v="401"/>
    <x v="52"/>
    <x v="66"/>
    <x v="4"/>
  </r>
  <r>
    <x v="0"/>
    <x v="36"/>
    <x v="36"/>
    <x v="46"/>
    <x v="46"/>
    <x v="46"/>
    <x v="18"/>
    <x v="155"/>
    <x v="78"/>
    <x v="88"/>
    <x v="401"/>
    <x v="52"/>
    <x v="66"/>
    <x v="4"/>
  </r>
  <r>
    <x v="0"/>
    <x v="37"/>
    <x v="37"/>
    <x v="0"/>
    <x v="0"/>
    <x v="0"/>
    <x v="0"/>
    <x v="53"/>
    <x v="381"/>
    <x v="61"/>
    <x v="404"/>
    <x v="62"/>
    <x v="65"/>
    <x v="4"/>
  </r>
  <r>
    <x v="0"/>
    <x v="37"/>
    <x v="37"/>
    <x v="3"/>
    <x v="3"/>
    <x v="3"/>
    <x v="1"/>
    <x v="86"/>
    <x v="213"/>
    <x v="115"/>
    <x v="405"/>
    <x v="62"/>
    <x v="65"/>
    <x v="4"/>
  </r>
  <r>
    <x v="0"/>
    <x v="37"/>
    <x v="37"/>
    <x v="1"/>
    <x v="1"/>
    <x v="1"/>
    <x v="2"/>
    <x v="87"/>
    <x v="201"/>
    <x v="98"/>
    <x v="406"/>
    <x v="67"/>
    <x v="337"/>
    <x v="4"/>
  </r>
  <r>
    <x v="0"/>
    <x v="37"/>
    <x v="37"/>
    <x v="2"/>
    <x v="2"/>
    <x v="2"/>
    <x v="3"/>
    <x v="62"/>
    <x v="382"/>
    <x v="52"/>
    <x v="407"/>
    <x v="66"/>
    <x v="338"/>
    <x v="4"/>
  </r>
  <r>
    <x v="0"/>
    <x v="37"/>
    <x v="37"/>
    <x v="16"/>
    <x v="16"/>
    <x v="16"/>
    <x v="4"/>
    <x v="64"/>
    <x v="383"/>
    <x v="15"/>
    <x v="408"/>
    <x v="58"/>
    <x v="339"/>
    <x v="4"/>
  </r>
  <r>
    <x v="0"/>
    <x v="37"/>
    <x v="37"/>
    <x v="4"/>
    <x v="4"/>
    <x v="4"/>
    <x v="5"/>
    <x v="65"/>
    <x v="176"/>
    <x v="71"/>
    <x v="409"/>
    <x v="60"/>
    <x v="340"/>
    <x v="4"/>
  </r>
  <r>
    <x v="0"/>
    <x v="37"/>
    <x v="37"/>
    <x v="10"/>
    <x v="10"/>
    <x v="10"/>
    <x v="6"/>
    <x v="68"/>
    <x v="384"/>
    <x v="37"/>
    <x v="410"/>
    <x v="61"/>
    <x v="300"/>
    <x v="4"/>
  </r>
  <r>
    <x v="0"/>
    <x v="37"/>
    <x v="37"/>
    <x v="8"/>
    <x v="8"/>
    <x v="8"/>
    <x v="7"/>
    <x v="77"/>
    <x v="385"/>
    <x v="66"/>
    <x v="5"/>
    <x v="52"/>
    <x v="272"/>
    <x v="4"/>
  </r>
  <r>
    <x v="0"/>
    <x v="37"/>
    <x v="37"/>
    <x v="18"/>
    <x v="18"/>
    <x v="18"/>
    <x v="8"/>
    <x v="78"/>
    <x v="45"/>
    <x v="66"/>
    <x v="5"/>
    <x v="52"/>
    <x v="272"/>
    <x v="4"/>
  </r>
  <r>
    <x v="0"/>
    <x v="37"/>
    <x v="37"/>
    <x v="7"/>
    <x v="7"/>
    <x v="7"/>
    <x v="8"/>
    <x v="78"/>
    <x v="45"/>
    <x v="62"/>
    <x v="411"/>
    <x v="62"/>
    <x v="65"/>
    <x v="4"/>
  </r>
  <r>
    <x v="0"/>
    <x v="37"/>
    <x v="37"/>
    <x v="13"/>
    <x v="13"/>
    <x v="13"/>
    <x v="10"/>
    <x v="103"/>
    <x v="386"/>
    <x v="65"/>
    <x v="412"/>
    <x v="62"/>
    <x v="65"/>
    <x v="4"/>
  </r>
  <r>
    <x v="0"/>
    <x v="37"/>
    <x v="37"/>
    <x v="6"/>
    <x v="6"/>
    <x v="6"/>
    <x v="10"/>
    <x v="103"/>
    <x v="386"/>
    <x v="66"/>
    <x v="5"/>
    <x v="67"/>
    <x v="337"/>
    <x v="4"/>
  </r>
  <r>
    <x v="0"/>
    <x v="37"/>
    <x v="37"/>
    <x v="46"/>
    <x v="46"/>
    <x v="46"/>
    <x v="10"/>
    <x v="103"/>
    <x v="386"/>
    <x v="88"/>
    <x v="413"/>
    <x v="61"/>
    <x v="300"/>
    <x v="4"/>
  </r>
  <r>
    <x v="0"/>
    <x v="37"/>
    <x v="37"/>
    <x v="11"/>
    <x v="11"/>
    <x v="11"/>
    <x v="10"/>
    <x v="103"/>
    <x v="386"/>
    <x v="65"/>
    <x v="412"/>
    <x v="62"/>
    <x v="65"/>
    <x v="4"/>
  </r>
  <r>
    <x v="0"/>
    <x v="37"/>
    <x v="37"/>
    <x v="14"/>
    <x v="14"/>
    <x v="14"/>
    <x v="10"/>
    <x v="103"/>
    <x v="386"/>
    <x v="89"/>
    <x v="278"/>
    <x v="59"/>
    <x v="274"/>
    <x v="4"/>
  </r>
  <r>
    <x v="0"/>
    <x v="37"/>
    <x v="37"/>
    <x v="31"/>
    <x v="31"/>
    <x v="31"/>
    <x v="15"/>
    <x v="154"/>
    <x v="104"/>
    <x v="57"/>
    <x v="57"/>
    <x v="61"/>
    <x v="300"/>
    <x v="4"/>
  </r>
  <r>
    <x v="0"/>
    <x v="37"/>
    <x v="37"/>
    <x v="9"/>
    <x v="9"/>
    <x v="9"/>
    <x v="16"/>
    <x v="151"/>
    <x v="258"/>
    <x v="37"/>
    <x v="410"/>
    <x v="62"/>
    <x v="65"/>
    <x v="4"/>
  </r>
  <r>
    <x v="0"/>
    <x v="37"/>
    <x v="37"/>
    <x v="26"/>
    <x v="26"/>
    <x v="26"/>
    <x v="16"/>
    <x v="151"/>
    <x v="258"/>
    <x v="89"/>
    <x v="278"/>
    <x v="67"/>
    <x v="337"/>
    <x v="4"/>
  </r>
  <r>
    <x v="0"/>
    <x v="37"/>
    <x v="37"/>
    <x v="23"/>
    <x v="23"/>
    <x v="23"/>
    <x v="18"/>
    <x v="155"/>
    <x v="387"/>
    <x v="89"/>
    <x v="278"/>
    <x v="67"/>
    <x v="337"/>
    <x v="4"/>
  </r>
  <r>
    <x v="0"/>
    <x v="37"/>
    <x v="37"/>
    <x v="15"/>
    <x v="15"/>
    <x v="15"/>
    <x v="18"/>
    <x v="155"/>
    <x v="387"/>
    <x v="57"/>
    <x v="57"/>
    <x v="58"/>
    <x v="339"/>
    <x v="4"/>
  </r>
  <r>
    <x v="0"/>
    <x v="38"/>
    <x v="38"/>
    <x v="0"/>
    <x v="0"/>
    <x v="0"/>
    <x v="0"/>
    <x v="113"/>
    <x v="388"/>
    <x v="132"/>
    <x v="414"/>
    <x v="55"/>
    <x v="215"/>
    <x v="4"/>
  </r>
  <r>
    <x v="0"/>
    <x v="38"/>
    <x v="38"/>
    <x v="2"/>
    <x v="2"/>
    <x v="2"/>
    <x v="1"/>
    <x v="116"/>
    <x v="389"/>
    <x v="84"/>
    <x v="301"/>
    <x v="75"/>
    <x v="341"/>
    <x v="4"/>
  </r>
  <r>
    <x v="0"/>
    <x v="38"/>
    <x v="38"/>
    <x v="1"/>
    <x v="1"/>
    <x v="1"/>
    <x v="2"/>
    <x v="133"/>
    <x v="390"/>
    <x v="125"/>
    <x v="406"/>
    <x v="67"/>
    <x v="342"/>
    <x v="4"/>
  </r>
  <r>
    <x v="0"/>
    <x v="38"/>
    <x v="38"/>
    <x v="3"/>
    <x v="3"/>
    <x v="3"/>
    <x v="3"/>
    <x v="117"/>
    <x v="391"/>
    <x v="51"/>
    <x v="415"/>
    <x v="53"/>
    <x v="343"/>
    <x v="4"/>
  </r>
  <r>
    <x v="0"/>
    <x v="38"/>
    <x v="38"/>
    <x v="5"/>
    <x v="5"/>
    <x v="5"/>
    <x v="4"/>
    <x v="60"/>
    <x v="348"/>
    <x v="77"/>
    <x v="416"/>
    <x v="61"/>
    <x v="209"/>
    <x v="4"/>
  </r>
  <r>
    <x v="0"/>
    <x v="38"/>
    <x v="38"/>
    <x v="4"/>
    <x v="4"/>
    <x v="4"/>
    <x v="5"/>
    <x v="71"/>
    <x v="392"/>
    <x v="37"/>
    <x v="94"/>
    <x v="54"/>
    <x v="344"/>
    <x v="4"/>
  </r>
  <r>
    <x v="0"/>
    <x v="38"/>
    <x v="38"/>
    <x v="19"/>
    <x v="19"/>
    <x v="19"/>
    <x v="6"/>
    <x v="98"/>
    <x v="324"/>
    <x v="80"/>
    <x v="417"/>
    <x v="55"/>
    <x v="215"/>
    <x v="4"/>
  </r>
  <r>
    <x v="0"/>
    <x v="38"/>
    <x v="38"/>
    <x v="14"/>
    <x v="14"/>
    <x v="14"/>
    <x v="6"/>
    <x v="98"/>
    <x v="324"/>
    <x v="55"/>
    <x v="418"/>
    <x v="58"/>
    <x v="345"/>
    <x v="4"/>
  </r>
  <r>
    <x v="0"/>
    <x v="38"/>
    <x v="38"/>
    <x v="6"/>
    <x v="6"/>
    <x v="6"/>
    <x v="8"/>
    <x v="75"/>
    <x v="228"/>
    <x v="64"/>
    <x v="419"/>
    <x v="58"/>
    <x v="345"/>
    <x v="4"/>
  </r>
  <r>
    <x v="0"/>
    <x v="38"/>
    <x v="38"/>
    <x v="16"/>
    <x v="16"/>
    <x v="16"/>
    <x v="9"/>
    <x v="66"/>
    <x v="393"/>
    <x v="80"/>
    <x v="417"/>
    <x v="59"/>
    <x v="31"/>
    <x v="4"/>
  </r>
  <r>
    <x v="0"/>
    <x v="38"/>
    <x v="38"/>
    <x v="13"/>
    <x v="13"/>
    <x v="13"/>
    <x v="9"/>
    <x v="66"/>
    <x v="393"/>
    <x v="72"/>
    <x v="420"/>
    <x v="62"/>
    <x v="65"/>
    <x v="4"/>
  </r>
  <r>
    <x v="0"/>
    <x v="38"/>
    <x v="38"/>
    <x v="9"/>
    <x v="9"/>
    <x v="9"/>
    <x v="11"/>
    <x v="76"/>
    <x v="47"/>
    <x v="80"/>
    <x v="417"/>
    <x v="52"/>
    <x v="346"/>
    <x v="4"/>
  </r>
  <r>
    <x v="0"/>
    <x v="38"/>
    <x v="38"/>
    <x v="26"/>
    <x v="26"/>
    <x v="26"/>
    <x v="12"/>
    <x v="77"/>
    <x v="14"/>
    <x v="62"/>
    <x v="421"/>
    <x v="62"/>
    <x v="65"/>
    <x v="4"/>
  </r>
  <r>
    <x v="0"/>
    <x v="38"/>
    <x v="38"/>
    <x v="8"/>
    <x v="8"/>
    <x v="8"/>
    <x v="12"/>
    <x v="77"/>
    <x v="14"/>
    <x v="62"/>
    <x v="421"/>
    <x v="67"/>
    <x v="342"/>
    <x v="4"/>
  </r>
  <r>
    <x v="0"/>
    <x v="38"/>
    <x v="38"/>
    <x v="10"/>
    <x v="10"/>
    <x v="10"/>
    <x v="14"/>
    <x v="78"/>
    <x v="306"/>
    <x v="89"/>
    <x v="97"/>
    <x v="61"/>
    <x v="209"/>
    <x v="4"/>
  </r>
  <r>
    <x v="0"/>
    <x v="38"/>
    <x v="38"/>
    <x v="12"/>
    <x v="12"/>
    <x v="12"/>
    <x v="14"/>
    <x v="78"/>
    <x v="306"/>
    <x v="65"/>
    <x v="18"/>
    <x v="67"/>
    <x v="342"/>
    <x v="4"/>
  </r>
  <r>
    <x v="0"/>
    <x v="38"/>
    <x v="38"/>
    <x v="24"/>
    <x v="24"/>
    <x v="24"/>
    <x v="16"/>
    <x v="103"/>
    <x v="394"/>
    <x v="88"/>
    <x v="255"/>
    <x v="61"/>
    <x v="209"/>
    <x v="4"/>
  </r>
  <r>
    <x v="0"/>
    <x v="38"/>
    <x v="38"/>
    <x v="27"/>
    <x v="27"/>
    <x v="27"/>
    <x v="16"/>
    <x v="103"/>
    <x v="394"/>
    <x v="71"/>
    <x v="198"/>
    <x v="52"/>
    <x v="346"/>
    <x v="8"/>
  </r>
  <r>
    <x v="0"/>
    <x v="38"/>
    <x v="38"/>
    <x v="17"/>
    <x v="17"/>
    <x v="17"/>
    <x v="18"/>
    <x v="154"/>
    <x v="319"/>
    <x v="89"/>
    <x v="97"/>
    <x v="58"/>
    <x v="345"/>
    <x v="4"/>
  </r>
  <r>
    <x v="0"/>
    <x v="38"/>
    <x v="38"/>
    <x v="15"/>
    <x v="15"/>
    <x v="15"/>
    <x v="18"/>
    <x v="154"/>
    <x v="319"/>
    <x v="57"/>
    <x v="57"/>
    <x v="61"/>
    <x v="209"/>
    <x v="4"/>
  </r>
  <r>
    <x v="0"/>
    <x v="39"/>
    <x v="39"/>
    <x v="0"/>
    <x v="0"/>
    <x v="0"/>
    <x v="0"/>
    <x v="72"/>
    <x v="395"/>
    <x v="39"/>
    <x v="422"/>
    <x v="67"/>
    <x v="201"/>
    <x v="4"/>
  </r>
  <r>
    <x v="0"/>
    <x v="39"/>
    <x v="39"/>
    <x v="4"/>
    <x v="4"/>
    <x v="4"/>
    <x v="1"/>
    <x v="62"/>
    <x v="396"/>
    <x v="88"/>
    <x v="30"/>
    <x v="95"/>
    <x v="347"/>
    <x v="4"/>
  </r>
  <r>
    <x v="0"/>
    <x v="39"/>
    <x v="39"/>
    <x v="3"/>
    <x v="3"/>
    <x v="3"/>
    <x v="1"/>
    <x v="62"/>
    <x v="396"/>
    <x v="50"/>
    <x v="423"/>
    <x v="61"/>
    <x v="348"/>
    <x v="4"/>
  </r>
  <r>
    <x v="0"/>
    <x v="39"/>
    <x v="39"/>
    <x v="1"/>
    <x v="1"/>
    <x v="1"/>
    <x v="1"/>
    <x v="62"/>
    <x v="396"/>
    <x v="78"/>
    <x v="424"/>
    <x v="62"/>
    <x v="65"/>
    <x v="4"/>
  </r>
  <r>
    <x v="0"/>
    <x v="39"/>
    <x v="39"/>
    <x v="2"/>
    <x v="2"/>
    <x v="2"/>
    <x v="4"/>
    <x v="73"/>
    <x v="397"/>
    <x v="64"/>
    <x v="425"/>
    <x v="50"/>
    <x v="349"/>
    <x v="4"/>
  </r>
  <r>
    <x v="0"/>
    <x v="39"/>
    <x v="39"/>
    <x v="13"/>
    <x v="13"/>
    <x v="13"/>
    <x v="5"/>
    <x v="78"/>
    <x v="398"/>
    <x v="62"/>
    <x v="426"/>
    <x v="62"/>
    <x v="65"/>
    <x v="4"/>
  </r>
  <r>
    <x v="0"/>
    <x v="39"/>
    <x v="39"/>
    <x v="19"/>
    <x v="19"/>
    <x v="19"/>
    <x v="6"/>
    <x v="103"/>
    <x v="227"/>
    <x v="89"/>
    <x v="33"/>
    <x v="59"/>
    <x v="350"/>
    <x v="4"/>
  </r>
  <r>
    <x v="0"/>
    <x v="39"/>
    <x v="39"/>
    <x v="6"/>
    <x v="6"/>
    <x v="6"/>
    <x v="7"/>
    <x v="154"/>
    <x v="399"/>
    <x v="89"/>
    <x v="33"/>
    <x v="58"/>
    <x v="321"/>
    <x v="4"/>
  </r>
  <r>
    <x v="0"/>
    <x v="39"/>
    <x v="39"/>
    <x v="10"/>
    <x v="10"/>
    <x v="10"/>
    <x v="8"/>
    <x v="151"/>
    <x v="231"/>
    <x v="57"/>
    <x v="57"/>
    <x v="59"/>
    <x v="350"/>
    <x v="4"/>
  </r>
  <r>
    <x v="0"/>
    <x v="39"/>
    <x v="39"/>
    <x v="24"/>
    <x v="24"/>
    <x v="24"/>
    <x v="8"/>
    <x v="151"/>
    <x v="231"/>
    <x v="89"/>
    <x v="33"/>
    <x v="52"/>
    <x v="351"/>
    <x v="4"/>
  </r>
  <r>
    <x v="0"/>
    <x v="39"/>
    <x v="39"/>
    <x v="31"/>
    <x v="31"/>
    <x v="31"/>
    <x v="8"/>
    <x v="151"/>
    <x v="231"/>
    <x v="57"/>
    <x v="57"/>
    <x v="59"/>
    <x v="350"/>
    <x v="4"/>
  </r>
  <r>
    <x v="0"/>
    <x v="39"/>
    <x v="39"/>
    <x v="27"/>
    <x v="27"/>
    <x v="27"/>
    <x v="8"/>
    <x v="151"/>
    <x v="231"/>
    <x v="88"/>
    <x v="30"/>
    <x v="67"/>
    <x v="201"/>
    <x v="4"/>
  </r>
  <r>
    <x v="0"/>
    <x v="39"/>
    <x v="39"/>
    <x v="15"/>
    <x v="15"/>
    <x v="15"/>
    <x v="8"/>
    <x v="151"/>
    <x v="231"/>
    <x v="57"/>
    <x v="57"/>
    <x v="58"/>
    <x v="321"/>
    <x v="4"/>
  </r>
  <r>
    <x v="0"/>
    <x v="39"/>
    <x v="39"/>
    <x v="14"/>
    <x v="14"/>
    <x v="14"/>
    <x v="8"/>
    <x v="151"/>
    <x v="231"/>
    <x v="71"/>
    <x v="290"/>
    <x v="67"/>
    <x v="201"/>
    <x v="4"/>
  </r>
  <r>
    <x v="0"/>
    <x v="39"/>
    <x v="39"/>
    <x v="16"/>
    <x v="16"/>
    <x v="16"/>
    <x v="14"/>
    <x v="155"/>
    <x v="15"/>
    <x v="71"/>
    <x v="290"/>
    <x v="62"/>
    <x v="65"/>
    <x v="4"/>
  </r>
  <r>
    <x v="0"/>
    <x v="39"/>
    <x v="39"/>
    <x v="52"/>
    <x v="52"/>
    <x v="52"/>
    <x v="14"/>
    <x v="155"/>
    <x v="15"/>
    <x v="57"/>
    <x v="57"/>
    <x v="58"/>
    <x v="321"/>
    <x v="4"/>
  </r>
  <r>
    <x v="0"/>
    <x v="39"/>
    <x v="39"/>
    <x v="12"/>
    <x v="12"/>
    <x v="12"/>
    <x v="14"/>
    <x v="155"/>
    <x v="15"/>
    <x v="88"/>
    <x v="30"/>
    <x v="52"/>
    <x v="351"/>
    <x v="4"/>
  </r>
  <r>
    <x v="0"/>
    <x v="39"/>
    <x v="39"/>
    <x v="18"/>
    <x v="18"/>
    <x v="18"/>
    <x v="14"/>
    <x v="155"/>
    <x v="15"/>
    <x v="88"/>
    <x v="30"/>
    <x v="52"/>
    <x v="351"/>
    <x v="4"/>
  </r>
  <r>
    <x v="0"/>
    <x v="39"/>
    <x v="39"/>
    <x v="8"/>
    <x v="8"/>
    <x v="8"/>
    <x v="14"/>
    <x v="155"/>
    <x v="15"/>
    <x v="88"/>
    <x v="30"/>
    <x v="62"/>
    <x v="65"/>
    <x v="4"/>
  </r>
  <r>
    <x v="0"/>
    <x v="39"/>
    <x v="39"/>
    <x v="36"/>
    <x v="36"/>
    <x v="36"/>
    <x v="19"/>
    <x v="152"/>
    <x v="400"/>
    <x v="88"/>
    <x v="30"/>
    <x v="67"/>
    <x v="201"/>
    <x v="4"/>
  </r>
  <r>
    <x v="0"/>
    <x v="39"/>
    <x v="39"/>
    <x v="21"/>
    <x v="21"/>
    <x v="21"/>
    <x v="19"/>
    <x v="152"/>
    <x v="400"/>
    <x v="57"/>
    <x v="57"/>
    <x v="52"/>
    <x v="351"/>
    <x v="4"/>
  </r>
  <r>
    <x v="0"/>
    <x v="39"/>
    <x v="39"/>
    <x v="26"/>
    <x v="26"/>
    <x v="26"/>
    <x v="19"/>
    <x v="152"/>
    <x v="400"/>
    <x v="88"/>
    <x v="30"/>
    <x v="67"/>
    <x v="201"/>
    <x v="4"/>
  </r>
  <r>
    <x v="0"/>
    <x v="39"/>
    <x v="39"/>
    <x v="32"/>
    <x v="32"/>
    <x v="32"/>
    <x v="19"/>
    <x v="152"/>
    <x v="400"/>
    <x v="88"/>
    <x v="30"/>
    <x v="67"/>
    <x v="201"/>
    <x v="4"/>
  </r>
  <r>
    <x v="0"/>
    <x v="40"/>
    <x v="40"/>
    <x v="3"/>
    <x v="3"/>
    <x v="3"/>
    <x v="0"/>
    <x v="86"/>
    <x v="401"/>
    <x v="115"/>
    <x v="427"/>
    <x v="67"/>
    <x v="110"/>
    <x v="4"/>
  </r>
  <r>
    <x v="0"/>
    <x v="40"/>
    <x v="40"/>
    <x v="4"/>
    <x v="4"/>
    <x v="4"/>
    <x v="1"/>
    <x v="87"/>
    <x v="402"/>
    <x v="62"/>
    <x v="428"/>
    <x v="69"/>
    <x v="352"/>
    <x v="4"/>
  </r>
  <r>
    <x v="0"/>
    <x v="40"/>
    <x v="40"/>
    <x v="1"/>
    <x v="1"/>
    <x v="1"/>
    <x v="1"/>
    <x v="87"/>
    <x v="402"/>
    <x v="35"/>
    <x v="429"/>
    <x v="62"/>
    <x v="65"/>
    <x v="4"/>
  </r>
  <r>
    <x v="0"/>
    <x v="40"/>
    <x v="40"/>
    <x v="0"/>
    <x v="0"/>
    <x v="0"/>
    <x v="3"/>
    <x v="73"/>
    <x v="403"/>
    <x v="95"/>
    <x v="430"/>
    <x v="67"/>
    <x v="110"/>
    <x v="4"/>
  </r>
  <r>
    <x v="0"/>
    <x v="40"/>
    <x v="40"/>
    <x v="2"/>
    <x v="2"/>
    <x v="2"/>
    <x v="4"/>
    <x v="75"/>
    <x v="404"/>
    <x v="67"/>
    <x v="431"/>
    <x v="59"/>
    <x v="353"/>
    <x v="4"/>
  </r>
  <r>
    <x v="0"/>
    <x v="40"/>
    <x v="40"/>
    <x v="16"/>
    <x v="16"/>
    <x v="16"/>
    <x v="5"/>
    <x v="68"/>
    <x v="303"/>
    <x v="80"/>
    <x v="432"/>
    <x v="67"/>
    <x v="110"/>
    <x v="4"/>
  </r>
  <r>
    <x v="0"/>
    <x v="40"/>
    <x v="40"/>
    <x v="6"/>
    <x v="6"/>
    <x v="6"/>
    <x v="6"/>
    <x v="103"/>
    <x v="304"/>
    <x v="37"/>
    <x v="31"/>
    <x v="52"/>
    <x v="109"/>
    <x v="4"/>
  </r>
  <r>
    <x v="0"/>
    <x v="40"/>
    <x v="40"/>
    <x v="8"/>
    <x v="8"/>
    <x v="8"/>
    <x v="7"/>
    <x v="154"/>
    <x v="305"/>
    <x v="89"/>
    <x v="4"/>
    <x v="67"/>
    <x v="110"/>
    <x v="4"/>
  </r>
  <r>
    <x v="0"/>
    <x v="40"/>
    <x v="40"/>
    <x v="14"/>
    <x v="14"/>
    <x v="14"/>
    <x v="7"/>
    <x v="154"/>
    <x v="305"/>
    <x v="37"/>
    <x v="31"/>
    <x v="67"/>
    <x v="110"/>
    <x v="4"/>
  </r>
  <r>
    <x v="0"/>
    <x v="40"/>
    <x v="40"/>
    <x v="9"/>
    <x v="9"/>
    <x v="9"/>
    <x v="9"/>
    <x v="155"/>
    <x v="245"/>
    <x v="57"/>
    <x v="57"/>
    <x v="58"/>
    <x v="111"/>
    <x v="4"/>
  </r>
  <r>
    <x v="0"/>
    <x v="40"/>
    <x v="40"/>
    <x v="10"/>
    <x v="10"/>
    <x v="10"/>
    <x v="9"/>
    <x v="155"/>
    <x v="245"/>
    <x v="88"/>
    <x v="433"/>
    <x v="52"/>
    <x v="109"/>
    <x v="4"/>
  </r>
  <r>
    <x v="0"/>
    <x v="40"/>
    <x v="40"/>
    <x v="29"/>
    <x v="29"/>
    <x v="29"/>
    <x v="11"/>
    <x v="152"/>
    <x v="211"/>
    <x v="88"/>
    <x v="433"/>
    <x v="67"/>
    <x v="110"/>
    <x v="4"/>
  </r>
  <r>
    <x v="0"/>
    <x v="40"/>
    <x v="40"/>
    <x v="19"/>
    <x v="19"/>
    <x v="19"/>
    <x v="11"/>
    <x v="152"/>
    <x v="211"/>
    <x v="88"/>
    <x v="433"/>
    <x v="67"/>
    <x v="110"/>
    <x v="4"/>
  </r>
  <r>
    <x v="0"/>
    <x v="40"/>
    <x v="40"/>
    <x v="12"/>
    <x v="12"/>
    <x v="12"/>
    <x v="11"/>
    <x v="152"/>
    <x v="211"/>
    <x v="57"/>
    <x v="57"/>
    <x v="67"/>
    <x v="110"/>
    <x v="4"/>
  </r>
  <r>
    <x v="0"/>
    <x v="40"/>
    <x v="40"/>
    <x v="18"/>
    <x v="18"/>
    <x v="18"/>
    <x v="11"/>
    <x v="152"/>
    <x v="211"/>
    <x v="89"/>
    <x v="4"/>
    <x v="62"/>
    <x v="65"/>
    <x v="4"/>
  </r>
  <r>
    <x v="0"/>
    <x v="40"/>
    <x v="40"/>
    <x v="26"/>
    <x v="26"/>
    <x v="26"/>
    <x v="11"/>
    <x v="152"/>
    <x v="211"/>
    <x v="89"/>
    <x v="4"/>
    <x v="62"/>
    <x v="65"/>
    <x v="4"/>
  </r>
  <r>
    <x v="0"/>
    <x v="40"/>
    <x v="40"/>
    <x v="7"/>
    <x v="7"/>
    <x v="7"/>
    <x v="11"/>
    <x v="152"/>
    <x v="211"/>
    <x v="89"/>
    <x v="4"/>
    <x v="62"/>
    <x v="65"/>
    <x v="4"/>
  </r>
  <r>
    <x v="0"/>
    <x v="40"/>
    <x v="40"/>
    <x v="24"/>
    <x v="24"/>
    <x v="24"/>
    <x v="17"/>
    <x v="153"/>
    <x v="405"/>
    <x v="57"/>
    <x v="57"/>
    <x v="67"/>
    <x v="110"/>
    <x v="4"/>
  </r>
  <r>
    <x v="0"/>
    <x v="40"/>
    <x v="40"/>
    <x v="35"/>
    <x v="35"/>
    <x v="35"/>
    <x v="17"/>
    <x v="153"/>
    <x v="405"/>
    <x v="88"/>
    <x v="433"/>
    <x v="62"/>
    <x v="65"/>
    <x v="4"/>
  </r>
  <r>
    <x v="0"/>
    <x v="40"/>
    <x v="40"/>
    <x v="36"/>
    <x v="36"/>
    <x v="36"/>
    <x v="17"/>
    <x v="153"/>
    <x v="405"/>
    <x v="88"/>
    <x v="433"/>
    <x v="62"/>
    <x v="65"/>
    <x v="4"/>
  </r>
  <r>
    <x v="0"/>
    <x v="40"/>
    <x v="40"/>
    <x v="53"/>
    <x v="53"/>
    <x v="53"/>
    <x v="17"/>
    <x v="153"/>
    <x v="405"/>
    <x v="57"/>
    <x v="57"/>
    <x v="67"/>
    <x v="110"/>
    <x v="4"/>
  </r>
  <r>
    <x v="0"/>
    <x v="40"/>
    <x v="40"/>
    <x v="52"/>
    <x v="52"/>
    <x v="52"/>
    <x v="17"/>
    <x v="153"/>
    <x v="405"/>
    <x v="57"/>
    <x v="57"/>
    <x v="67"/>
    <x v="110"/>
    <x v="4"/>
  </r>
  <r>
    <x v="0"/>
    <x v="40"/>
    <x v="40"/>
    <x v="33"/>
    <x v="33"/>
    <x v="33"/>
    <x v="17"/>
    <x v="153"/>
    <x v="405"/>
    <x v="57"/>
    <x v="57"/>
    <x v="67"/>
    <x v="110"/>
    <x v="4"/>
  </r>
  <r>
    <x v="0"/>
    <x v="40"/>
    <x v="40"/>
    <x v="22"/>
    <x v="22"/>
    <x v="22"/>
    <x v="17"/>
    <x v="153"/>
    <x v="405"/>
    <x v="57"/>
    <x v="57"/>
    <x v="67"/>
    <x v="110"/>
    <x v="4"/>
  </r>
  <r>
    <x v="0"/>
    <x v="40"/>
    <x v="40"/>
    <x v="20"/>
    <x v="20"/>
    <x v="20"/>
    <x v="17"/>
    <x v="153"/>
    <x v="405"/>
    <x v="57"/>
    <x v="57"/>
    <x v="67"/>
    <x v="110"/>
    <x v="4"/>
  </r>
  <r>
    <x v="0"/>
    <x v="40"/>
    <x v="40"/>
    <x v="13"/>
    <x v="13"/>
    <x v="13"/>
    <x v="17"/>
    <x v="153"/>
    <x v="405"/>
    <x v="88"/>
    <x v="433"/>
    <x v="62"/>
    <x v="65"/>
    <x v="4"/>
  </r>
  <r>
    <x v="0"/>
    <x v="40"/>
    <x v="40"/>
    <x v="17"/>
    <x v="17"/>
    <x v="17"/>
    <x v="17"/>
    <x v="153"/>
    <x v="405"/>
    <x v="88"/>
    <x v="433"/>
    <x v="62"/>
    <x v="65"/>
    <x v="4"/>
  </r>
  <r>
    <x v="0"/>
    <x v="40"/>
    <x v="40"/>
    <x v="5"/>
    <x v="5"/>
    <x v="5"/>
    <x v="17"/>
    <x v="153"/>
    <x v="405"/>
    <x v="88"/>
    <x v="433"/>
    <x v="62"/>
    <x v="65"/>
    <x v="4"/>
  </r>
  <r>
    <x v="0"/>
    <x v="40"/>
    <x v="40"/>
    <x v="11"/>
    <x v="11"/>
    <x v="11"/>
    <x v="17"/>
    <x v="153"/>
    <x v="405"/>
    <x v="57"/>
    <x v="57"/>
    <x v="67"/>
    <x v="110"/>
    <x v="4"/>
  </r>
  <r>
    <x v="0"/>
    <x v="40"/>
    <x v="40"/>
    <x v="27"/>
    <x v="27"/>
    <x v="27"/>
    <x v="17"/>
    <x v="153"/>
    <x v="405"/>
    <x v="88"/>
    <x v="433"/>
    <x v="62"/>
    <x v="65"/>
    <x v="4"/>
  </r>
  <r>
    <x v="0"/>
    <x v="40"/>
    <x v="40"/>
    <x v="15"/>
    <x v="15"/>
    <x v="15"/>
    <x v="17"/>
    <x v="153"/>
    <x v="405"/>
    <x v="57"/>
    <x v="57"/>
    <x v="67"/>
    <x v="110"/>
    <x v="4"/>
  </r>
  <r>
    <x v="0"/>
    <x v="40"/>
    <x v="40"/>
    <x v="54"/>
    <x v="54"/>
    <x v="54"/>
    <x v="17"/>
    <x v="153"/>
    <x v="405"/>
    <x v="57"/>
    <x v="57"/>
    <x v="67"/>
    <x v="110"/>
    <x v="4"/>
  </r>
  <r>
    <x v="0"/>
    <x v="40"/>
    <x v="40"/>
    <x v="28"/>
    <x v="28"/>
    <x v="28"/>
    <x v="17"/>
    <x v="153"/>
    <x v="405"/>
    <x v="57"/>
    <x v="57"/>
    <x v="67"/>
    <x v="110"/>
    <x v="4"/>
  </r>
  <r>
    <x v="0"/>
    <x v="41"/>
    <x v="41"/>
    <x v="0"/>
    <x v="0"/>
    <x v="0"/>
    <x v="0"/>
    <x v="159"/>
    <x v="406"/>
    <x v="94"/>
    <x v="434"/>
    <x v="55"/>
    <x v="354"/>
    <x v="4"/>
  </r>
  <r>
    <x v="0"/>
    <x v="41"/>
    <x v="41"/>
    <x v="3"/>
    <x v="3"/>
    <x v="3"/>
    <x v="1"/>
    <x v="122"/>
    <x v="407"/>
    <x v="84"/>
    <x v="435"/>
    <x v="61"/>
    <x v="355"/>
    <x v="4"/>
  </r>
  <r>
    <x v="0"/>
    <x v="41"/>
    <x v="41"/>
    <x v="2"/>
    <x v="2"/>
    <x v="2"/>
    <x v="2"/>
    <x v="88"/>
    <x v="408"/>
    <x v="52"/>
    <x v="436"/>
    <x v="50"/>
    <x v="356"/>
    <x v="4"/>
  </r>
  <r>
    <x v="0"/>
    <x v="41"/>
    <x v="41"/>
    <x v="1"/>
    <x v="1"/>
    <x v="1"/>
    <x v="3"/>
    <x v="64"/>
    <x v="148"/>
    <x v="44"/>
    <x v="437"/>
    <x v="62"/>
    <x v="65"/>
    <x v="4"/>
  </r>
  <r>
    <x v="0"/>
    <x v="41"/>
    <x v="41"/>
    <x v="8"/>
    <x v="8"/>
    <x v="8"/>
    <x v="4"/>
    <x v="74"/>
    <x v="409"/>
    <x v="64"/>
    <x v="438"/>
    <x v="67"/>
    <x v="357"/>
    <x v="8"/>
  </r>
  <r>
    <x v="0"/>
    <x v="41"/>
    <x v="41"/>
    <x v="5"/>
    <x v="5"/>
    <x v="5"/>
    <x v="5"/>
    <x v="66"/>
    <x v="410"/>
    <x v="67"/>
    <x v="439"/>
    <x v="58"/>
    <x v="136"/>
    <x v="4"/>
  </r>
  <r>
    <x v="0"/>
    <x v="41"/>
    <x v="41"/>
    <x v="4"/>
    <x v="4"/>
    <x v="4"/>
    <x v="6"/>
    <x v="67"/>
    <x v="26"/>
    <x v="66"/>
    <x v="417"/>
    <x v="55"/>
    <x v="354"/>
    <x v="4"/>
  </r>
  <r>
    <x v="0"/>
    <x v="41"/>
    <x v="41"/>
    <x v="6"/>
    <x v="6"/>
    <x v="6"/>
    <x v="6"/>
    <x v="67"/>
    <x v="26"/>
    <x v="62"/>
    <x v="440"/>
    <x v="59"/>
    <x v="358"/>
    <x v="4"/>
  </r>
  <r>
    <x v="0"/>
    <x v="41"/>
    <x v="41"/>
    <x v="16"/>
    <x v="16"/>
    <x v="16"/>
    <x v="8"/>
    <x v="76"/>
    <x v="411"/>
    <x v="80"/>
    <x v="441"/>
    <x v="67"/>
    <x v="357"/>
    <x v="8"/>
  </r>
  <r>
    <x v="0"/>
    <x v="41"/>
    <x v="41"/>
    <x v="9"/>
    <x v="9"/>
    <x v="9"/>
    <x v="9"/>
    <x v="68"/>
    <x v="412"/>
    <x v="62"/>
    <x v="440"/>
    <x v="52"/>
    <x v="359"/>
    <x v="4"/>
  </r>
  <r>
    <x v="0"/>
    <x v="41"/>
    <x v="41"/>
    <x v="10"/>
    <x v="10"/>
    <x v="10"/>
    <x v="10"/>
    <x v="77"/>
    <x v="413"/>
    <x v="71"/>
    <x v="96"/>
    <x v="61"/>
    <x v="355"/>
    <x v="4"/>
  </r>
  <r>
    <x v="0"/>
    <x v="41"/>
    <x v="41"/>
    <x v="18"/>
    <x v="18"/>
    <x v="18"/>
    <x v="11"/>
    <x v="78"/>
    <x v="414"/>
    <x v="66"/>
    <x v="417"/>
    <x v="52"/>
    <x v="359"/>
    <x v="4"/>
  </r>
  <r>
    <x v="0"/>
    <x v="41"/>
    <x v="41"/>
    <x v="7"/>
    <x v="7"/>
    <x v="7"/>
    <x v="11"/>
    <x v="78"/>
    <x v="414"/>
    <x v="62"/>
    <x v="440"/>
    <x v="62"/>
    <x v="65"/>
    <x v="4"/>
  </r>
  <r>
    <x v="0"/>
    <x v="41"/>
    <x v="41"/>
    <x v="14"/>
    <x v="14"/>
    <x v="14"/>
    <x v="11"/>
    <x v="78"/>
    <x v="414"/>
    <x v="66"/>
    <x v="417"/>
    <x v="52"/>
    <x v="359"/>
    <x v="4"/>
  </r>
  <r>
    <x v="0"/>
    <x v="41"/>
    <x v="41"/>
    <x v="13"/>
    <x v="13"/>
    <x v="13"/>
    <x v="14"/>
    <x v="154"/>
    <x v="415"/>
    <x v="66"/>
    <x v="417"/>
    <x v="62"/>
    <x v="65"/>
    <x v="4"/>
  </r>
  <r>
    <x v="0"/>
    <x v="41"/>
    <x v="41"/>
    <x v="19"/>
    <x v="19"/>
    <x v="19"/>
    <x v="15"/>
    <x v="151"/>
    <x v="52"/>
    <x v="89"/>
    <x v="99"/>
    <x v="52"/>
    <x v="359"/>
    <x v="4"/>
  </r>
  <r>
    <x v="0"/>
    <x v="41"/>
    <x v="41"/>
    <x v="12"/>
    <x v="12"/>
    <x v="12"/>
    <x v="15"/>
    <x v="151"/>
    <x v="52"/>
    <x v="89"/>
    <x v="99"/>
    <x v="52"/>
    <x v="359"/>
    <x v="4"/>
  </r>
  <r>
    <x v="0"/>
    <x v="41"/>
    <x v="41"/>
    <x v="27"/>
    <x v="27"/>
    <x v="27"/>
    <x v="15"/>
    <x v="151"/>
    <x v="52"/>
    <x v="71"/>
    <x v="96"/>
    <x v="67"/>
    <x v="357"/>
    <x v="4"/>
  </r>
  <r>
    <x v="0"/>
    <x v="41"/>
    <x v="41"/>
    <x v="24"/>
    <x v="24"/>
    <x v="24"/>
    <x v="18"/>
    <x v="155"/>
    <x v="400"/>
    <x v="57"/>
    <x v="57"/>
    <x v="58"/>
    <x v="136"/>
    <x v="4"/>
  </r>
  <r>
    <x v="0"/>
    <x v="41"/>
    <x v="41"/>
    <x v="21"/>
    <x v="21"/>
    <x v="21"/>
    <x v="18"/>
    <x v="155"/>
    <x v="400"/>
    <x v="89"/>
    <x v="99"/>
    <x v="67"/>
    <x v="357"/>
    <x v="4"/>
  </r>
  <r>
    <x v="0"/>
    <x v="41"/>
    <x v="41"/>
    <x v="11"/>
    <x v="11"/>
    <x v="11"/>
    <x v="18"/>
    <x v="155"/>
    <x v="400"/>
    <x v="71"/>
    <x v="96"/>
    <x v="62"/>
    <x v="65"/>
    <x v="4"/>
  </r>
  <r>
    <x v="0"/>
    <x v="41"/>
    <x v="41"/>
    <x v="23"/>
    <x v="23"/>
    <x v="23"/>
    <x v="18"/>
    <x v="155"/>
    <x v="400"/>
    <x v="89"/>
    <x v="99"/>
    <x v="67"/>
    <x v="357"/>
    <x v="4"/>
  </r>
  <r>
    <x v="0"/>
    <x v="41"/>
    <x v="41"/>
    <x v="44"/>
    <x v="44"/>
    <x v="44"/>
    <x v="18"/>
    <x v="155"/>
    <x v="400"/>
    <x v="57"/>
    <x v="57"/>
    <x v="52"/>
    <x v="359"/>
    <x v="4"/>
  </r>
  <r>
    <x v="0"/>
    <x v="42"/>
    <x v="42"/>
    <x v="0"/>
    <x v="0"/>
    <x v="0"/>
    <x v="0"/>
    <x v="160"/>
    <x v="416"/>
    <x v="60"/>
    <x v="442"/>
    <x v="62"/>
    <x v="65"/>
    <x v="4"/>
  </r>
  <r>
    <x v="0"/>
    <x v="42"/>
    <x v="42"/>
    <x v="3"/>
    <x v="3"/>
    <x v="3"/>
    <x v="1"/>
    <x v="122"/>
    <x v="417"/>
    <x v="77"/>
    <x v="443"/>
    <x v="58"/>
    <x v="219"/>
    <x v="4"/>
  </r>
  <r>
    <x v="0"/>
    <x v="42"/>
    <x v="42"/>
    <x v="1"/>
    <x v="1"/>
    <x v="1"/>
    <x v="2"/>
    <x v="96"/>
    <x v="418"/>
    <x v="87"/>
    <x v="444"/>
    <x v="62"/>
    <x v="65"/>
    <x v="4"/>
  </r>
  <r>
    <x v="0"/>
    <x v="42"/>
    <x v="42"/>
    <x v="8"/>
    <x v="8"/>
    <x v="8"/>
    <x v="3"/>
    <x v="62"/>
    <x v="419"/>
    <x v="44"/>
    <x v="445"/>
    <x v="52"/>
    <x v="15"/>
    <x v="4"/>
  </r>
  <r>
    <x v="0"/>
    <x v="42"/>
    <x v="42"/>
    <x v="2"/>
    <x v="2"/>
    <x v="2"/>
    <x v="4"/>
    <x v="73"/>
    <x v="420"/>
    <x v="80"/>
    <x v="299"/>
    <x v="65"/>
    <x v="360"/>
    <x v="4"/>
  </r>
  <r>
    <x v="0"/>
    <x v="42"/>
    <x v="42"/>
    <x v="5"/>
    <x v="5"/>
    <x v="5"/>
    <x v="5"/>
    <x v="74"/>
    <x v="421"/>
    <x v="56"/>
    <x v="385"/>
    <x v="62"/>
    <x v="65"/>
    <x v="4"/>
  </r>
  <r>
    <x v="0"/>
    <x v="42"/>
    <x v="42"/>
    <x v="4"/>
    <x v="4"/>
    <x v="4"/>
    <x v="6"/>
    <x v="66"/>
    <x v="310"/>
    <x v="71"/>
    <x v="277"/>
    <x v="50"/>
    <x v="361"/>
    <x v="4"/>
  </r>
  <r>
    <x v="0"/>
    <x v="42"/>
    <x v="42"/>
    <x v="10"/>
    <x v="10"/>
    <x v="10"/>
    <x v="7"/>
    <x v="67"/>
    <x v="422"/>
    <x v="80"/>
    <x v="299"/>
    <x v="58"/>
    <x v="219"/>
    <x v="4"/>
  </r>
  <r>
    <x v="0"/>
    <x v="42"/>
    <x v="42"/>
    <x v="9"/>
    <x v="9"/>
    <x v="9"/>
    <x v="8"/>
    <x v="68"/>
    <x v="152"/>
    <x v="67"/>
    <x v="446"/>
    <x v="62"/>
    <x v="65"/>
    <x v="4"/>
  </r>
  <r>
    <x v="0"/>
    <x v="42"/>
    <x v="42"/>
    <x v="6"/>
    <x v="6"/>
    <x v="6"/>
    <x v="9"/>
    <x v="77"/>
    <x v="182"/>
    <x v="80"/>
    <x v="299"/>
    <x v="62"/>
    <x v="65"/>
    <x v="4"/>
  </r>
  <r>
    <x v="0"/>
    <x v="42"/>
    <x v="42"/>
    <x v="18"/>
    <x v="18"/>
    <x v="18"/>
    <x v="10"/>
    <x v="78"/>
    <x v="423"/>
    <x v="65"/>
    <x v="447"/>
    <x v="67"/>
    <x v="362"/>
    <x v="4"/>
  </r>
  <r>
    <x v="0"/>
    <x v="42"/>
    <x v="42"/>
    <x v="19"/>
    <x v="19"/>
    <x v="19"/>
    <x v="11"/>
    <x v="103"/>
    <x v="424"/>
    <x v="88"/>
    <x v="448"/>
    <x v="61"/>
    <x v="363"/>
    <x v="4"/>
  </r>
  <r>
    <x v="0"/>
    <x v="42"/>
    <x v="42"/>
    <x v="24"/>
    <x v="24"/>
    <x v="24"/>
    <x v="12"/>
    <x v="154"/>
    <x v="425"/>
    <x v="57"/>
    <x v="57"/>
    <x v="59"/>
    <x v="364"/>
    <x v="4"/>
  </r>
  <r>
    <x v="0"/>
    <x v="42"/>
    <x v="42"/>
    <x v="12"/>
    <x v="12"/>
    <x v="12"/>
    <x v="12"/>
    <x v="154"/>
    <x v="425"/>
    <x v="66"/>
    <x v="387"/>
    <x v="62"/>
    <x v="65"/>
    <x v="4"/>
  </r>
  <r>
    <x v="0"/>
    <x v="42"/>
    <x v="42"/>
    <x v="7"/>
    <x v="7"/>
    <x v="7"/>
    <x v="12"/>
    <x v="154"/>
    <x v="425"/>
    <x v="37"/>
    <x v="193"/>
    <x v="67"/>
    <x v="362"/>
    <x v="4"/>
  </r>
  <r>
    <x v="0"/>
    <x v="42"/>
    <x v="42"/>
    <x v="11"/>
    <x v="11"/>
    <x v="11"/>
    <x v="15"/>
    <x v="151"/>
    <x v="312"/>
    <x v="37"/>
    <x v="193"/>
    <x v="62"/>
    <x v="65"/>
    <x v="4"/>
  </r>
  <r>
    <x v="0"/>
    <x v="42"/>
    <x v="42"/>
    <x v="27"/>
    <x v="27"/>
    <x v="27"/>
    <x v="15"/>
    <x v="151"/>
    <x v="312"/>
    <x v="89"/>
    <x v="449"/>
    <x v="67"/>
    <x v="362"/>
    <x v="4"/>
  </r>
  <r>
    <x v="0"/>
    <x v="42"/>
    <x v="42"/>
    <x v="15"/>
    <x v="15"/>
    <x v="15"/>
    <x v="15"/>
    <x v="151"/>
    <x v="312"/>
    <x v="57"/>
    <x v="57"/>
    <x v="59"/>
    <x v="364"/>
    <x v="4"/>
  </r>
  <r>
    <x v="0"/>
    <x v="42"/>
    <x v="42"/>
    <x v="14"/>
    <x v="14"/>
    <x v="14"/>
    <x v="15"/>
    <x v="151"/>
    <x v="312"/>
    <x v="71"/>
    <x v="277"/>
    <x v="67"/>
    <x v="362"/>
    <x v="4"/>
  </r>
  <r>
    <x v="0"/>
    <x v="42"/>
    <x v="42"/>
    <x v="13"/>
    <x v="13"/>
    <x v="13"/>
    <x v="19"/>
    <x v="155"/>
    <x v="426"/>
    <x v="89"/>
    <x v="449"/>
    <x v="67"/>
    <x v="362"/>
    <x v="4"/>
  </r>
  <r>
    <x v="0"/>
    <x v="42"/>
    <x v="42"/>
    <x v="46"/>
    <x v="46"/>
    <x v="46"/>
    <x v="19"/>
    <x v="155"/>
    <x v="426"/>
    <x v="88"/>
    <x v="448"/>
    <x v="52"/>
    <x v="15"/>
    <x v="4"/>
  </r>
  <r>
    <x v="0"/>
    <x v="42"/>
    <x v="42"/>
    <x v="26"/>
    <x v="26"/>
    <x v="26"/>
    <x v="19"/>
    <x v="155"/>
    <x v="426"/>
    <x v="71"/>
    <x v="277"/>
    <x v="62"/>
    <x v="65"/>
    <x v="4"/>
  </r>
  <r>
    <x v="0"/>
    <x v="42"/>
    <x v="42"/>
    <x v="23"/>
    <x v="23"/>
    <x v="23"/>
    <x v="19"/>
    <x v="155"/>
    <x v="426"/>
    <x v="71"/>
    <x v="277"/>
    <x v="62"/>
    <x v="65"/>
    <x v="4"/>
  </r>
  <r>
    <x v="0"/>
    <x v="42"/>
    <x v="42"/>
    <x v="32"/>
    <x v="32"/>
    <x v="32"/>
    <x v="19"/>
    <x v="155"/>
    <x v="426"/>
    <x v="71"/>
    <x v="277"/>
    <x v="62"/>
    <x v="65"/>
    <x v="4"/>
  </r>
  <r>
    <x v="0"/>
    <x v="43"/>
    <x v="43"/>
    <x v="0"/>
    <x v="0"/>
    <x v="0"/>
    <x v="0"/>
    <x v="84"/>
    <x v="427"/>
    <x v="86"/>
    <x v="450"/>
    <x v="59"/>
    <x v="365"/>
    <x v="4"/>
  </r>
  <r>
    <x v="0"/>
    <x v="43"/>
    <x v="43"/>
    <x v="2"/>
    <x v="2"/>
    <x v="2"/>
    <x v="1"/>
    <x v="97"/>
    <x v="428"/>
    <x v="39"/>
    <x v="451"/>
    <x v="59"/>
    <x v="365"/>
    <x v="4"/>
  </r>
  <r>
    <x v="0"/>
    <x v="43"/>
    <x v="43"/>
    <x v="1"/>
    <x v="1"/>
    <x v="1"/>
    <x v="2"/>
    <x v="72"/>
    <x v="429"/>
    <x v="39"/>
    <x v="451"/>
    <x v="67"/>
    <x v="29"/>
    <x v="4"/>
  </r>
  <r>
    <x v="0"/>
    <x v="43"/>
    <x v="43"/>
    <x v="3"/>
    <x v="3"/>
    <x v="3"/>
    <x v="3"/>
    <x v="89"/>
    <x v="430"/>
    <x v="54"/>
    <x v="452"/>
    <x v="62"/>
    <x v="65"/>
    <x v="4"/>
  </r>
  <r>
    <x v="0"/>
    <x v="43"/>
    <x v="43"/>
    <x v="18"/>
    <x v="18"/>
    <x v="18"/>
    <x v="4"/>
    <x v="73"/>
    <x v="431"/>
    <x v="95"/>
    <x v="415"/>
    <x v="67"/>
    <x v="29"/>
    <x v="4"/>
  </r>
  <r>
    <x v="0"/>
    <x v="43"/>
    <x v="43"/>
    <x v="27"/>
    <x v="27"/>
    <x v="27"/>
    <x v="5"/>
    <x v="67"/>
    <x v="432"/>
    <x v="80"/>
    <x v="453"/>
    <x v="58"/>
    <x v="366"/>
    <x v="4"/>
  </r>
  <r>
    <x v="0"/>
    <x v="43"/>
    <x v="43"/>
    <x v="8"/>
    <x v="8"/>
    <x v="8"/>
    <x v="6"/>
    <x v="76"/>
    <x v="122"/>
    <x v="89"/>
    <x v="454"/>
    <x v="59"/>
    <x v="365"/>
    <x v="13"/>
  </r>
  <r>
    <x v="0"/>
    <x v="43"/>
    <x v="43"/>
    <x v="16"/>
    <x v="16"/>
    <x v="16"/>
    <x v="7"/>
    <x v="77"/>
    <x v="29"/>
    <x v="71"/>
    <x v="150"/>
    <x v="61"/>
    <x v="367"/>
    <x v="4"/>
  </r>
  <r>
    <x v="0"/>
    <x v="43"/>
    <x v="43"/>
    <x v="6"/>
    <x v="6"/>
    <x v="6"/>
    <x v="7"/>
    <x v="77"/>
    <x v="29"/>
    <x v="62"/>
    <x v="455"/>
    <x v="67"/>
    <x v="29"/>
    <x v="4"/>
  </r>
  <r>
    <x v="0"/>
    <x v="43"/>
    <x v="43"/>
    <x v="4"/>
    <x v="4"/>
    <x v="4"/>
    <x v="9"/>
    <x v="78"/>
    <x v="433"/>
    <x v="57"/>
    <x v="57"/>
    <x v="53"/>
    <x v="368"/>
    <x v="4"/>
  </r>
  <r>
    <x v="0"/>
    <x v="43"/>
    <x v="43"/>
    <x v="7"/>
    <x v="7"/>
    <x v="7"/>
    <x v="9"/>
    <x v="78"/>
    <x v="433"/>
    <x v="62"/>
    <x v="455"/>
    <x v="62"/>
    <x v="65"/>
    <x v="4"/>
  </r>
  <r>
    <x v="0"/>
    <x v="43"/>
    <x v="43"/>
    <x v="10"/>
    <x v="10"/>
    <x v="10"/>
    <x v="11"/>
    <x v="103"/>
    <x v="125"/>
    <x v="88"/>
    <x v="456"/>
    <x v="61"/>
    <x v="367"/>
    <x v="4"/>
  </r>
  <r>
    <x v="0"/>
    <x v="43"/>
    <x v="43"/>
    <x v="13"/>
    <x v="13"/>
    <x v="13"/>
    <x v="11"/>
    <x v="103"/>
    <x v="125"/>
    <x v="65"/>
    <x v="11"/>
    <x v="62"/>
    <x v="65"/>
    <x v="4"/>
  </r>
  <r>
    <x v="0"/>
    <x v="43"/>
    <x v="43"/>
    <x v="19"/>
    <x v="19"/>
    <x v="19"/>
    <x v="13"/>
    <x v="154"/>
    <x v="434"/>
    <x v="89"/>
    <x v="454"/>
    <x v="58"/>
    <x v="366"/>
    <x v="4"/>
  </r>
  <r>
    <x v="0"/>
    <x v="43"/>
    <x v="43"/>
    <x v="11"/>
    <x v="11"/>
    <x v="11"/>
    <x v="13"/>
    <x v="154"/>
    <x v="434"/>
    <x v="37"/>
    <x v="457"/>
    <x v="67"/>
    <x v="29"/>
    <x v="4"/>
  </r>
  <r>
    <x v="0"/>
    <x v="43"/>
    <x v="43"/>
    <x v="23"/>
    <x v="23"/>
    <x v="23"/>
    <x v="13"/>
    <x v="154"/>
    <x v="434"/>
    <x v="89"/>
    <x v="454"/>
    <x v="58"/>
    <x v="366"/>
    <x v="4"/>
  </r>
  <r>
    <x v="0"/>
    <x v="43"/>
    <x v="43"/>
    <x v="14"/>
    <x v="14"/>
    <x v="14"/>
    <x v="13"/>
    <x v="154"/>
    <x v="434"/>
    <x v="89"/>
    <x v="454"/>
    <x v="58"/>
    <x v="366"/>
    <x v="4"/>
  </r>
  <r>
    <x v="0"/>
    <x v="43"/>
    <x v="43"/>
    <x v="9"/>
    <x v="9"/>
    <x v="9"/>
    <x v="17"/>
    <x v="151"/>
    <x v="126"/>
    <x v="71"/>
    <x v="150"/>
    <x v="67"/>
    <x v="29"/>
    <x v="4"/>
  </r>
  <r>
    <x v="0"/>
    <x v="43"/>
    <x v="43"/>
    <x v="46"/>
    <x v="46"/>
    <x v="46"/>
    <x v="17"/>
    <x v="151"/>
    <x v="126"/>
    <x v="88"/>
    <x v="456"/>
    <x v="58"/>
    <x v="366"/>
    <x v="4"/>
  </r>
  <r>
    <x v="0"/>
    <x v="43"/>
    <x v="43"/>
    <x v="12"/>
    <x v="12"/>
    <x v="12"/>
    <x v="17"/>
    <x v="151"/>
    <x v="126"/>
    <x v="71"/>
    <x v="150"/>
    <x v="62"/>
    <x v="65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3"/>
    <x v="0"/>
  </r>
  <r>
    <x v="0"/>
    <x v="0"/>
    <x v="0"/>
    <x v="16"/>
    <x v="16"/>
    <x v="16"/>
    <x v="16"/>
    <x v="16"/>
    <x v="15"/>
    <x v="16"/>
    <x v="16"/>
    <x v="16"/>
    <x v="15"/>
    <x v="0"/>
  </r>
  <r>
    <x v="0"/>
    <x v="0"/>
    <x v="0"/>
    <x v="17"/>
    <x v="17"/>
    <x v="17"/>
    <x v="17"/>
    <x v="17"/>
    <x v="16"/>
    <x v="17"/>
    <x v="17"/>
    <x v="17"/>
    <x v="16"/>
    <x v="0"/>
  </r>
  <r>
    <x v="0"/>
    <x v="0"/>
    <x v="0"/>
    <x v="18"/>
    <x v="18"/>
    <x v="18"/>
    <x v="18"/>
    <x v="18"/>
    <x v="17"/>
    <x v="18"/>
    <x v="18"/>
    <x v="18"/>
    <x v="17"/>
    <x v="4"/>
  </r>
  <r>
    <x v="0"/>
    <x v="0"/>
    <x v="0"/>
    <x v="19"/>
    <x v="19"/>
    <x v="19"/>
    <x v="19"/>
    <x v="19"/>
    <x v="18"/>
    <x v="19"/>
    <x v="19"/>
    <x v="19"/>
    <x v="18"/>
    <x v="0"/>
  </r>
  <r>
    <x v="0"/>
    <x v="1"/>
    <x v="1"/>
    <x v="0"/>
    <x v="0"/>
    <x v="0"/>
    <x v="0"/>
    <x v="20"/>
    <x v="19"/>
    <x v="20"/>
    <x v="20"/>
    <x v="20"/>
    <x v="19"/>
    <x v="0"/>
  </r>
  <r>
    <x v="0"/>
    <x v="1"/>
    <x v="1"/>
    <x v="8"/>
    <x v="8"/>
    <x v="8"/>
    <x v="1"/>
    <x v="21"/>
    <x v="20"/>
    <x v="21"/>
    <x v="21"/>
    <x v="21"/>
    <x v="20"/>
    <x v="0"/>
  </r>
  <r>
    <x v="0"/>
    <x v="1"/>
    <x v="1"/>
    <x v="2"/>
    <x v="2"/>
    <x v="2"/>
    <x v="2"/>
    <x v="22"/>
    <x v="21"/>
    <x v="22"/>
    <x v="22"/>
    <x v="22"/>
    <x v="21"/>
    <x v="0"/>
  </r>
  <r>
    <x v="0"/>
    <x v="1"/>
    <x v="1"/>
    <x v="5"/>
    <x v="5"/>
    <x v="5"/>
    <x v="3"/>
    <x v="23"/>
    <x v="22"/>
    <x v="23"/>
    <x v="23"/>
    <x v="23"/>
    <x v="22"/>
    <x v="0"/>
  </r>
  <r>
    <x v="0"/>
    <x v="1"/>
    <x v="1"/>
    <x v="3"/>
    <x v="3"/>
    <x v="3"/>
    <x v="4"/>
    <x v="24"/>
    <x v="23"/>
    <x v="23"/>
    <x v="23"/>
    <x v="24"/>
    <x v="23"/>
    <x v="0"/>
  </r>
  <r>
    <x v="0"/>
    <x v="1"/>
    <x v="1"/>
    <x v="1"/>
    <x v="1"/>
    <x v="1"/>
    <x v="5"/>
    <x v="25"/>
    <x v="24"/>
    <x v="24"/>
    <x v="24"/>
    <x v="25"/>
    <x v="24"/>
    <x v="0"/>
  </r>
  <r>
    <x v="0"/>
    <x v="1"/>
    <x v="1"/>
    <x v="6"/>
    <x v="6"/>
    <x v="6"/>
    <x v="6"/>
    <x v="26"/>
    <x v="25"/>
    <x v="25"/>
    <x v="25"/>
    <x v="26"/>
    <x v="25"/>
    <x v="0"/>
  </r>
  <r>
    <x v="0"/>
    <x v="1"/>
    <x v="1"/>
    <x v="4"/>
    <x v="4"/>
    <x v="4"/>
    <x v="7"/>
    <x v="27"/>
    <x v="26"/>
    <x v="26"/>
    <x v="26"/>
    <x v="27"/>
    <x v="26"/>
    <x v="0"/>
  </r>
  <r>
    <x v="0"/>
    <x v="1"/>
    <x v="1"/>
    <x v="12"/>
    <x v="12"/>
    <x v="12"/>
    <x v="8"/>
    <x v="28"/>
    <x v="27"/>
    <x v="27"/>
    <x v="27"/>
    <x v="28"/>
    <x v="27"/>
    <x v="5"/>
  </r>
  <r>
    <x v="0"/>
    <x v="1"/>
    <x v="1"/>
    <x v="10"/>
    <x v="10"/>
    <x v="10"/>
    <x v="9"/>
    <x v="29"/>
    <x v="28"/>
    <x v="28"/>
    <x v="28"/>
    <x v="29"/>
    <x v="28"/>
    <x v="0"/>
  </r>
  <r>
    <x v="0"/>
    <x v="1"/>
    <x v="1"/>
    <x v="20"/>
    <x v="20"/>
    <x v="20"/>
    <x v="10"/>
    <x v="30"/>
    <x v="29"/>
    <x v="29"/>
    <x v="29"/>
    <x v="30"/>
    <x v="29"/>
    <x v="0"/>
  </r>
  <r>
    <x v="0"/>
    <x v="1"/>
    <x v="1"/>
    <x v="14"/>
    <x v="14"/>
    <x v="14"/>
    <x v="11"/>
    <x v="31"/>
    <x v="30"/>
    <x v="30"/>
    <x v="30"/>
    <x v="31"/>
    <x v="30"/>
    <x v="0"/>
  </r>
  <r>
    <x v="0"/>
    <x v="1"/>
    <x v="1"/>
    <x v="7"/>
    <x v="7"/>
    <x v="7"/>
    <x v="12"/>
    <x v="32"/>
    <x v="31"/>
    <x v="31"/>
    <x v="31"/>
    <x v="32"/>
    <x v="31"/>
    <x v="0"/>
  </r>
  <r>
    <x v="0"/>
    <x v="1"/>
    <x v="1"/>
    <x v="13"/>
    <x v="13"/>
    <x v="13"/>
    <x v="13"/>
    <x v="33"/>
    <x v="32"/>
    <x v="32"/>
    <x v="32"/>
    <x v="33"/>
    <x v="32"/>
    <x v="0"/>
  </r>
  <r>
    <x v="0"/>
    <x v="1"/>
    <x v="1"/>
    <x v="11"/>
    <x v="11"/>
    <x v="11"/>
    <x v="14"/>
    <x v="34"/>
    <x v="33"/>
    <x v="33"/>
    <x v="33"/>
    <x v="28"/>
    <x v="27"/>
    <x v="0"/>
  </r>
  <r>
    <x v="0"/>
    <x v="1"/>
    <x v="1"/>
    <x v="21"/>
    <x v="21"/>
    <x v="21"/>
    <x v="15"/>
    <x v="35"/>
    <x v="16"/>
    <x v="34"/>
    <x v="34"/>
    <x v="18"/>
    <x v="33"/>
    <x v="0"/>
  </r>
  <r>
    <x v="0"/>
    <x v="1"/>
    <x v="1"/>
    <x v="9"/>
    <x v="9"/>
    <x v="9"/>
    <x v="16"/>
    <x v="36"/>
    <x v="16"/>
    <x v="35"/>
    <x v="35"/>
    <x v="34"/>
    <x v="34"/>
    <x v="0"/>
  </r>
  <r>
    <x v="0"/>
    <x v="1"/>
    <x v="1"/>
    <x v="19"/>
    <x v="19"/>
    <x v="19"/>
    <x v="17"/>
    <x v="37"/>
    <x v="34"/>
    <x v="36"/>
    <x v="36"/>
    <x v="6"/>
    <x v="35"/>
    <x v="0"/>
  </r>
  <r>
    <x v="0"/>
    <x v="1"/>
    <x v="1"/>
    <x v="15"/>
    <x v="15"/>
    <x v="15"/>
    <x v="18"/>
    <x v="38"/>
    <x v="35"/>
    <x v="37"/>
    <x v="37"/>
    <x v="35"/>
    <x v="36"/>
    <x v="0"/>
  </r>
  <r>
    <x v="0"/>
    <x v="1"/>
    <x v="1"/>
    <x v="22"/>
    <x v="22"/>
    <x v="22"/>
    <x v="19"/>
    <x v="39"/>
    <x v="36"/>
    <x v="38"/>
    <x v="38"/>
    <x v="36"/>
    <x v="37"/>
    <x v="0"/>
  </r>
  <r>
    <x v="0"/>
    <x v="2"/>
    <x v="2"/>
    <x v="0"/>
    <x v="0"/>
    <x v="0"/>
    <x v="0"/>
    <x v="40"/>
    <x v="37"/>
    <x v="39"/>
    <x v="39"/>
    <x v="37"/>
    <x v="38"/>
    <x v="0"/>
  </r>
  <r>
    <x v="0"/>
    <x v="2"/>
    <x v="2"/>
    <x v="3"/>
    <x v="3"/>
    <x v="3"/>
    <x v="1"/>
    <x v="41"/>
    <x v="38"/>
    <x v="40"/>
    <x v="40"/>
    <x v="38"/>
    <x v="39"/>
    <x v="0"/>
  </r>
  <r>
    <x v="0"/>
    <x v="2"/>
    <x v="2"/>
    <x v="1"/>
    <x v="1"/>
    <x v="1"/>
    <x v="2"/>
    <x v="42"/>
    <x v="39"/>
    <x v="41"/>
    <x v="41"/>
    <x v="39"/>
    <x v="40"/>
    <x v="0"/>
  </r>
  <r>
    <x v="0"/>
    <x v="2"/>
    <x v="2"/>
    <x v="6"/>
    <x v="6"/>
    <x v="6"/>
    <x v="3"/>
    <x v="43"/>
    <x v="40"/>
    <x v="42"/>
    <x v="42"/>
    <x v="40"/>
    <x v="15"/>
    <x v="0"/>
  </r>
  <r>
    <x v="0"/>
    <x v="2"/>
    <x v="2"/>
    <x v="11"/>
    <x v="11"/>
    <x v="11"/>
    <x v="4"/>
    <x v="44"/>
    <x v="41"/>
    <x v="43"/>
    <x v="43"/>
    <x v="41"/>
    <x v="25"/>
    <x v="0"/>
  </r>
  <r>
    <x v="0"/>
    <x v="2"/>
    <x v="2"/>
    <x v="4"/>
    <x v="4"/>
    <x v="4"/>
    <x v="5"/>
    <x v="45"/>
    <x v="42"/>
    <x v="44"/>
    <x v="44"/>
    <x v="42"/>
    <x v="41"/>
    <x v="0"/>
  </r>
  <r>
    <x v="0"/>
    <x v="2"/>
    <x v="2"/>
    <x v="2"/>
    <x v="2"/>
    <x v="2"/>
    <x v="6"/>
    <x v="46"/>
    <x v="43"/>
    <x v="45"/>
    <x v="45"/>
    <x v="43"/>
    <x v="42"/>
    <x v="0"/>
  </r>
  <r>
    <x v="0"/>
    <x v="2"/>
    <x v="2"/>
    <x v="10"/>
    <x v="10"/>
    <x v="10"/>
    <x v="7"/>
    <x v="47"/>
    <x v="5"/>
    <x v="46"/>
    <x v="46"/>
    <x v="41"/>
    <x v="25"/>
    <x v="0"/>
  </r>
  <r>
    <x v="0"/>
    <x v="2"/>
    <x v="2"/>
    <x v="5"/>
    <x v="5"/>
    <x v="5"/>
    <x v="7"/>
    <x v="47"/>
    <x v="5"/>
    <x v="47"/>
    <x v="47"/>
    <x v="40"/>
    <x v="15"/>
    <x v="0"/>
  </r>
  <r>
    <x v="0"/>
    <x v="2"/>
    <x v="2"/>
    <x v="7"/>
    <x v="7"/>
    <x v="7"/>
    <x v="9"/>
    <x v="48"/>
    <x v="44"/>
    <x v="48"/>
    <x v="48"/>
    <x v="44"/>
    <x v="7"/>
    <x v="6"/>
  </r>
  <r>
    <x v="0"/>
    <x v="2"/>
    <x v="2"/>
    <x v="9"/>
    <x v="9"/>
    <x v="9"/>
    <x v="10"/>
    <x v="49"/>
    <x v="45"/>
    <x v="49"/>
    <x v="49"/>
    <x v="45"/>
    <x v="43"/>
    <x v="0"/>
  </r>
  <r>
    <x v="0"/>
    <x v="2"/>
    <x v="2"/>
    <x v="23"/>
    <x v="23"/>
    <x v="23"/>
    <x v="11"/>
    <x v="50"/>
    <x v="46"/>
    <x v="50"/>
    <x v="50"/>
    <x v="46"/>
    <x v="44"/>
    <x v="0"/>
  </r>
  <r>
    <x v="0"/>
    <x v="2"/>
    <x v="2"/>
    <x v="19"/>
    <x v="19"/>
    <x v="19"/>
    <x v="12"/>
    <x v="51"/>
    <x v="47"/>
    <x v="51"/>
    <x v="51"/>
    <x v="47"/>
    <x v="45"/>
    <x v="0"/>
  </r>
  <r>
    <x v="0"/>
    <x v="2"/>
    <x v="2"/>
    <x v="14"/>
    <x v="14"/>
    <x v="14"/>
    <x v="12"/>
    <x v="51"/>
    <x v="47"/>
    <x v="52"/>
    <x v="52"/>
    <x v="48"/>
    <x v="46"/>
    <x v="0"/>
  </r>
  <r>
    <x v="0"/>
    <x v="2"/>
    <x v="2"/>
    <x v="18"/>
    <x v="18"/>
    <x v="18"/>
    <x v="14"/>
    <x v="52"/>
    <x v="48"/>
    <x v="53"/>
    <x v="53"/>
    <x v="42"/>
    <x v="41"/>
    <x v="6"/>
  </r>
  <r>
    <x v="0"/>
    <x v="2"/>
    <x v="2"/>
    <x v="12"/>
    <x v="12"/>
    <x v="12"/>
    <x v="15"/>
    <x v="53"/>
    <x v="49"/>
    <x v="54"/>
    <x v="54"/>
    <x v="37"/>
    <x v="38"/>
    <x v="0"/>
  </r>
  <r>
    <x v="0"/>
    <x v="2"/>
    <x v="2"/>
    <x v="13"/>
    <x v="13"/>
    <x v="13"/>
    <x v="16"/>
    <x v="54"/>
    <x v="13"/>
    <x v="55"/>
    <x v="55"/>
    <x v="49"/>
    <x v="47"/>
    <x v="0"/>
  </r>
  <r>
    <x v="0"/>
    <x v="2"/>
    <x v="2"/>
    <x v="15"/>
    <x v="15"/>
    <x v="15"/>
    <x v="17"/>
    <x v="55"/>
    <x v="50"/>
    <x v="56"/>
    <x v="34"/>
    <x v="50"/>
    <x v="48"/>
    <x v="0"/>
  </r>
  <r>
    <x v="0"/>
    <x v="2"/>
    <x v="2"/>
    <x v="24"/>
    <x v="24"/>
    <x v="24"/>
    <x v="17"/>
    <x v="55"/>
    <x v="50"/>
    <x v="57"/>
    <x v="56"/>
    <x v="40"/>
    <x v="15"/>
    <x v="6"/>
  </r>
  <r>
    <x v="0"/>
    <x v="2"/>
    <x v="2"/>
    <x v="8"/>
    <x v="8"/>
    <x v="8"/>
    <x v="19"/>
    <x v="56"/>
    <x v="51"/>
    <x v="58"/>
    <x v="57"/>
    <x v="51"/>
    <x v="32"/>
    <x v="0"/>
  </r>
  <r>
    <x v="0"/>
    <x v="3"/>
    <x v="3"/>
    <x v="0"/>
    <x v="0"/>
    <x v="0"/>
    <x v="0"/>
    <x v="54"/>
    <x v="52"/>
    <x v="37"/>
    <x v="58"/>
    <x v="52"/>
    <x v="49"/>
    <x v="0"/>
  </r>
  <r>
    <x v="0"/>
    <x v="3"/>
    <x v="3"/>
    <x v="25"/>
    <x v="25"/>
    <x v="25"/>
    <x v="1"/>
    <x v="56"/>
    <x v="53"/>
    <x v="56"/>
    <x v="59"/>
    <x v="53"/>
    <x v="50"/>
    <x v="0"/>
  </r>
  <r>
    <x v="0"/>
    <x v="3"/>
    <x v="3"/>
    <x v="10"/>
    <x v="10"/>
    <x v="10"/>
    <x v="2"/>
    <x v="57"/>
    <x v="54"/>
    <x v="36"/>
    <x v="60"/>
    <x v="54"/>
    <x v="51"/>
    <x v="6"/>
  </r>
  <r>
    <x v="0"/>
    <x v="3"/>
    <x v="3"/>
    <x v="2"/>
    <x v="2"/>
    <x v="2"/>
    <x v="2"/>
    <x v="57"/>
    <x v="54"/>
    <x v="59"/>
    <x v="61"/>
    <x v="38"/>
    <x v="52"/>
    <x v="0"/>
  </r>
  <r>
    <x v="0"/>
    <x v="3"/>
    <x v="3"/>
    <x v="26"/>
    <x v="26"/>
    <x v="26"/>
    <x v="4"/>
    <x v="58"/>
    <x v="55"/>
    <x v="58"/>
    <x v="62"/>
    <x v="55"/>
    <x v="53"/>
    <x v="0"/>
  </r>
  <r>
    <x v="0"/>
    <x v="3"/>
    <x v="3"/>
    <x v="4"/>
    <x v="4"/>
    <x v="4"/>
    <x v="5"/>
    <x v="59"/>
    <x v="56"/>
    <x v="36"/>
    <x v="60"/>
    <x v="56"/>
    <x v="54"/>
    <x v="0"/>
  </r>
  <r>
    <x v="0"/>
    <x v="3"/>
    <x v="3"/>
    <x v="3"/>
    <x v="3"/>
    <x v="3"/>
    <x v="6"/>
    <x v="60"/>
    <x v="57"/>
    <x v="60"/>
    <x v="63"/>
    <x v="52"/>
    <x v="49"/>
    <x v="0"/>
  </r>
  <r>
    <x v="0"/>
    <x v="3"/>
    <x v="3"/>
    <x v="1"/>
    <x v="1"/>
    <x v="1"/>
    <x v="6"/>
    <x v="60"/>
    <x v="57"/>
    <x v="36"/>
    <x v="60"/>
    <x v="38"/>
    <x v="52"/>
    <x v="0"/>
  </r>
  <r>
    <x v="0"/>
    <x v="3"/>
    <x v="3"/>
    <x v="7"/>
    <x v="7"/>
    <x v="7"/>
    <x v="8"/>
    <x v="61"/>
    <x v="2"/>
    <x v="61"/>
    <x v="64"/>
    <x v="39"/>
    <x v="55"/>
    <x v="0"/>
  </r>
  <r>
    <x v="0"/>
    <x v="3"/>
    <x v="3"/>
    <x v="5"/>
    <x v="5"/>
    <x v="5"/>
    <x v="9"/>
    <x v="62"/>
    <x v="23"/>
    <x v="62"/>
    <x v="65"/>
    <x v="52"/>
    <x v="49"/>
    <x v="0"/>
  </r>
  <r>
    <x v="0"/>
    <x v="3"/>
    <x v="3"/>
    <x v="11"/>
    <x v="11"/>
    <x v="11"/>
    <x v="9"/>
    <x v="62"/>
    <x v="23"/>
    <x v="55"/>
    <x v="66"/>
    <x v="39"/>
    <x v="55"/>
    <x v="0"/>
  </r>
  <r>
    <x v="0"/>
    <x v="3"/>
    <x v="3"/>
    <x v="23"/>
    <x v="23"/>
    <x v="23"/>
    <x v="11"/>
    <x v="63"/>
    <x v="58"/>
    <x v="51"/>
    <x v="67"/>
    <x v="40"/>
    <x v="56"/>
    <x v="0"/>
  </r>
  <r>
    <x v="0"/>
    <x v="3"/>
    <x v="3"/>
    <x v="27"/>
    <x v="27"/>
    <x v="27"/>
    <x v="12"/>
    <x v="64"/>
    <x v="59"/>
    <x v="63"/>
    <x v="68"/>
    <x v="57"/>
    <x v="57"/>
    <x v="0"/>
  </r>
  <r>
    <x v="0"/>
    <x v="3"/>
    <x v="3"/>
    <x v="6"/>
    <x v="6"/>
    <x v="6"/>
    <x v="12"/>
    <x v="64"/>
    <x v="59"/>
    <x v="64"/>
    <x v="69"/>
    <x v="52"/>
    <x v="49"/>
    <x v="0"/>
  </r>
  <r>
    <x v="0"/>
    <x v="3"/>
    <x v="3"/>
    <x v="28"/>
    <x v="28"/>
    <x v="28"/>
    <x v="14"/>
    <x v="65"/>
    <x v="13"/>
    <x v="58"/>
    <x v="62"/>
    <x v="52"/>
    <x v="49"/>
    <x v="0"/>
  </r>
  <r>
    <x v="0"/>
    <x v="3"/>
    <x v="3"/>
    <x v="13"/>
    <x v="13"/>
    <x v="13"/>
    <x v="14"/>
    <x v="65"/>
    <x v="13"/>
    <x v="65"/>
    <x v="70"/>
    <x v="43"/>
    <x v="58"/>
    <x v="0"/>
  </r>
  <r>
    <x v="0"/>
    <x v="3"/>
    <x v="3"/>
    <x v="17"/>
    <x v="17"/>
    <x v="17"/>
    <x v="14"/>
    <x v="65"/>
    <x v="13"/>
    <x v="49"/>
    <x v="71"/>
    <x v="58"/>
    <x v="59"/>
    <x v="0"/>
  </r>
  <r>
    <x v="0"/>
    <x v="3"/>
    <x v="3"/>
    <x v="29"/>
    <x v="29"/>
    <x v="29"/>
    <x v="17"/>
    <x v="66"/>
    <x v="60"/>
    <x v="51"/>
    <x v="67"/>
    <x v="56"/>
    <x v="54"/>
    <x v="0"/>
  </r>
  <r>
    <x v="0"/>
    <x v="3"/>
    <x v="3"/>
    <x v="18"/>
    <x v="18"/>
    <x v="18"/>
    <x v="17"/>
    <x v="66"/>
    <x v="60"/>
    <x v="66"/>
    <x v="72"/>
    <x v="38"/>
    <x v="52"/>
    <x v="0"/>
  </r>
  <r>
    <x v="0"/>
    <x v="3"/>
    <x v="3"/>
    <x v="22"/>
    <x v="22"/>
    <x v="22"/>
    <x v="17"/>
    <x v="66"/>
    <x v="60"/>
    <x v="67"/>
    <x v="73"/>
    <x v="54"/>
    <x v="51"/>
    <x v="0"/>
  </r>
  <r>
    <x v="0"/>
    <x v="4"/>
    <x v="4"/>
    <x v="1"/>
    <x v="1"/>
    <x v="1"/>
    <x v="0"/>
    <x v="58"/>
    <x v="61"/>
    <x v="50"/>
    <x v="74"/>
    <x v="38"/>
    <x v="60"/>
    <x v="0"/>
  </r>
  <r>
    <x v="0"/>
    <x v="4"/>
    <x v="4"/>
    <x v="3"/>
    <x v="3"/>
    <x v="3"/>
    <x v="1"/>
    <x v="59"/>
    <x v="62"/>
    <x v="50"/>
    <x v="74"/>
    <x v="52"/>
    <x v="49"/>
    <x v="0"/>
  </r>
  <r>
    <x v="0"/>
    <x v="4"/>
    <x v="4"/>
    <x v="0"/>
    <x v="0"/>
    <x v="0"/>
    <x v="2"/>
    <x v="67"/>
    <x v="63"/>
    <x v="60"/>
    <x v="75"/>
    <x v="38"/>
    <x v="60"/>
    <x v="0"/>
  </r>
  <r>
    <x v="0"/>
    <x v="4"/>
    <x v="4"/>
    <x v="4"/>
    <x v="4"/>
    <x v="4"/>
    <x v="3"/>
    <x v="61"/>
    <x v="39"/>
    <x v="62"/>
    <x v="76"/>
    <x v="38"/>
    <x v="60"/>
    <x v="0"/>
  </r>
  <r>
    <x v="0"/>
    <x v="4"/>
    <x v="4"/>
    <x v="7"/>
    <x v="7"/>
    <x v="7"/>
    <x v="4"/>
    <x v="68"/>
    <x v="64"/>
    <x v="55"/>
    <x v="77"/>
    <x v="52"/>
    <x v="49"/>
    <x v="0"/>
  </r>
  <r>
    <x v="0"/>
    <x v="4"/>
    <x v="4"/>
    <x v="5"/>
    <x v="5"/>
    <x v="5"/>
    <x v="4"/>
    <x v="68"/>
    <x v="64"/>
    <x v="55"/>
    <x v="77"/>
    <x v="52"/>
    <x v="49"/>
    <x v="0"/>
  </r>
  <r>
    <x v="0"/>
    <x v="4"/>
    <x v="4"/>
    <x v="13"/>
    <x v="13"/>
    <x v="13"/>
    <x v="6"/>
    <x v="69"/>
    <x v="65"/>
    <x v="58"/>
    <x v="78"/>
    <x v="59"/>
    <x v="61"/>
    <x v="0"/>
  </r>
  <r>
    <x v="0"/>
    <x v="4"/>
    <x v="4"/>
    <x v="6"/>
    <x v="6"/>
    <x v="6"/>
    <x v="6"/>
    <x v="69"/>
    <x v="65"/>
    <x v="68"/>
    <x v="79"/>
    <x v="39"/>
    <x v="38"/>
    <x v="0"/>
  </r>
  <r>
    <x v="0"/>
    <x v="4"/>
    <x v="4"/>
    <x v="9"/>
    <x v="9"/>
    <x v="9"/>
    <x v="8"/>
    <x v="70"/>
    <x v="7"/>
    <x v="63"/>
    <x v="68"/>
    <x v="42"/>
    <x v="62"/>
    <x v="0"/>
  </r>
  <r>
    <x v="0"/>
    <x v="4"/>
    <x v="4"/>
    <x v="30"/>
    <x v="30"/>
    <x v="30"/>
    <x v="8"/>
    <x v="70"/>
    <x v="7"/>
    <x v="56"/>
    <x v="80"/>
    <x v="40"/>
    <x v="59"/>
    <x v="0"/>
  </r>
  <r>
    <x v="0"/>
    <x v="4"/>
    <x v="4"/>
    <x v="23"/>
    <x v="23"/>
    <x v="23"/>
    <x v="10"/>
    <x v="71"/>
    <x v="66"/>
    <x v="51"/>
    <x v="81"/>
    <x v="43"/>
    <x v="63"/>
    <x v="0"/>
  </r>
  <r>
    <x v="0"/>
    <x v="4"/>
    <x v="4"/>
    <x v="18"/>
    <x v="18"/>
    <x v="18"/>
    <x v="11"/>
    <x v="64"/>
    <x v="28"/>
    <x v="58"/>
    <x v="78"/>
    <x v="38"/>
    <x v="60"/>
    <x v="0"/>
  </r>
  <r>
    <x v="0"/>
    <x v="4"/>
    <x v="4"/>
    <x v="17"/>
    <x v="17"/>
    <x v="17"/>
    <x v="11"/>
    <x v="64"/>
    <x v="28"/>
    <x v="49"/>
    <x v="82"/>
    <x v="60"/>
    <x v="64"/>
    <x v="0"/>
  </r>
  <r>
    <x v="0"/>
    <x v="4"/>
    <x v="4"/>
    <x v="8"/>
    <x v="8"/>
    <x v="8"/>
    <x v="11"/>
    <x v="64"/>
    <x v="28"/>
    <x v="69"/>
    <x v="83"/>
    <x v="39"/>
    <x v="38"/>
    <x v="0"/>
  </r>
  <r>
    <x v="0"/>
    <x v="4"/>
    <x v="4"/>
    <x v="11"/>
    <x v="11"/>
    <x v="11"/>
    <x v="11"/>
    <x v="64"/>
    <x v="28"/>
    <x v="64"/>
    <x v="84"/>
    <x v="52"/>
    <x v="49"/>
    <x v="0"/>
  </r>
  <r>
    <x v="0"/>
    <x v="4"/>
    <x v="4"/>
    <x v="22"/>
    <x v="22"/>
    <x v="22"/>
    <x v="15"/>
    <x v="65"/>
    <x v="67"/>
    <x v="56"/>
    <x v="80"/>
    <x v="56"/>
    <x v="65"/>
    <x v="0"/>
  </r>
  <r>
    <x v="0"/>
    <x v="4"/>
    <x v="4"/>
    <x v="15"/>
    <x v="15"/>
    <x v="15"/>
    <x v="16"/>
    <x v="66"/>
    <x v="48"/>
    <x v="65"/>
    <x v="85"/>
    <x v="59"/>
    <x v="61"/>
    <x v="0"/>
  </r>
  <r>
    <x v="0"/>
    <x v="4"/>
    <x v="4"/>
    <x v="2"/>
    <x v="2"/>
    <x v="2"/>
    <x v="16"/>
    <x v="66"/>
    <x v="48"/>
    <x v="69"/>
    <x v="83"/>
    <x v="52"/>
    <x v="49"/>
    <x v="0"/>
  </r>
  <r>
    <x v="0"/>
    <x v="4"/>
    <x v="4"/>
    <x v="31"/>
    <x v="31"/>
    <x v="31"/>
    <x v="18"/>
    <x v="72"/>
    <x v="15"/>
    <x v="67"/>
    <x v="86"/>
    <x v="56"/>
    <x v="65"/>
    <x v="0"/>
  </r>
  <r>
    <x v="0"/>
    <x v="4"/>
    <x v="4"/>
    <x v="10"/>
    <x v="10"/>
    <x v="10"/>
    <x v="18"/>
    <x v="72"/>
    <x v="15"/>
    <x v="67"/>
    <x v="86"/>
    <x v="56"/>
    <x v="65"/>
    <x v="0"/>
  </r>
  <r>
    <x v="0"/>
    <x v="4"/>
    <x v="4"/>
    <x v="32"/>
    <x v="32"/>
    <x v="32"/>
    <x v="18"/>
    <x v="72"/>
    <x v="15"/>
    <x v="56"/>
    <x v="80"/>
    <x v="38"/>
    <x v="60"/>
    <x v="0"/>
  </r>
  <r>
    <x v="0"/>
    <x v="5"/>
    <x v="5"/>
    <x v="0"/>
    <x v="0"/>
    <x v="0"/>
    <x v="0"/>
    <x v="73"/>
    <x v="68"/>
    <x v="70"/>
    <x v="87"/>
    <x v="54"/>
    <x v="12"/>
    <x v="0"/>
  </r>
  <r>
    <x v="0"/>
    <x v="5"/>
    <x v="5"/>
    <x v="3"/>
    <x v="3"/>
    <x v="3"/>
    <x v="1"/>
    <x v="74"/>
    <x v="69"/>
    <x v="71"/>
    <x v="88"/>
    <x v="38"/>
    <x v="66"/>
    <x v="0"/>
  </r>
  <r>
    <x v="0"/>
    <x v="5"/>
    <x v="5"/>
    <x v="5"/>
    <x v="5"/>
    <x v="5"/>
    <x v="2"/>
    <x v="48"/>
    <x v="70"/>
    <x v="9"/>
    <x v="89"/>
    <x v="52"/>
    <x v="49"/>
    <x v="0"/>
  </r>
  <r>
    <x v="0"/>
    <x v="5"/>
    <x v="5"/>
    <x v="6"/>
    <x v="6"/>
    <x v="6"/>
    <x v="3"/>
    <x v="53"/>
    <x v="71"/>
    <x v="72"/>
    <x v="90"/>
    <x v="54"/>
    <x v="12"/>
    <x v="0"/>
  </r>
  <r>
    <x v="0"/>
    <x v="5"/>
    <x v="5"/>
    <x v="1"/>
    <x v="1"/>
    <x v="1"/>
    <x v="3"/>
    <x v="53"/>
    <x v="71"/>
    <x v="73"/>
    <x v="91"/>
    <x v="52"/>
    <x v="49"/>
    <x v="0"/>
  </r>
  <r>
    <x v="0"/>
    <x v="5"/>
    <x v="5"/>
    <x v="7"/>
    <x v="7"/>
    <x v="7"/>
    <x v="5"/>
    <x v="75"/>
    <x v="72"/>
    <x v="59"/>
    <x v="92"/>
    <x v="60"/>
    <x v="67"/>
    <x v="0"/>
  </r>
  <r>
    <x v="0"/>
    <x v="5"/>
    <x v="5"/>
    <x v="4"/>
    <x v="4"/>
    <x v="4"/>
    <x v="6"/>
    <x v="56"/>
    <x v="73"/>
    <x v="36"/>
    <x v="93"/>
    <x v="41"/>
    <x v="68"/>
    <x v="0"/>
  </r>
  <r>
    <x v="0"/>
    <x v="5"/>
    <x v="5"/>
    <x v="11"/>
    <x v="11"/>
    <x v="11"/>
    <x v="6"/>
    <x v="56"/>
    <x v="73"/>
    <x v="74"/>
    <x v="94"/>
    <x v="52"/>
    <x v="49"/>
    <x v="0"/>
  </r>
  <r>
    <x v="0"/>
    <x v="5"/>
    <x v="5"/>
    <x v="12"/>
    <x v="12"/>
    <x v="12"/>
    <x v="8"/>
    <x v="76"/>
    <x v="74"/>
    <x v="54"/>
    <x v="95"/>
    <x v="56"/>
    <x v="69"/>
    <x v="0"/>
  </r>
  <r>
    <x v="0"/>
    <x v="5"/>
    <x v="5"/>
    <x v="2"/>
    <x v="2"/>
    <x v="2"/>
    <x v="9"/>
    <x v="77"/>
    <x v="75"/>
    <x v="54"/>
    <x v="95"/>
    <x v="39"/>
    <x v="70"/>
    <x v="0"/>
  </r>
  <r>
    <x v="0"/>
    <x v="5"/>
    <x v="5"/>
    <x v="13"/>
    <x v="13"/>
    <x v="13"/>
    <x v="10"/>
    <x v="57"/>
    <x v="76"/>
    <x v="66"/>
    <x v="96"/>
    <x v="44"/>
    <x v="71"/>
    <x v="0"/>
  </r>
  <r>
    <x v="0"/>
    <x v="5"/>
    <x v="5"/>
    <x v="8"/>
    <x v="8"/>
    <x v="8"/>
    <x v="10"/>
    <x v="57"/>
    <x v="76"/>
    <x v="58"/>
    <x v="97"/>
    <x v="42"/>
    <x v="72"/>
    <x v="0"/>
  </r>
  <r>
    <x v="0"/>
    <x v="5"/>
    <x v="5"/>
    <x v="9"/>
    <x v="9"/>
    <x v="9"/>
    <x v="12"/>
    <x v="58"/>
    <x v="31"/>
    <x v="75"/>
    <x v="98"/>
    <x v="61"/>
    <x v="73"/>
    <x v="0"/>
  </r>
  <r>
    <x v="0"/>
    <x v="5"/>
    <x v="5"/>
    <x v="10"/>
    <x v="10"/>
    <x v="10"/>
    <x v="13"/>
    <x v="59"/>
    <x v="32"/>
    <x v="64"/>
    <x v="86"/>
    <x v="57"/>
    <x v="47"/>
    <x v="0"/>
  </r>
  <r>
    <x v="0"/>
    <x v="5"/>
    <x v="5"/>
    <x v="18"/>
    <x v="18"/>
    <x v="18"/>
    <x v="14"/>
    <x v="67"/>
    <x v="77"/>
    <x v="61"/>
    <x v="99"/>
    <x v="54"/>
    <x v="12"/>
    <x v="0"/>
  </r>
  <r>
    <x v="0"/>
    <x v="5"/>
    <x v="5"/>
    <x v="22"/>
    <x v="22"/>
    <x v="22"/>
    <x v="14"/>
    <x v="67"/>
    <x v="77"/>
    <x v="62"/>
    <x v="100"/>
    <x v="56"/>
    <x v="69"/>
    <x v="0"/>
  </r>
  <r>
    <x v="0"/>
    <x v="5"/>
    <x v="5"/>
    <x v="17"/>
    <x v="17"/>
    <x v="17"/>
    <x v="16"/>
    <x v="60"/>
    <x v="78"/>
    <x v="49"/>
    <x v="9"/>
    <x v="48"/>
    <x v="74"/>
    <x v="0"/>
  </r>
  <r>
    <x v="0"/>
    <x v="5"/>
    <x v="5"/>
    <x v="33"/>
    <x v="33"/>
    <x v="33"/>
    <x v="17"/>
    <x v="62"/>
    <x v="79"/>
    <x v="58"/>
    <x v="97"/>
    <x v="58"/>
    <x v="75"/>
    <x v="0"/>
  </r>
  <r>
    <x v="0"/>
    <x v="5"/>
    <x v="5"/>
    <x v="20"/>
    <x v="20"/>
    <x v="20"/>
    <x v="17"/>
    <x v="62"/>
    <x v="79"/>
    <x v="76"/>
    <x v="101"/>
    <x v="54"/>
    <x v="12"/>
    <x v="0"/>
  </r>
  <r>
    <x v="0"/>
    <x v="5"/>
    <x v="5"/>
    <x v="15"/>
    <x v="15"/>
    <x v="15"/>
    <x v="19"/>
    <x v="68"/>
    <x v="80"/>
    <x v="77"/>
    <x v="102"/>
    <x v="55"/>
    <x v="76"/>
    <x v="0"/>
  </r>
  <r>
    <x v="0"/>
    <x v="6"/>
    <x v="6"/>
    <x v="0"/>
    <x v="0"/>
    <x v="0"/>
    <x v="0"/>
    <x v="78"/>
    <x v="81"/>
    <x v="78"/>
    <x v="103"/>
    <x v="54"/>
    <x v="77"/>
    <x v="0"/>
  </r>
  <r>
    <x v="0"/>
    <x v="6"/>
    <x v="6"/>
    <x v="7"/>
    <x v="7"/>
    <x v="7"/>
    <x v="1"/>
    <x v="79"/>
    <x v="82"/>
    <x v="72"/>
    <x v="104"/>
    <x v="62"/>
    <x v="78"/>
    <x v="0"/>
  </r>
  <r>
    <x v="0"/>
    <x v="6"/>
    <x v="6"/>
    <x v="2"/>
    <x v="2"/>
    <x v="2"/>
    <x v="2"/>
    <x v="80"/>
    <x v="55"/>
    <x v="79"/>
    <x v="105"/>
    <x v="59"/>
    <x v="79"/>
    <x v="0"/>
  </r>
  <r>
    <x v="0"/>
    <x v="6"/>
    <x v="6"/>
    <x v="1"/>
    <x v="1"/>
    <x v="1"/>
    <x v="3"/>
    <x v="52"/>
    <x v="83"/>
    <x v="80"/>
    <x v="106"/>
    <x v="52"/>
    <x v="49"/>
    <x v="0"/>
  </r>
  <r>
    <x v="0"/>
    <x v="6"/>
    <x v="6"/>
    <x v="4"/>
    <x v="4"/>
    <x v="4"/>
    <x v="4"/>
    <x v="55"/>
    <x v="84"/>
    <x v="81"/>
    <x v="107"/>
    <x v="60"/>
    <x v="26"/>
    <x v="0"/>
  </r>
  <r>
    <x v="0"/>
    <x v="6"/>
    <x v="6"/>
    <x v="3"/>
    <x v="3"/>
    <x v="3"/>
    <x v="5"/>
    <x v="81"/>
    <x v="85"/>
    <x v="82"/>
    <x v="108"/>
    <x v="38"/>
    <x v="80"/>
    <x v="0"/>
  </r>
  <r>
    <x v="0"/>
    <x v="6"/>
    <x v="6"/>
    <x v="5"/>
    <x v="5"/>
    <x v="5"/>
    <x v="6"/>
    <x v="75"/>
    <x v="86"/>
    <x v="83"/>
    <x v="109"/>
    <x v="39"/>
    <x v="81"/>
    <x v="0"/>
  </r>
  <r>
    <x v="0"/>
    <x v="6"/>
    <x v="6"/>
    <x v="17"/>
    <x v="17"/>
    <x v="17"/>
    <x v="7"/>
    <x v="77"/>
    <x v="87"/>
    <x v="66"/>
    <x v="110"/>
    <x v="51"/>
    <x v="82"/>
    <x v="0"/>
  </r>
  <r>
    <x v="0"/>
    <x v="6"/>
    <x v="6"/>
    <x v="12"/>
    <x v="12"/>
    <x v="12"/>
    <x v="8"/>
    <x v="82"/>
    <x v="88"/>
    <x v="81"/>
    <x v="107"/>
    <x v="56"/>
    <x v="83"/>
    <x v="0"/>
  </r>
  <r>
    <x v="0"/>
    <x v="6"/>
    <x v="6"/>
    <x v="11"/>
    <x v="11"/>
    <x v="11"/>
    <x v="8"/>
    <x v="82"/>
    <x v="88"/>
    <x v="54"/>
    <x v="111"/>
    <x v="38"/>
    <x v="80"/>
    <x v="0"/>
  </r>
  <r>
    <x v="0"/>
    <x v="6"/>
    <x v="6"/>
    <x v="6"/>
    <x v="6"/>
    <x v="6"/>
    <x v="10"/>
    <x v="83"/>
    <x v="89"/>
    <x v="59"/>
    <x v="112"/>
    <x v="56"/>
    <x v="83"/>
    <x v="0"/>
  </r>
  <r>
    <x v="0"/>
    <x v="6"/>
    <x v="6"/>
    <x v="15"/>
    <x v="15"/>
    <x v="15"/>
    <x v="11"/>
    <x v="84"/>
    <x v="90"/>
    <x v="35"/>
    <x v="113"/>
    <x v="55"/>
    <x v="84"/>
    <x v="0"/>
  </r>
  <r>
    <x v="0"/>
    <x v="6"/>
    <x v="6"/>
    <x v="10"/>
    <x v="10"/>
    <x v="10"/>
    <x v="11"/>
    <x v="84"/>
    <x v="90"/>
    <x v="84"/>
    <x v="114"/>
    <x v="37"/>
    <x v="85"/>
    <x v="0"/>
  </r>
  <r>
    <x v="0"/>
    <x v="6"/>
    <x v="6"/>
    <x v="18"/>
    <x v="18"/>
    <x v="18"/>
    <x v="13"/>
    <x v="59"/>
    <x v="91"/>
    <x v="76"/>
    <x v="115"/>
    <x v="40"/>
    <x v="10"/>
    <x v="6"/>
  </r>
  <r>
    <x v="0"/>
    <x v="6"/>
    <x v="6"/>
    <x v="16"/>
    <x v="16"/>
    <x v="16"/>
    <x v="14"/>
    <x v="60"/>
    <x v="92"/>
    <x v="55"/>
    <x v="116"/>
    <x v="54"/>
    <x v="77"/>
    <x v="0"/>
  </r>
  <r>
    <x v="0"/>
    <x v="6"/>
    <x v="6"/>
    <x v="34"/>
    <x v="34"/>
    <x v="34"/>
    <x v="14"/>
    <x v="60"/>
    <x v="92"/>
    <x v="84"/>
    <x v="114"/>
    <x v="59"/>
    <x v="79"/>
    <x v="0"/>
  </r>
  <r>
    <x v="0"/>
    <x v="6"/>
    <x v="6"/>
    <x v="9"/>
    <x v="9"/>
    <x v="9"/>
    <x v="16"/>
    <x v="61"/>
    <x v="93"/>
    <x v="65"/>
    <x v="34"/>
    <x v="63"/>
    <x v="86"/>
    <x v="0"/>
  </r>
  <r>
    <x v="0"/>
    <x v="6"/>
    <x v="6"/>
    <x v="19"/>
    <x v="19"/>
    <x v="19"/>
    <x v="16"/>
    <x v="61"/>
    <x v="93"/>
    <x v="65"/>
    <x v="34"/>
    <x v="63"/>
    <x v="86"/>
    <x v="0"/>
  </r>
  <r>
    <x v="0"/>
    <x v="6"/>
    <x v="6"/>
    <x v="8"/>
    <x v="8"/>
    <x v="8"/>
    <x v="16"/>
    <x v="61"/>
    <x v="93"/>
    <x v="64"/>
    <x v="117"/>
    <x v="58"/>
    <x v="46"/>
    <x v="0"/>
  </r>
  <r>
    <x v="0"/>
    <x v="6"/>
    <x v="6"/>
    <x v="30"/>
    <x v="30"/>
    <x v="30"/>
    <x v="19"/>
    <x v="62"/>
    <x v="94"/>
    <x v="66"/>
    <x v="110"/>
    <x v="37"/>
    <x v="85"/>
    <x v="0"/>
  </r>
  <r>
    <x v="0"/>
    <x v="7"/>
    <x v="7"/>
    <x v="0"/>
    <x v="0"/>
    <x v="0"/>
    <x v="0"/>
    <x v="51"/>
    <x v="95"/>
    <x v="48"/>
    <x v="118"/>
    <x v="52"/>
    <x v="49"/>
    <x v="0"/>
  </r>
  <r>
    <x v="0"/>
    <x v="7"/>
    <x v="7"/>
    <x v="2"/>
    <x v="2"/>
    <x v="2"/>
    <x v="1"/>
    <x v="84"/>
    <x v="96"/>
    <x v="50"/>
    <x v="119"/>
    <x v="56"/>
    <x v="87"/>
    <x v="0"/>
  </r>
  <r>
    <x v="0"/>
    <x v="7"/>
    <x v="7"/>
    <x v="3"/>
    <x v="3"/>
    <x v="3"/>
    <x v="2"/>
    <x v="67"/>
    <x v="82"/>
    <x v="52"/>
    <x v="120"/>
    <x v="52"/>
    <x v="49"/>
    <x v="0"/>
  </r>
  <r>
    <x v="0"/>
    <x v="7"/>
    <x v="7"/>
    <x v="1"/>
    <x v="1"/>
    <x v="1"/>
    <x v="3"/>
    <x v="61"/>
    <x v="97"/>
    <x v="36"/>
    <x v="121"/>
    <x v="52"/>
    <x v="49"/>
    <x v="0"/>
  </r>
  <r>
    <x v="0"/>
    <x v="7"/>
    <x v="7"/>
    <x v="34"/>
    <x v="34"/>
    <x v="34"/>
    <x v="4"/>
    <x v="85"/>
    <x v="98"/>
    <x v="76"/>
    <x v="122"/>
    <x v="56"/>
    <x v="87"/>
    <x v="0"/>
  </r>
  <r>
    <x v="0"/>
    <x v="7"/>
    <x v="7"/>
    <x v="7"/>
    <x v="7"/>
    <x v="7"/>
    <x v="5"/>
    <x v="69"/>
    <x v="64"/>
    <x v="58"/>
    <x v="123"/>
    <x v="59"/>
    <x v="88"/>
    <x v="0"/>
  </r>
  <r>
    <x v="0"/>
    <x v="7"/>
    <x v="7"/>
    <x v="4"/>
    <x v="4"/>
    <x v="4"/>
    <x v="5"/>
    <x v="69"/>
    <x v="64"/>
    <x v="64"/>
    <x v="124"/>
    <x v="54"/>
    <x v="89"/>
    <x v="0"/>
  </r>
  <r>
    <x v="0"/>
    <x v="7"/>
    <x v="7"/>
    <x v="17"/>
    <x v="17"/>
    <x v="17"/>
    <x v="7"/>
    <x v="70"/>
    <x v="99"/>
    <x v="51"/>
    <x v="125"/>
    <x v="58"/>
    <x v="90"/>
    <x v="0"/>
  </r>
  <r>
    <x v="0"/>
    <x v="7"/>
    <x v="7"/>
    <x v="9"/>
    <x v="9"/>
    <x v="9"/>
    <x v="8"/>
    <x v="71"/>
    <x v="100"/>
    <x v="63"/>
    <x v="68"/>
    <x v="41"/>
    <x v="91"/>
    <x v="0"/>
  </r>
  <r>
    <x v="0"/>
    <x v="7"/>
    <x v="7"/>
    <x v="10"/>
    <x v="10"/>
    <x v="10"/>
    <x v="8"/>
    <x v="71"/>
    <x v="100"/>
    <x v="58"/>
    <x v="123"/>
    <x v="39"/>
    <x v="92"/>
    <x v="0"/>
  </r>
  <r>
    <x v="0"/>
    <x v="7"/>
    <x v="7"/>
    <x v="11"/>
    <x v="11"/>
    <x v="11"/>
    <x v="10"/>
    <x v="64"/>
    <x v="27"/>
    <x v="69"/>
    <x v="126"/>
    <x v="39"/>
    <x v="92"/>
    <x v="0"/>
  </r>
  <r>
    <x v="0"/>
    <x v="7"/>
    <x v="7"/>
    <x v="18"/>
    <x v="18"/>
    <x v="18"/>
    <x v="11"/>
    <x v="65"/>
    <x v="101"/>
    <x v="67"/>
    <x v="38"/>
    <x v="59"/>
    <x v="88"/>
    <x v="0"/>
  </r>
  <r>
    <x v="0"/>
    <x v="7"/>
    <x v="7"/>
    <x v="6"/>
    <x v="6"/>
    <x v="6"/>
    <x v="11"/>
    <x v="65"/>
    <x v="101"/>
    <x v="58"/>
    <x v="123"/>
    <x v="52"/>
    <x v="49"/>
    <x v="0"/>
  </r>
  <r>
    <x v="0"/>
    <x v="7"/>
    <x v="7"/>
    <x v="5"/>
    <x v="5"/>
    <x v="5"/>
    <x v="11"/>
    <x v="65"/>
    <x v="101"/>
    <x v="58"/>
    <x v="123"/>
    <x v="52"/>
    <x v="49"/>
    <x v="0"/>
  </r>
  <r>
    <x v="0"/>
    <x v="7"/>
    <x v="7"/>
    <x v="23"/>
    <x v="23"/>
    <x v="23"/>
    <x v="14"/>
    <x v="66"/>
    <x v="31"/>
    <x v="67"/>
    <x v="38"/>
    <x v="54"/>
    <x v="89"/>
    <x v="0"/>
  </r>
  <r>
    <x v="0"/>
    <x v="7"/>
    <x v="7"/>
    <x v="14"/>
    <x v="14"/>
    <x v="14"/>
    <x v="14"/>
    <x v="66"/>
    <x v="31"/>
    <x v="49"/>
    <x v="127"/>
    <x v="40"/>
    <x v="93"/>
    <x v="0"/>
  </r>
  <r>
    <x v="0"/>
    <x v="7"/>
    <x v="7"/>
    <x v="15"/>
    <x v="15"/>
    <x v="15"/>
    <x v="16"/>
    <x v="86"/>
    <x v="79"/>
    <x v="77"/>
    <x v="128"/>
    <x v="54"/>
    <x v="89"/>
    <x v="0"/>
  </r>
  <r>
    <x v="0"/>
    <x v="7"/>
    <x v="7"/>
    <x v="35"/>
    <x v="35"/>
    <x v="35"/>
    <x v="16"/>
    <x v="86"/>
    <x v="79"/>
    <x v="67"/>
    <x v="38"/>
    <x v="39"/>
    <x v="92"/>
    <x v="0"/>
  </r>
  <r>
    <x v="0"/>
    <x v="7"/>
    <x v="7"/>
    <x v="36"/>
    <x v="36"/>
    <x v="36"/>
    <x v="16"/>
    <x v="86"/>
    <x v="79"/>
    <x v="67"/>
    <x v="38"/>
    <x v="39"/>
    <x v="92"/>
    <x v="0"/>
  </r>
  <r>
    <x v="0"/>
    <x v="7"/>
    <x v="7"/>
    <x v="12"/>
    <x v="12"/>
    <x v="12"/>
    <x v="16"/>
    <x v="86"/>
    <x v="79"/>
    <x v="67"/>
    <x v="38"/>
    <x v="39"/>
    <x v="92"/>
    <x v="0"/>
  </r>
  <r>
    <x v="0"/>
    <x v="8"/>
    <x v="8"/>
    <x v="0"/>
    <x v="0"/>
    <x v="0"/>
    <x v="0"/>
    <x v="60"/>
    <x v="19"/>
    <x v="36"/>
    <x v="129"/>
    <x v="38"/>
    <x v="94"/>
    <x v="0"/>
  </r>
  <r>
    <x v="0"/>
    <x v="8"/>
    <x v="8"/>
    <x v="7"/>
    <x v="7"/>
    <x v="7"/>
    <x v="1"/>
    <x v="85"/>
    <x v="102"/>
    <x v="64"/>
    <x v="130"/>
    <x v="43"/>
    <x v="95"/>
    <x v="0"/>
  </r>
  <r>
    <x v="0"/>
    <x v="8"/>
    <x v="8"/>
    <x v="1"/>
    <x v="1"/>
    <x v="1"/>
    <x v="2"/>
    <x v="68"/>
    <x v="103"/>
    <x v="84"/>
    <x v="131"/>
    <x v="38"/>
    <x v="94"/>
    <x v="0"/>
  </r>
  <r>
    <x v="0"/>
    <x v="8"/>
    <x v="8"/>
    <x v="9"/>
    <x v="9"/>
    <x v="9"/>
    <x v="3"/>
    <x v="69"/>
    <x v="104"/>
    <x v="49"/>
    <x v="128"/>
    <x v="55"/>
    <x v="96"/>
    <x v="0"/>
  </r>
  <r>
    <x v="0"/>
    <x v="8"/>
    <x v="8"/>
    <x v="17"/>
    <x v="17"/>
    <x v="17"/>
    <x v="3"/>
    <x v="69"/>
    <x v="104"/>
    <x v="67"/>
    <x v="100"/>
    <x v="37"/>
    <x v="97"/>
    <x v="0"/>
  </r>
  <r>
    <x v="0"/>
    <x v="8"/>
    <x v="8"/>
    <x v="16"/>
    <x v="16"/>
    <x v="16"/>
    <x v="5"/>
    <x v="70"/>
    <x v="105"/>
    <x v="68"/>
    <x v="132"/>
    <x v="38"/>
    <x v="94"/>
    <x v="0"/>
  </r>
  <r>
    <x v="0"/>
    <x v="8"/>
    <x v="8"/>
    <x v="18"/>
    <x v="18"/>
    <x v="18"/>
    <x v="6"/>
    <x v="63"/>
    <x v="106"/>
    <x v="68"/>
    <x v="132"/>
    <x v="52"/>
    <x v="49"/>
    <x v="0"/>
  </r>
  <r>
    <x v="0"/>
    <x v="8"/>
    <x v="8"/>
    <x v="30"/>
    <x v="30"/>
    <x v="30"/>
    <x v="7"/>
    <x v="71"/>
    <x v="107"/>
    <x v="77"/>
    <x v="133"/>
    <x v="60"/>
    <x v="98"/>
    <x v="0"/>
  </r>
  <r>
    <x v="0"/>
    <x v="8"/>
    <x v="8"/>
    <x v="5"/>
    <x v="5"/>
    <x v="5"/>
    <x v="7"/>
    <x v="71"/>
    <x v="107"/>
    <x v="58"/>
    <x v="134"/>
    <x v="39"/>
    <x v="54"/>
    <x v="0"/>
  </r>
  <r>
    <x v="0"/>
    <x v="8"/>
    <x v="8"/>
    <x v="37"/>
    <x v="37"/>
    <x v="37"/>
    <x v="9"/>
    <x v="65"/>
    <x v="25"/>
    <x v="63"/>
    <x v="68"/>
    <x v="52"/>
    <x v="49"/>
    <x v="0"/>
  </r>
  <r>
    <x v="0"/>
    <x v="8"/>
    <x v="8"/>
    <x v="6"/>
    <x v="6"/>
    <x v="6"/>
    <x v="10"/>
    <x v="66"/>
    <x v="108"/>
    <x v="56"/>
    <x v="135"/>
    <x v="39"/>
    <x v="54"/>
    <x v="0"/>
  </r>
  <r>
    <x v="0"/>
    <x v="8"/>
    <x v="8"/>
    <x v="2"/>
    <x v="2"/>
    <x v="2"/>
    <x v="10"/>
    <x v="66"/>
    <x v="108"/>
    <x v="69"/>
    <x v="136"/>
    <x v="52"/>
    <x v="49"/>
    <x v="0"/>
  </r>
  <r>
    <x v="0"/>
    <x v="8"/>
    <x v="8"/>
    <x v="23"/>
    <x v="23"/>
    <x v="23"/>
    <x v="12"/>
    <x v="72"/>
    <x v="89"/>
    <x v="67"/>
    <x v="100"/>
    <x v="56"/>
    <x v="99"/>
    <x v="0"/>
  </r>
  <r>
    <x v="0"/>
    <x v="8"/>
    <x v="8"/>
    <x v="3"/>
    <x v="3"/>
    <x v="3"/>
    <x v="13"/>
    <x v="86"/>
    <x v="109"/>
    <x v="51"/>
    <x v="126"/>
    <x v="38"/>
    <x v="94"/>
    <x v="0"/>
  </r>
  <r>
    <x v="0"/>
    <x v="8"/>
    <x v="8"/>
    <x v="11"/>
    <x v="11"/>
    <x v="11"/>
    <x v="13"/>
    <x v="86"/>
    <x v="109"/>
    <x v="56"/>
    <x v="135"/>
    <x v="52"/>
    <x v="49"/>
    <x v="0"/>
  </r>
  <r>
    <x v="0"/>
    <x v="8"/>
    <x v="8"/>
    <x v="38"/>
    <x v="38"/>
    <x v="38"/>
    <x v="15"/>
    <x v="87"/>
    <x v="77"/>
    <x v="63"/>
    <x v="68"/>
    <x v="43"/>
    <x v="95"/>
    <x v="0"/>
  </r>
  <r>
    <x v="0"/>
    <x v="8"/>
    <x v="8"/>
    <x v="19"/>
    <x v="19"/>
    <x v="19"/>
    <x v="16"/>
    <x v="88"/>
    <x v="110"/>
    <x v="49"/>
    <x v="128"/>
    <x v="56"/>
    <x v="99"/>
    <x v="0"/>
  </r>
  <r>
    <x v="0"/>
    <x v="8"/>
    <x v="8"/>
    <x v="33"/>
    <x v="33"/>
    <x v="33"/>
    <x v="16"/>
    <x v="88"/>
    <x v="110"/>
    <x v="49"/>
    <x v="128"/>
    <x v="56"/>
    <x v="99"/>
    <x v="0"/>
  </r>
  <r>
    <x v="0"/>
    <x v="8"/>
    <x v="8"/>
    <x v="15"/>
    <x v="15"/>
    <x v="15"/>
    <x v="16"/>
    <x v="88"/>
    <x v="110"/>
    <x v="75"/>
    <x v="137"/>
    <x v="54"/>
    <x v="58"/>
    <x v="0"/>
  </r>
  <r>
    <x v="0"/>
    <x v="8"/>
    <x v="8"/>
    <x v="39"/>
    <x v="39"/>
    <x v="39"/>
    <x v="16"/>
    <x v="88"/>
    <x v="110"/>
    <x v="77"/>
    <x v="133"/>
    <x v="39"/>
    <x v="54"/>
    <x v="0"/>
  </r>
  <r>
    <x v="0"/>
    <x v="8"/>
    <x v="8"/>
    <x v="40"/>
    <x v="40"/>
    <x v="40"/>
    <x v="16"/>
    <x v="88"/>
    <x v="110"/>
    <x v="49"/>
    <x v="128"/>
    <x v="56"/>
    <x v="99"/>
    <x v="0"/>
  </r>
  <r>
    <x v="0"/>
    <x v="8"/>
    <x v="8"/>
    <x v="36"/>
    <x v="36"/>
    <x v="36"/>
    <x v="16"/>
    <x v="88"/>
    <x v="110"/>
    <x v="67"/>
    <x v="100"/>
    <x v="52"/>
    <x v="49"/>
    <x v="0"/>
  </r>
  <r>
    <x v="0"/>
    <x v="8"/>
    <x v="8"/>
    <x v="10"/>
    <x v="10"/>
    <x v="10"/>
    <x v="16"/>
    <x v="88"/>
    <x v="110"/>
    <x v="49"/>
    <x v="128"/>
    <x v="56"/>
    <x v="99"/>
    <x v="0"/>
  </r>
  <r>
    <x v="0"/>
    <x v="8"/>
    <x v="8"/>
    <x v="41"/>
    <x v="41"/>
    <x v="41"/>
    <x v="16"/>
    <x v="88"/>
    <x v="110"/>
    <x v="77"/>
    <x v="133"/>
    <x v="39"/>
    <x v="54"/>
    <x v="0"/>
  </r>
  <r>
    <x v="0"/>
    <x v="8"/>
    <x v="8"/>
    <x v="34"/>
    <x v="34"/>
    <x v="34"/>
    <x v="16"/>
    <x v="88"/>
    <x v="110"/>
    <x v="49"/>
    <x v="128"/>
    <x v="56"/>
    <x v="99"/>
    <x v="0"/>
  </r>
  <r>
    <x v="0"/>
    <x v="8"/>
    <x v="8"/>
    <x v="42"/>
    <x v="42"/>
    <x v="42"/>
    <x v="16"/>
    <x v="88"/>
    <x v="110"/>
    <x v="67"/>
    <x v="100"/>
    <x v="52"/>
    <x v="49"/>
    <x v="0"/>
  </r>
  <r>
    <x v="0"/>
    <x v="9"/>
    <x v="9"/>
    <x v="0"/>
    <x v="0"/>
    <x v="0"/>
    <x v="0"/>
    <x v="89"/>
    <x v="111"/>
    <x v="85"/>
    <x v="138"/>
    <x v="54"/>
    <x v="100"/>
    <x v="0"/>
  </r>
  <r>
    <x v="0"/>
    <x v="9"/>
    <x v="9"/>
    <x v="3"/>
    <x v="3"/>
    <x v="3"/>
    <x v="1"/>
    <x v="78"/>
    <x v="98"/>
    <x v="86"/>
    <x v="139"/>
    <x v="38"/>
    <x v="101"/>
    <x v="0"/>
  </r>
  <r>
    <x v="0"/>
    <x v="9"/>
    <x v="9"/>
    <x v="2"/>
    <x v="2"/>
    <x v="2"/>
    <x v="2"/>
    <x v="90"/>
    <x v="112"/>
    <x v="43"/>
    <x v="140"/>
    <x v="54"/>
    <x v="100"/>
    <x v="0"/>
  </r>
  <r>
    <x v="0"/>
    <x v="9"/>
    <x v="9"/>
    <x v="1"/>
    <x v="1"/>
    <x v="1"/>
    <x v="3"/>
    <x v="91"/>
    <x v="41"/>
    <x v="78"/>
    <x v="121"/>
    <x v="39"/>
    <x v="40"/>
    <x v="0"/>
  </r>
  <r>
    <x v="0"/>
    <x v="9"/>
    <x v="9"/>
    <x v="4"/>
    <x v="4"/>
    <x v="4"/>
    <x v="4"/>
    <x v="92"/>
    <x v="85"/>
    <x v="72"/>
    <x v="141"/>
    <x v="64"/>
    <x v="29"/>
    <x v="0"/>
  </r>
  <r>
    <x v="0"/>
    <x v="9"/>
    <x v="9"/>
    <x v="9"/>
    <x v="9"/>
    <x v="9"/>
    <x v="5"/>
    <x v="93"/>
    <x v="113"/>
    <x v="75"/>
    <x v="142"/>
    <x v="23"/>
    <x v="102"/>
    <x v="0"/>
  </r>
  <r>
    <x v="0"/>
    <x v="9"/>
    <x v="9"/>
    <x v="7"/>
    <x v="7"/>
    <x v="7"/>
    <x v="6"/>
    <x v="94"/>
    <x v="73"/>
    <x v="87"/>
    <x v="143"/>
    <x v="55"/>
    <x v="54"/>
    <x v="6"/>
  </r>
  <r>
    <x v="0"/>
    <x v="9"/>
    <x v="9"/>
    <x v="6"/>
    <x v="6"/>
    <x v="6"/>
    <x v="6"/>
    <x v="94"/>
    <x v="73"/>
    <x v="80"/>
    <x v="144"/>
    <x v="37"/>
    <x v="103"/>
    <x v="0"/>
  </r>
  <r>
    <x v="0"/>
    <x v="9"/>
    <x v="9"/>
    <x v="10"/>
    <x v="10"/>
    <x v="10"/>
    <x v="8"/>
    <x v="80"/>
    <x v="114"/>
    <x v="54"/>
    <x v="93"/>
    <x v="44"/>
    <x v="104"/>
    <x v="0"/>
  </r>
  <r>
    <x v="0"/>
    <x v="9"/>
    <x v="9"/>
    <x v="5"/>
    <x v="5"/>
    <x v="5"/>
    <x v="8"/>
    <x v="80"/>
    <x v="114"/>
    <x v="48"/>
    <x v="145"/>
    <x v="56"/>
    <x v="105"/>
    <x v="0"/>
  </r>
  <r>
    <x v="0"/>
    <x v="9"/>
    <x v="9"/>
    <x v="11"/>
    <x v="11"/>
    <x v="11"/>
    <x v="10"/>
    <x v="49"/>
    <x v="115"/>
    <x v="82"/>
    <x v="146"/>
    <x v="37"/>
    <x v="103"/>
    <x v="0"/>
  </r>
  <r>
    <x v="0"/>
    <x v="9"/>
    <x v="9"/>
    <x v="34"/>
    <x v="34"/>
    <x v="34"/>
    <x v="11"/>
    <x v="95"/>
    <x v="76"/>
    <x v="88"/>
    <x v="147"/>
    <x v="60"/>
    <x v="106"/>
    <x v="0"/>
  </r>
  <r>
    <x v="0"/>
    <x v="9"/>
    <x v="9"/>
    <x v="15"/>
    <x v="15"/>
    <x v="15"/>
    <x v="12"/>
    <x v="53"/>
    <x v="116"/>
    <x v="68"/>
    <x v="55"/>
    <x v="53"/>
    <x v="107"/>
    <x v="0"/>
  </r>
  <r>
    <x v="0"/>
    <x v="9"/>
    <x v="9"/>
    <x v="16"/>
    <x v="16"/>
    <x v="16"/>
    <x v="13"/>
    <x v="54"/>
    <x v="46"/>
    <x v="54"/>
    <x v="93"/>
    <x v="60"/>
    <x v="106"/>
    <x v="0"/>
  </r>
  <r>
    <x v="0"/>
    <x v="9"/>
    <x v="9"/>
    <x v="13"/>
    <x v="13"/>
    <x v="13"/>
    <x v="14"/>
    <x v="55"/>
    <x v="92"/>
    <x v="64"/>
    <x v="148"/>
    <x v="64"/>
    <x v="29"/>
    <x v="0"/>
  </r>
  <r>
    <x v="0"/>
    <x v="9"/>
    <x v="9"/>
    <x v="33"/>
    <x v="33"/>
    <x v="33"/>
    <x v="15"/>
    <x v="75"/>
    <x v="117"/>
    <x v="35"/>
    <x v="149"/>
    <x v="49"/>
    <x v="108"/>
    <x v="0"/>
  </r>
  <r>
    <x v="0"/>
    <x v="9"/>
    <x v="9"/>
    <x v="17"/>
    <x v="17"/>
    <x v="17"/>
    <x v="15"/>
    <x v="75"/>
    <x v="117"/>
    <x v="67"/>
    <x v="150"/>
    <x v="50"/>
    <x v="109"/>
    <x v="0"/>
  </r>
  <r>
    <x v="0"/>
    <x v="9"/>
    <x v="9"/>
    <x v="12"/>
    <x v="12"/>
    <x v="12"/>
    <x v="17"/>
    <x v="76"/>
    <x v="118"/>
    <x v="81"/>
    <x v="33"/>
    <x v="59"/>
    <x v="5"/>
    <x v="0"/>
  </r>
  <r>
    <x v="0"/>
    <x v="9"/>
    <x v="9"/>
    <x v="32"/>
    <x v="32"/>
    <x v="32"/>
    <x v="18"/>
    <x v="77"/>
    <x v="119"/>
    <x v="59"/>
    <x v="151"/>
    <x v="59"/>
    <x v="5"/>
    <x v="6"/>
  </r>
  <r>
    <x v="0"/>
    <x v="9"/>
    <x v="9"/>
    <x v="8"/>
    <x v="8"/>
    <x v="8"/>
    <x v="19"/>
    <x v="82"/>
    <x v="17"/>
    <x v="84"/>
    <x v="152"/>
    <x v="55"/>
    <x v="54"/>
    <x v="0"/>
  </r>
  <r>
    <x v="0"/>
    <x v="10"/>
    <x v="10"/>
    <x v="0"/>
    <x v="0"/>
    <x v="0"/>
    <x v="0"/>
    <x v="96"/>
    <x v="120"/>
    <x v="45"/>
    <x v="153"/>
    <x v="54"/>
    <x v="106"/>
    <x v="0"/>
  </r>
  <r>
    <x v="0"/>
    <x v="10"/>
    <x v="10"/>
    <x v="4"/>
    <x v="4"/>
    <x v="4"/>
    <x v="1"/>
    <x v="80"/>
    <x v="121"/>
    <x v="74"/>
    <x v="154"/>
    <x v="41"/>
    <x v="110"/>
    <x v="0"/>
  </r>
  <r>
    <x v="0"/>
    <x v="10"/>
    <x v="10"/>
    <x v="9"/>
    <x v="9"/>
    <x v="9"/>
    <x v="2"/>
    <x v="52"/>
    <x v="122"/>
    <x v="49"/>
    <x v="155"/>
    <x v="1"/>
    <x v="111"/>
    <x v="0"/>
  </r>
  <r>
    <x v="0"/>
    <x v="10"/>
    <x v="10"/>
    <x v="1"/>
    <x v="1"/>
    <x v="1"/>
    <x v="3"/>
    <x v="55"/>
    <x v="1"/>
    <x v="72"/>
    <x v="156"/>
    <x v="38"/>
    <x v="112"/>
    <x v="0"/>
  </r>
  <r>
    <x v="0"/>
    <x v="10"/>
    <x v="10"/>
    <x v="5"/>
    <x v="5"/>
    <x v="5"/>
    <x v="4"/>
    <x v="75"/>
    <x v="64"/>
    <x v="83"/>
    <x v="157"/>
    <x v="39"/>
    <x v="113"/>
    <x v="0"/>
  </r>
  <r>
    <x v="0"/>
    <x v="10"/>
    <x v="10"/>
    <x v="12"/>
    <x v="12"/>
    <x v="12"/>
    <x v="5"/>
    <x v="76"/>
    <x v="65"/>
    <x v="57"/>
    <x v="64"/>
    <x v="54"/>
    <x v="106"/>
    <x v="0"/>
  </r>
  <r>
    <x v="0"/>
    <x v="10"/>
    <x v="10"/>
    <x v="6"/>
    <x v="6"/>
    <x v="6"/>
    <x v="6"/>
    <x v="77"/>
    <x v="123"/>
    <x v="53"/>
    <x v="158"/>
    <x v="59"/>
    <x v="114"/>
    <x v="0"/>
  </r>
  <r>
    <x v="0"/>
    <x v="10"/>
    <x v="10"/>
    <x v="11"/>
    <x v="11"/>
    <x v="11"/>
    <x v="7"/>
    <x v="57"/>
    <x v="66"/>
    <x v="50"/>
    <x v="159"/>
    <x v="39"/>
    <x v="113"/>
    <x v="0"/>
  </r>
  <r>
    <x v="0"/>
    <x v="10"/>
    <x v="10"/>
    <x v="33"/>
    <x v="33"/>
    <x v="33"/>
    <x v="8"/>
    <x v="58"/>
    <x v="124"/>
    <x v="58"/>
    <x v="160"/>
    <x v="55"/>
    <x v="115"/>
    <x v="0"/>
  </r>
  <r>
    <x v="0"/>
    <x v="10"/>
    <x v="10"/>
    <x v="37"/>
    <x v="37"/>
    <x v="37"/>
    <x v="9"/>
    <x v="59"/>
    <x v="28"/>
    <x v="63"/>
    <x v="68"/>
    <x v="52"/>
    <x v="49"/>
    <x v="0"/>
  </r>
  <r>
    <x v="0"/>
    <x v="10"/>
    <x v="10"/>
    <x v="7"/>
    <x v="7"/>
    <x v="7"/>
    <x v="10"/>
    <x v="67"/>
    <x v="125"/>
    <x v="76"/>
    <x v="161"/>
    <x v="40"/>
    <x v="116"/>
    <x v="0"/>
  </r>
  <r>
    <x v="0"/>
    <x v="10"/>
    <x v="10"/>
    <x v="15"/>
    <x v="15"/>
    <x v="15"/>
    <x v="11"/>
    <x v="85"/>
    <x v="126"/>
    <x v="69"/>
    <x v="117"/>
    <x v="58"/>
    <x v="117"/>
    <x v="0"/>
  </r>
  <r>
    <x v="0"/>
    <x v="10"/>
    <x v="10"/>
    <x v="16"/>
    <x v="16"/>
    <x v="16"/>
    <x v="11"/>
    <x v="85"/>
    <x v="126"/>
    <x v="68"/>
    <x v="162"/>
    <x v="54"/>
    <x v="106"/>
    <x v="0"/>
  </r>
  <r>
    <x v="0"/>
    <x v="10"/>
    <x v="10"/>
    <x v="10"/>
    <x v="10"/>
    <x v="10"/>
    <x v="11"/>
    <x v="85"/>
    <x v="126"/>
    <x v="35"/>
    <x v="163"/>
    <x v="59"/>
    <x v="114"/>
    <x v="0"/>
  </r>
  <r>
    <x v="0"/>
    <x v="10"/>
    <x v="10"/>
    <x v="24"/>
    <x v="24"/>
    <x v="24"/>
    <x v="11"/>
    <x v="85"/>
    <x v="126"/>
    <x v="76"/>
    <x v="161"/>
    <x v="56"/>
    <x v="118"/>
    <x v="0"/>
  </r>
  <r>
    <x v="0"/>
    <x v="10"/>
    <x v="10"/>
    <x v="14"/>
    <x v="14"/>
    <x v="14"/>
    <x v="15"/>
    <x v="68"/>
    <x v="16"/>
    <x v="49"/>
    <x v="155"/>
    <x v="42"/>
    <x v="119"/>
    <x v="0"/>
  </r>
  <r>
    <x v="0"/>
    <x v="10"/>
    <x v="10"/>
    <x v="32"/>
    <x v="32"/>
    <x v="32"/>
    <x v="15"/>
    <x v="68"/>
    <x v="16"/>
    <x v="76"/>
    <x v="161"/>
    <x v="39"/>
    <x v="113"/>
    <x v="0"/>
  </r>
  <r>
    <x v="0"/>
    <x v="10"/>
    <x v="10"/>
    <x v="2"/>
    <x v="2"/>
    <x v="2"/>
    <x v="15"/>
    <x v="68"/>
    <x v="16"/>
    <x v="84"/>
    <x v="164"/>
    <x v="38"/>
    <x v="112"/>
    <x v="0"/>
  </r>
  <r>
    <x v="0"/>
    <x v="10"/>
    <x v="10"/>
    <x v="28"/>
    <x v="28"/>
    <x v="28"/>
    <x v="18"/>
    <x v="69"/>
    <x v="60"/>
    <x v="68"/>
    <x v="162"/>
    <x v="52"/>
    <x v="49"/>
    <x v="5"/>
  </r>
  <r>
    <x v="0"/>
    <x v="10"/>
    <x v="10"/>
    <x v="17"/>
    <x v="17"/>
    <x v="17"/>
    <x v="18"/>
    <x v="69"/>
    <x v="60"/>
    <x v="49"/>
    <x v="155"/>
    <x v="55"/>
    <x v="115"/>
    <x v="0"/>
  </r>
  <r>
    <x v="0"/>
    <x v="10"/>
    <x v="10"/>
    <x v="8"/>
    <x v="8"/>
    <x v="8"/>
    <x v="18"/>
    <x v="69"/>
    <x v="60"/>
    <x v="51"/>
    <x v="165"/>
    <x v="60"/>
    <x v="120"/>
    <x v="0"/>
  </r>
  <r>
    <x v="0"/>
    <x v="10"/>
    <x v="10"/>
    <x v="43"/>
    <x v="43"/>
    <x v="43"/>
    <x v="18"/>
    <x v="69"/>
    <x v="60"/>
    <x v="84"/>
    <x v="164"/>
    <x v="52"/>
    <x v="49"/>
    <x v="0"/>
  </r>
  <r>
    <x v="0"/>
    <x v="10"/>
    <x v="10"/>
    <x v="42"/>
    <x v="42"/>
    <x v="42"/>
    <x v="18"/>
    <x v="69"/>
    <x v="60"/>
    <x v="84"/>
    <x v="164"/>
    <x v="52"/>
    <x v="49"/>
    <x v="0"/>
  </r>
  <r>
    <x v="0"/>
    <x v="11"/>
    <x v="11"/>
    <x v="0"/>
    <x v="0"/>
    <x v="0"/>
    <x v="0"/>
    <x v="97"/>
    <x v="127"/>
    <x v="89"/>
    <x v="166"/>
    <x v="38"/>
    <x v="121"/>
    <x v="0"/>
  </r>
  <r>
    <x v="0"/>
    <x v="11"/>
    <x v="11"/>
    <x v="4"/>
    <x v="4"/>
    <x v="4"/>
    <x v="1"/>
    <x v="53"/>
    <x v="128"/>
    <x v="83"/>
    <x v="167"/>
    <x v="40"/>
    <x v="30"/>
    <x v="0"/>
  </r>
  <r>
    <x v="0"/>
    <x v="11"/>
    <x v="11"/>
    <x v="9"/>
    <x v="9"/>
    <x v="9"/>
    <x v="2"/>
    <x v="75"/>
    <x v="129"/>
    <x v="67"/>
    <x v="110"/>
    <x v="50"/>
    <x v="122"/>
    <x v="0"/>
  </r>
  <r>
    <x v="0"/>
    <x v="11"/>
    <x v="11"/>
    <x v="1"/>
    <x v="1"/>
    <x v="1"/>
    <x v="2"/>
    <x v="75"/>
    <x v="129"/>
    <x v="82"/>
    <x v="168"/>
    <x v="52"/>
    <x v="49"/>
    <x v="0"/>
  </r>
  <r>
    <x v="0"/>
    <x v="11"/>
    <x v="11"/>
    <x v="25"/>
    <x v="25"/>
    <x v="25"/>
    <x v="4"/>
    <x v="76"/>
    <x v="130"/>
    <x v="54"/>
    <x v="169"/>
    <x v="56"/>
    <x v="37"/>
    <x v="0"/>
  </r>
  <r>
    <x v="0"/>
    <x v="11"/>
    <x v="11"/>
    <x v="11"/>
    <x v="11"/>
    <x v="11"/>
    <x v="4"/>
    <x v="76"/>
    <x v="130"/>
    <x v="81"/>
    <x v="170"/>
    <x v="59"/>
    <x v="123"/>
    <x v="0"/>
  </r>
  <r>
    <x v="0"/>
    <x v="11"/>
    <x v="11"/>
    <x v="17"/>
    <x v="17"/>
    <x v="17"/>
    <x v="6"/>
    <x v="57"/>
    <x v="21"/>
    <x v="56"/>
    <x v="171"/>
    <x v="62"/>
    <x v="124"/>
    <x v="0"/>
  </r>
  <r>
    <x v="0"/>
    <x v="11"/>
    <x v="11"/>
    <x v="7"/>
    <x v="7"/>
    <x v="7"/>
    <x v="7"/>
    <x v="58"/>
    <x v="64"/>
    <x v="60"/>
    <x v="172"/>
    <x v="56"/>
    <x v="37"/>
    <x v="0"/>
  </r>
  <r>
    <x v="0"/>
    <x v="11"/>
    <x v="11"/>
    <x v="5"/>
    <x v="5"/>
    <x v="5"/>
    <x v="8"/>
    <x v="67"/>
    <x v="131"/>
    <x v="36"/>
    <x v="173"/>
    <x v="39"/>
    <x v="118"/>
    <x v="0"/>
  </r>
  <r>
    <x v="0"/>
    <x v="11"/>
    <x v="11"/>
    <x v="6"/>
    <x v="6"/>
    <x v="6"/>
    <x v="9"/>
    <x v="60"/>
    <x v="113"/>
    <x v="61"/>
    <x v="174"/>
    <x v="56"/>
    <x v="37"/>
    <x v="0"/>
  </r>
  <r>
    <x v="0"/>
    <x v="11"/>
    <x v="11"/>
    <x v="32"/>
    <x v="32"/>
    <x v="32"/>
    <x v="10"/>
    <x v="62"/>
    <x v="88"/>
    <x v="55"/>
    <x v="135"/>
    <x v="39"/>
    <x v="118"/>
    <x v="0"/>
  </r>
  <r>
    <x v="0"/>
    <x v="11"/>
    <x v="11"/>
    <x v="44"/>
    <x v="44"/>
    <x v="44"/>
    <x v="11"/>
    <x v="85"/>
    <x v="132"/>
    <x v="58"/>
    <x v="162"/>
    <x v="40"/>
    <x v="30"/>
    <x v="0"/>
  </r>
  <r>
    <x v="0"/>
    <x v="11"/>
    <x v="11"/>
    <x v="15"/>
    <x v="15"/>
    <x v="15"/>
    <x v="12"/>
    <x v="69"/>
    <x v="133"/>
    <x v="51"/>
    <x v="175"/>
    <x v="60"/>
    <x v="125"/>
    <x v="0"/>
  </r>
  <r>
    <x v="0"/>
    <x v="11"/>
    <x v="11"/>
    <x v="10"/>
    <x v="10"/>
    <x v="10"/>
    <x v="12"/>
    <x v="69"/>
    <x v="133"/>
    <x v="35"/>
    <x v="93"/>
    <x v="56"/>
    <x v="37"/>
    <x v="0"/>
  </r>
  <r>
    <x v="0"/>
    <x v="11"/>
    <x v="11"/>
    <x v="13"/>
    <x v="13"/>
    <x v="13"/>
    <x v="14"/>
    <x v="70"/>
    <x v="116"/>
    <x v="56"/>
    <x v="171"/>
    <x v="40"/>
    <x v="30"/>
    <x v="0"/>
  </r>
  <r>
    <x v="0"/>
    <x v="11"/>
    <x v="11"/>
    <x v="22"/>
    <x v="22"/>
    <x v="22"/>
    <x v="15"/>
    <x v="63"/>
    <x v="48"/>
    <x v="64"/>
    <x v="176"/>
    <x v="39"/>
    <x v="118"/>
    <x v="0"/>
  </r>
  <r>
    <x v="0"/>
    <x v="11"/>
    <x v="11"/>
    <x v="19"/>
    <x v="19"/>
    <x v="19"/>
    <x v="16"/>
    <x v="71"/>
    <x v="13"/>
    <x v="49"/>
    <x v="177"/>
    <x v="37"/>
    <x v="126"/>
    <x v="0"/>
  </r>
  <r>
    <x v="0"/>
    <x v="11"/>
    <x v="11"/>
    <x v="3"/>
    <x v="3"/>
    <x v="3"/>
    <x v="16"/>
    <x v="71"/>
    <x v="13"/>
    <x v="35"/>
    <x v="93"/>
    <x v="52"/>
    <x v="49"/>
    <x v="0"/>
  </r>
  <r>
    <x v="0"/>
    <x v="11"/>
    <x v="11"/>
    <x v="23"/>
    <x v="23"/>
    <x v="23"/>
    <x v="18"/>
    <x v="64"/>
    <x v="119"/>
    <x v="51"/>
    <x v="175"/>
    <x v="59"/>
    <x v="123"/>
    <x v="0"/>
  </r>
  <r>
    <x v="0"/>
    <x v="11"/>
    <x v="11"/>
    <x v="14"/>
    <x v="14"/>
    <x v="14"/>
    <x v="18"/>
    <x v="64"/>
    <x v="119"/>
    <x v="49"/>
    <x v="177"/>
    <x v="58"/>
    <x v="127"/>
    <x v="0"/>
  </r>
  <r>
    <x v="0"/>
    <x v="12"/>
    <x v="12"/>
    <x v="0"/>
    <x v="0"/>
    <x v="0"/>
    <x v="0"/>
    <x v="98"/>
    <x v="134"/>
    <x v="90"/>
    <x v="178"/>
    <x v="42"/>
    <x v="79"/>
    <x v="0"/>
  </r>
  <r>
    <x v="0"/>
    <x v="12"/>
    <x v="12"/>
    <x v="1"/>
    <x v="1"/>
    <x v="1"/>
    <x v="1"/>
    <x v="99"/>
    <x v="130"/>
    <x v="70"/>
    <x v="179"/>
    <x v="38"/>
    <x v="128"/>
    <x v="0"/>
  </r>
  <r>
    <x v="0"/>
    <x v="12"/>
    <x v="12"/>
    <x v="4"/>
    <x v="4"/>
    <x v="4"/>
    <x v="2"/>
    <x v="42"/>
    <x v="135"/>
    <x v="46"/>
    <x v="180"/>
    <x v="65"/>
    <x v="129"/>
    <x v="0"/>
  </r>
  <r>
    <x v="0"/>
    <x v="12"/>
    <x v="12"/>
    <x v="5"/>
    <x v="5"/>
    <x v="5"/>
    <x v="3"/>
    <x v="96"/>
    <x v="136"/>
    <x v="44"/>
    <x v="181"/>
    <x v="60"/>
    <x v="130"/>
    <x v="0"/>
  </r>
  <r>
    <x v="0"/>
    <x v="12"/>
    <x v="12"/>
    <x v="9"/>
    <x v="9"/>
    <x v="9"/>
    <x v="4"/>
    <x v="90"/>
    <x v="23"/>
    <x v="67"/>
    <x v="182"/>
    <x v="22"/>
    <x v="131"/>
    <x v="0"/>
  </r>
  <r>
    <x v="0"/>
    <x v="12"/>
    <x v="12"/>
    <x v="6"/>
    <x v="6"/>
    <x v="6"/>
    <x v="5"/>
    <x v="47"/>
    <x v="137"/>
    <x v="91"/>
    <x v="183"/>
    <x v="42"/>
    <x v="79"/>
    <x v="0"/>
  </r>
  <r>
    <x v="0"/>
    <x v="12"/>
    <x v="12"/>
    <x v="7"/>
    <x v="7"/>
    <x v="7"/>
    <x v="6"/>
    <x v="92"/>
    <x v="138"/>
    <x v="92"/>
    <x v="176"/>
    <x v="66"/>
    <x v="35"/>
    <x v="0"/>
  </r>
  <r>
    <x v="0"/>
    <x v="12"/>
    <x v="12"/>
    <x v="2"/>
    <x v="2"/>
    <x v="2"/>
    <x v="7"/>
    <x v="100"/>
    <x v="139"/>
    <x v="93"/>
    <x v="144"/>
    <x v="57"/>
    <x v="19"/>
    <x v="0"/>
  </r>
  <r>
    <x v="0"/>
    <x v="12"/>
    <x v="12"/>
    <x v="11"/>
    <x v="11"/>
    <x v="11"/>
    <x v="8"/>
    <x v="94"/>
    <x v="58"/>
    <x v="93"/>
    <x v="144"/>
    <x v="59"/>
    <x v="100"/>
    <x v="0"/>
  </r>
  <r>
    <x v="0"/>
    <x v="12"/>
    <x v="12"/>
    <x v="13"/>
    <x v="13"/>
    <x v="13"/>
    <x v="9"/>
    <x v="101"/>
    <x v="133"/>
    <x v="55"/>
    <x v="97"/>
    <x v="67"/>
    <x v="61"/>
    <x v="0"/>
  </r>
  <r>
    <x v="0"/>
    <x v="12"/>
    <x v="12"/>
    <x v="8"/>
    <x v="8"/>
    <x v="8"/>
    <x v="10"/>
    <x v="102"/>
    <x v="76"/>
    <x v="84"/>
    <x v="73"/>
    <x v="68"/>
    <x v="132"/>
    <x v="0"/>
  </r>
  <r>
    <x v="0"/>
    <x v="12"/>
    <x v="12"/>
    <x v="15"/>
    <x v="15"/>
    <x v="15"/>
    <x v="11"/>
    <x v="103"/>
    <x v="116"/>
    <x v="35"/>
    <x v="184"/>
    <x v="69"/>
    <x v="133"/>
    <x v="0"/>
  </r>
  <r>
    <x v="0"/>
    <x v="12"/>
    <x v="12"/>
    <x v="3"/>
    <x v="3"/>
    <x v="3"/>
    <x v="11"/>
    <x v="103"/>
    <x v="116"/>
    <x v="94"/>
    <x v="185"/>
    <x v="39"/>
    <x v="134"/>
    <x v="0"/>
  </r>
  <r>
    <x v="0"/>
    <x v="12"/>
    <x v="12"/>
    <x v="17"/>
    <x v="17"/>
    <x v="17"/>
    <x v="13"/>
    <x v="80"/>
    <x v="140"/>
    <x v="51"/>
    <x v="71"/>
    <x v="1"/>
    <x v="115"/>
    <x v="0"/>
  </r>
  <r>
    <x v="0"/>
    <x v="12"/>
    <x v="12"/>
    <x v="10"/>
    <x v="10"/>
    <x v="10"/>
    <x v="14"/>
    <x v="49"/>
    <x v="141"/>
    <x v="92"/>
    <x v="176"/>
    <x v="42"/>
    <x v="79"/>
    <x v="0"/>
  </r>
  <r>
    <x v="0"/>
    <x v="12"/>
    <x v="12"/>
    <x v="14"/>
    <x v="14"/>
    <x v="14"/>
    <x v="14"/>
    <x v="49"/>
    <x v="141"/>
    <x v="35"/>
    <x v="184"/>
    <x v="68"/>
    <x v="132"/>
    <x v="0"/>
  </r>
  <r>
    <x v="0"/>
    <x v="12"/>
    <x v="12"/>
    <x v="12"/>
    <x v="12"/>
    <x v="12"/>
    <x v="14"/>
    <x v="49"/>
    <x v="141"/>
    <x v="72"/>
    <x v="69"/>
    <x v="60"/>
    <x v="130"/>
    <x v="0"/>
  </r>
  <r>
    <x v="0"/>
    <x v="12"/>
    <x v="12"/>
    <x v="18"/>
    <x v="18"/>
    <x v="18"/>
    <x v="17"/>
    <x v="53"/>
    <x v="33"/>
    <x v="53"/>
    <x v="72"/>
    <x v="55"/>
    <x v="92"/>
    <x v="0"/>
  </r>
  <r>
    <x v="0"/>
    <x v="12"/>
    <x v="12"/>
    <x v="45"/>
    <x v="45"/>
    <x v="45"/>
    <x v="18"/>
    <x v="54"/>
    <x v="16"/>
    <x v="35"/>
    <x v="184"/>
    <x v="53"/>
    <x v="135"/>
    <x v="0"/>
  </r>
  <r>
    <x v="0"/>
    <x v="12"/>
    <x v="12"/>
    <x v="19"/>
    <x v="19"/>
    <x v="19"/>
    <x v="19"/>
    <x v="104"/>
    <x v="142"/>
    <x v="56"/>
    <x v="82"/>
    <x v="66"/>
    <x v="35"/>
    <x v="0"/>
  </r>
  <r>
    <x v="0"/>
    <x v="13"/>
    <x v="13"/>
    <x v="0"/>
    <x v="0"/>
    <x v="0"/>
    <x v="0"/>
    <x v="93"/>
    <x v="143"/>
    <x v="95"/>
    <x v="186"/>
    <x v="38"/>
    <x v="136"/>
    <x v="0"/>
  </r>
  <r>
    <x v="0"/>
    <x v="13"/>
    <x v="13"/>
    <x v="10"/>
    <x v="10"/>
    <x v="10"/>
    <x v="1"/>
    <x v="105"/>
    <x v="144"/>
    <x v="60"/>
    <x v="187"/>
    <x v="40"/>
    <x v="34"/>
    <x v="0"/>
  </r>
  <r>
    <x v="0"/>
    <x v="13"/>
    <x v="13"/>
    <x v="11"/>
    <x v="11"/>
    <x v="11"/>
    <x v="2"/>
    <x v="57"/>
    <x v="107"/>
    <x v="36"/>
    <x v="108"/>
    <x v="59"/>
    <x v="137"/>
    <x v="0"/>
  </r>
  <r>
    <x v="0"/>
    <x v="13"/>
    <x v="13"/>
    <x v="4"/>
    <x v="4"/>
    <x v="4"/>
    <x v="3"/>
    <x v="67"/>
    <x v="145"/>
    <x v="64"/>
    <x v="188"/>
    <x v="37"/>
    <x v="138"/>
    <x v="0"/>
  </r>
  <r>
    <x v="0"/>
    <x v="13"/>
    <x v="13"/>
    <x v="9"/>
    <x v="9"/>
    <x v="9"/>
    <x v="4"/>
    <x v="60"/>
    <x v="123"/>
    <x v="75"/>
    <x v="189"/>
    <x v="46"/>
    <x v="139"/>
    <x v="0"/>
  </r>
  <r>
    <x v="0"/>
    <x v="13"/>
    <x v="13"/>
    <x v="7"/>
    <x v="7"/>
    <x v="7"/>
    <x v="4"/>
    <x v="60"/>
    <x v="123"/>
    <x v="68"/>
    <x v="190"/>
    <x v="43"/>
    <x v="140"/>
    <x v="6"/>
  </r>
  <r>
    <x v="0"/>
    <x v="13"/>
    <x v="13"/>
    <x v="1"/>
    <x v="1"/>
    <x v="1"/>
    <x v="4"/>
    <x v="60"/>
    <x v="123"/>
    <x v="60"/>
    <x v="187"/>
    <x v="52"/>
    <x v="49"/>
    <x v="0"/>
  </r>
  <r>
    <x v="0"/>
    <x v="13"/>
    <x v="13"/>
    <x v="5"/>
    <x v="5"/>
    <x v="5"/>
    <x v="4"/>
    <x v="60"/>
    <x v="123"/>
    <x v="62"/>
    <x v="191"/>
    <x v="39"/>
    <x v="141"/>
    <x v="0"/>
  </r>
  <r>
    <x v="0"/>
    <x v="13"/>
    <x v="13"/>
    <x v="2"/>
    <x v="2"/>
    <x v="2"/>
    <x v="8"/>
    <x v="61"/>
    <x v="146"/>
    <x v="36"/>
    <x v="108"/>
    <x v="52"/>
    <x v="49"/>
    <x v="0"/>
  </r>
  <r>
    <x v="0"/>
    <x v="13"/>
    <x v="13"/>
    <x v="12"/>
    <x v="12"/>
    <x v="12"/>
    <x v="9"/>
    <x v="85"/>
    <x v="147"/>
    <x v="55"/>
    <x v="111"/>
    <x v="38"/>
    <x v="136"/>
    <x v="0"/>
  </r>
  <r>
    <x v="0"/>
    <x v="13"/>
    <x v="13"/>
    <x v="16"/>
    <x v="16"/>
    <x v="16"/>
    <x v="10"/>
    <x v="70"/>
    <x v="148"/>
    <x v="58"/>
    <x v="192"/>
    <x v="54"/>
    <x v="142"/>
    <x v="0"/>
  </r>
  <r>
    <x v="0"/>
    <x v="13"/>
    <x v="13"/>
    <x v="13"/>
    <x v="13"/>
    <x v="13"/>
    <x v="10"/>
    <x v="70"/>
    <x v="148"/>
    <x v="67"/>
    <x v="193"/>
    <x v="60"/>
    <x v="143"/>
    <x v="0"/>
  </r>
  <r>
    <x v="0"/>
    <x v="13"/>
    <x v="13"/>
    <x v="33"/>
    <x v="33"/>
    <x v="33"/>
    <x v="12"/>
    <x v="63"/>
    <x v="149"/>
    <x v="66"/>
    <x v="194"/>
    <x v="59"/>
    <x v="137"/>
    <x v="0"/>
  </r>
  <r>
    <x v="0"/>
    <x v="13"/>
    <x v="13"/>
    <x v="15"/>
    <x v="15"/>
    <x v="15"/>
    <x v="12"/>
    <x v="63"/>
    <x v="149"/>
    <x v="51"/>
    <x v="195"/>
    <x v="40"/>
    <x v="34"/>
    <x v="0"/>
  </r>
  <r>
    <x v="0"/>
    <x v="13"/>
    <x v="13"/>
    <x v="8"/>
    <x v="8"/>
    <x v="8"/>
    <x v="12"/>
    <x v="63"/>
    <x v="149"/>
    <x v="56"/>
    <x v="196"/>
    <x v="43"/>
    <x v="140"/>
    <x v="0"/>
  </r>
  <r>
    <x v="0"/>
    <x v="13"/>
    <x v="13"/>
    <x v="6"/>
    <x v="6"/>
    <x v="6"/>
    <x v="15"/>
    <x v="71"/>
    <x v="150"/>
    <x v="35"/>
    <x v="197"/>
    <x v="52"/>
    <x v="49"/>
    <x v="0"/>
  </r>
  <r>
    <x v="0"/>
    <x v="13"/>
    <x v="13"/>
    <x v="22"/>
    <x v="22"/>
    <x v="22"/>
    <x v="15"/>
    <x v="71"/>
    <x v="150"/>
    <x v="58"/>
    <x v="192"/>
    <x v="39"/>
    <x v="141"/>
    <x v="0"/>
  </r>
  <r>
    <x v="0"/>
    <x v="13"/>
    <x v="13"/>
    <x v="23"/>
    <x v="23"/>
    <x v="23"/>
    <x v="17"/>
    <x v="64"/>
    <x v="16"/>
    <x v="69"/>
    <x v="198"/>
    <x v="39"/>
    <x v="141"/>
    <x v="0"/>
  </r>
  <r>
    <x v="0"/>
    <x v="13"/>
    <x v="13"/>
    <x v="3"/>
    <x v="3"/>
    <x v="3"/>
    <x v="18"/>
    <x v="65"/>
    <x v="35"/>
    <x v="58"/>
    <x v="192"/>
    <x v="52"/>
    <x v="49"/>
    <x v="0"/>
  </r>
  <r>
    <x v="0"/>
    <x v="13"/>
    <x v="13"/>
    <x v="43"/>
    <x v="43"/>
    <x v="43"/>
    <x v="19"/>
    <x v="66"/>
    <x v="151"/>
    <x v="66"/>
    <x v="194"/>
    <x v="38"/>
    <x v="136"/>
    <x v="0"/>
  </r>
  <r>
    <x v="0"/>
    <x v="13"/>
    <x v="13"/>
    <x v="46"/>
    <x v="46"/>
    <x v="46"/>
    <x v="19"/>
    <x v="66"/>
    <x v="151"/>
    <x v="49"/>
    <x v="199"/>
    <x v="43"/>
    <x v="140"/>
    <x v="0"/>
  </r>
  <r>
    <x v="0"/>
    <x v="14"/>
    <x v="14"/>
    <x v="0"/>
    <x v="0"/>
    <x v="0"/>
    <x v="0"/>
    <x v="106"/>
    <x v="152"/>
    <x v="47"/>
    <x v="200"/>
    <x v="54"/>
    <x v="144"/>
    <x v="0"/>
  </r>
  <r>
    <x v="0"/>
    <x v="14"/>
    <x v="14"/>
    <x v="37"/>
    <x v="37"/>
    <x v="37"/>
    <x v="1"/>
    <x v="75"/>
    <x v="153"/>
    <x v="63"/>
    <x v="68"/>
    <x v="59"/>
    <x v="145"/>
    <x v="0"/>
  </r>
  <r>
    <x v="0"/>
    <x v="14"/>
    <x v="14"/>
    <x v="7"/>
    <x v="7"/>
    <x v="7"/>
    <x v="2"/>
    <x v="82"/>
    <x v="154"/>
    <x v="50"/>
    <x v="201"/>
    <x v="43"/>
    <x v="51"/>
    <x v="0"/>
  </r>
  <r>
    <x v="0"/>
    <x v="14"/>
    <x v="14"/>
    <x v="11"/>
    <x v="11"/>
    <x v="11"/>
    <x v="3"/>
    <x v="83"/>
    <x v="107"/>
    <x v="50"/>
    <x v="201"/>
    <x v="54"/>
    <x v="144"/>
    <x v="0"/>
  </r>
  <r>
    <x v="0"/>
    <x v="14"/>
    <x v="14"/>
    <x v="10"/>
    <x v="10"/>
    <x v="10"/>
    <x v="4"/>
    <x v="59"/>
    <x v="85"/>
    <x v="35"/>
    <x v="28"/>
    <x v="37"/>
    <x v="146"/>
    <x v="0"/>
  </r>
  <r>
    <x v="0"/>
    <x v="14"/>
    <x v="14"/>
    <x v="6"/>
    <x v="6"/>
    <x v="6"/>
    <x v="4"/>
    <x v="59"/>
    <x v="85"/>
    <x v="36"/>
    <x v="202"/>
    <x v="56"/>
    <x v="19"/>
    <x v="0"/>
  </r>
  <r>
    <x v="0"/>
    <x v="14"/>
    <x v="14"/>
    <x v="18"/>
    <x v="18"/>
    <x v="18"/>
    <x v="6"/>
    <x v="67"/>
    <x v="5"/>
    <x v="35"/>
    <x v="28"/>
    <x v="58"/>
    <x v="76"/>
    <x v="6"/>
  </r>
  <r>
    <x v="0"/>
    <x v="14"/>
    <x v="14"/>
    <x v="17"/>
    <x v="17"/>
    <x v="17"/>
    <x v="6"/>
    <x v="67"/>
    <x v="5"/>
    <x v="67"/>
    <x v="149"/>
    <x v="44"/>
    <x v="147"/>
    <x v="0"/>
  </r>
  <r>
    <x v="0"/>
    <x v="14"/>
    <x v="14"/>
    <x v="9"/>
    <x v="9"/>
    <x v="9"/>
    <x v="8"/>
    <x v="60"/>
    <x v="155"/>
    <x v="49"/>
    <x v="199"/>
    <x v="48"/>
    <x v="148"/>
    <x v="0"/>
  </r>
  <r>
    <x v="0"/>
    <x v="14"/>
    <x v="14"/>
    <x v="4"/>
    <x v="4"/>
    <x v="4"/>
    <x v="8"/>
    <x v="60"/>
    <x v="155"/>
    <x v="55"/>
    <x v="95"/>
    <x v="54"/>
    <x v="144"/>
    <x v="0"/>
  </r>
  <r>
    <x v="0"/>
    <x v="14"/>
    <x v="14"/>
    <x v="3"/>
    <x v="3"/>
    <x v="3"/>
    <x v="10"/>
    <x v="61"/>
    <x v="156"/>
    <x v="36"/>
    <x v="202"/>
    <x v="52"/>
    <x v="49"/>
    <x v="0"/>
  </r>
  <r>
    <x v="0"/>
    <x v="14"/>
    <x v="14"/>
    <x v="1"/>
    <x v="1"/>
    <x v="1"/>
    <x v="11"/>
    <x v="62"/>
    <x v="157"/>
    <x v="61"/>
    <x v="79"/>
    <x v="38"/>
    <x v="149"/>
    <x v="0"/>
  </r>
  <r>
    <x v="0"/>
    <x v="14"/>
    <x v="14"/>
    <x v="12"/>
    <x v="12"/>
    <x v="12"/>
    <x v="11"/>
    <x v="62"/>
    <x v="157"/>
    <x v="84"/>
    <x v="135"/>
    <x v="56"/>
    <x v="19"/>
    <x v="0"/>
  </r>
  <r>
    <x v="0"/>
    <x v="14"/>
    <x v="14"/>
    <x v="5"/>
    <x v="5"/>
    <x v="5"/>
    <x v="11"/>
    <x v="62"/>
    <x v="157"/>
    <x v="55"/>
    <x v="95"/>
    <x v="39"/>
    <x v="150"/>
    <x v="0"/>
  </r>
  <r>
    <x v="0"/>
    <x v="14"/>
    <x v="14"/>
    <x v="19"/>
    <x v="19"/>
    <x v="19"/>
    <x v="14"/>
    <x v="85"/>
    <x v="158"/>
    <x v="65"/>
    <x v="203"/>
    <x v="55"/>
    <x v="151"/>
    <x v="0"/>
  </r>
  <r>
    <x v="0"/>
    <x v="14"/>
    <x v="14"/>
    <x v="33"/>
    <x v="33"/>
    <x v="33"/>
    <x v="15"/>
    <x v="69"/>
    <x v="12"/>
    <x v="56"/>
    <x v="204"/>
    <x v="58"/>
    <x v="76"/>
    <x v="0"/>
  </r>
  <r>
    <x v="0"/>
    <x v="14"/>
    <x v="14"/>
    <x v="24"/>
    <x v="24"/>
    <x v="24"/>
    <x v="15"/>
    <x v="69"/>
    <x v="12"/>
    <x v="68"/>
    <x v="205"/>
    <x v="39"/>
    <x v="150"/>
    <x v="0"/>
  </r>
  <r>
    <x v="0"/>
    <x v="14"/>
    <x v="14"/>
    <x v="23"/>
    <x v="23"/>
    <x v="23"/>
    <x v="17"/>
    <x v="70"/>
    <x v="159"/>
    <x v="58"/>
    <x v="206"/>
    <x v="54"/>
    <x v="144"/>
    <x v="0"/>
  </r>
  <r>
    <x v="0"/>
    <x v="14"/>
    <x v="14"/>
    <x v="2"/>
    <x v="2"/>
    <x v="2"/>
    <x v="17"/>
    <x v="70"/>
    <x v="159"/>
    <x v="58"/>
    <x v="206"/>
    <x v="54"/>
    <x v="144"/>
    <x v="0"/>
  </r>
  <r>
    <x v="0"/>
    <x v="14"/>
    <x v="14"/>
    <x v="14"/>
    <x v="14"/>
    <x v="14"/>
    <x v="19"/>
    <x v="63"/>
    <x v="150"/>
    <x v="49"/>
    <x v="199"/>
    <x v="57"/>
    <x v="152"/>
    <x v="0"/>
  </r>
  <r>
    <x v="0"/>
    <x v="15"/>
    <x v="15"/>
    <x v="0"/>
    <x v="0"/>
    <x v="0"/>
    <x v="0"/>
    <x v="93"/>
    <x v="160"/>
    <x v="95"/>
    <x v="207"/>
    <x v="38"/>
    <x v="149"/>
    <x v="0"/>
  </r>
  <r>
    <x v="0"/>
    <x v="15"/>
    <x v="15"/>
    <x v="1"/>
    <x v="1"/>
    <x v="1"/>
    <x v="1"/>
    <x v="77"/>
    <x v="161"/>
    <x v="88"/>
    <x v="208"/>
    <x v="52"/>
    <x v="49"/>
    <x v="0"/>
  </r>
  <r>
    <x v="0"/>
    <x v="15"/>
    <x v="15"/>
    <x v="7"/>
    <x v="7"/>
    <x v="7"/>
    <x v="2"/>
    <x v="105"/>
    <x v="162"/>
    <x v="36"/>
    <x v="209"/>
    <x v="40"/>
    <x v="153"/>
    <x v="6"/>
  </r>
  <r>
    <x v="0"/>
    <x v="15"/>
    <x v="15"/>
    <x v="3"/>
    <x v="3"/>
    <x v="3"/>
    <x v="3"/>
    <x v="83"/>
    <x v="163"/>
    <x v="57"/>
    <x v="210"/>
    <x v="52"/>
    <x v="49"/>
    <x v="0"/>
  </r>
  <r>
    <x v="0"/>
    <x v="15"/>
    <x v="15"/>
    <x v="25"/>
    <x v="25"/>
    <x v="25"/>
    <x v="4"/>
    <x v="58"/>
    <x v="164"/>
    <x v="66"/>
    <x v="211"/>
    <x v="63"/>
    <x v="154"/>
    <x v="0"/>
  </r>
  <r>
    <x v="0"/>
    <x v="15"/>
    <x v="15"/>
    <x v="47"/>
    <x v="47"/>
    <x v="47"/>
    <x v="5"/>
    <x v="60"/>
    <x v="4"/>
    <x v="63"/>
    <x v="68"/>
    <x v="49"/>
    <x v="155"/>
    <x v="0"/>
  </r>
  <r>
    <x v="0"/>
    <x v="15"/>
    <x v="15"/>
    <x v="5"/>
    <x v="5"/>
    <x v="5"/>
    <x v="5"/>
    <x v="60"/>
    <x v="4"/>
    <x v="62"/>
    <x v="212"/>
    <x v="39"/>
    <x v="150"/>
    <x v="0"/>
  </r>
  <r>
    <x v="0"/>
    <x v="15"/>
    <x v="15"/>
    <x v="9"/>
    <x v="9"/>
    <x v="9"/>
    <x v="7"/>
    <x v="61"/>
    <x v="155"/>
    <x v="63"/>
    <x v="68"/>
    <x v="46"/>
    <x v="156"/>
    <x v="0"/>
  </r>
  <r>
    <x v="0"/>
    <x v="15"/>
    <x v="15"/>
    <x v="4"/>
    <x v="4"/>
    <x v="4"/>
    <x v="7"/>
    <x v="61"/>
    <x v="155"/>
    <x v="35"/>
    <x v="213"/>
    <x v="40"/>
    <x v="153"/>
    <x v="0"/>
  </r>
  <r>
    <x v="0"/>
    <x v="15"/>
    <x v="15"/>
    <x v="6"/>
    <x v="6"/>
    <x v="6"/>
    <x v="7"/>
    <x v="61"/>
    <x v="155"/>
    <x v="62"/>
    <x v="212"/>
    <x v="38"/>
    <x v="149"/>
    <x v="0"/>
  </r>
  <r>
    <x v="0"/>
    <x v="15"/>
    <x v="15"/>
    <x v="17"/>
    <x v="17"/>
    <x v="17"/>
    <x v="10"/>
    <x v="85"/>
    <x v="75"/>
    <x v="77"/>
    <x v="214"/>
    <x v="42"/>
    <x v="157"/>
    <x v="0"/>
  </r>
  <r>
    <x v="0"/>
    <x v="15"/>
    <x v="15"/>
    <x v="11"/>
    <x v="11"/>
    <x v="11"/>
    <x v="10"/>
    <x v="85"/>
    <x v="75"/>
    <x v="84"/>
    <x v="159"/>
    <x v="39"/>
    <x v="150"/>
    <x v="0"/>
  </r>
  <r>
    <x v="0"/>
    <x v="15"/>
    <x v="15"/>
    <x v="15"/>
    <x v="15"/>
    <x v="15"/>
    <x v="12"/>
    <x v="68"/>
    <x v="114"/>
    <x v="56"/>
    <x v="50"/>
    <x v="60"/>
    <x v="158"/>
    <x v="0"/>
  </r>
  <r>
    <x v="0"/>
    <x v="15"/>
    <x v="15"/>
    <x v="10"/>
    <x v="10"/>
    <x v="10"/>
    <x v="12"/>
    <x v="68"/>
    <x v="114"/>
    <x v="76"/>
    <x v="215"/>
    <x v="39"/>
    <x v="150"/>
    <x v="0"/>
  </r>
  <r>
    <x v="0"/>
    <x v="15"/>
    <x v="15"/>
    <x v="2"/>
    <x v="2"/>
    <x v="2"/>
    <x v="12"/>
    <x v="68"/>
    <x v="114"/>
    <x v="84"/>
    <x v="159"/>
    <x v="38"/>
    <x v="149"/>
    <x v="0"/>
  </r>
  <r>
    <x v="0"/>
    <x v="15"/>
    <x v="15"/>
    <x v="16"/>
    <x v="16"/>
    <x v="16"/>
    <x v="15"/>
    <x v="70"/>
    <x v="165"/>
    <x v="58"/>
    <x v="216"/>
    <x v="54"/>
    <x v="159"/>
    <x v="0"/>
  </r>
  <r>
    <x v="0"/>
    <x v="15"/>
    <x v="15"/>
    <x v="23"/>
    <x v="23"/>
    <x v="23"/>
    <x v="16"/>
    <x v="63"/>
    <x v="59"/>
    <x v="69"/>
    <x v="151"/>
    <x v="54"/>
    <x v="159"/>
    <x v="0"/>
  </r>
  <r>
    <x v="0"/>
    <x v="15"/>
    <x v="15"/>
    <x v="12"/>
    <x v="12"/>
    <x v="12"/>
    <x v="16"/>
    <x v="63"/>
    <x v="59"/>
    <x v="35"/>
    <x v="213"/>
    <x v="38"/>
    <x v="149"/>
    <x v="0"/>
  </r>
  <r>
    <x v="0"/>
    <x v="15"/>
    <x v="15"/>
    <x v="13"/>
    <x v="13"/>
    <x v="13"/>
    <x v="18"/>
    <x v="71"/>
    <x v="126"/>
    <x v="69"/>
    <x v="151"/>
    <x v="56"/>
    <x v="19"/>
    <x v="0"/>
  </r>
  <r>
    <x v="0"/>
    <x v="15"/>
    <x v="15"/>
    <x v="14"/>
    <x v="14"/>
    <x v="14"/>
    <x v="18"/>
    <x v="71"/>
    <x v="126"/>
    <x v="77"/>
    <x v="214"/>
    <x v="60"/>
    <x v="158"/>
    <x v="0"/>
  </r>
  <r>
    <x v="0"/>
    <x v="15"/>
    <x v="15"/>
    <x v="32"/>
    <x v="32"/>
    <x v="32"/>
    <x v="18"/>
    <x v="71"/>
    <x v="126"/>
    <x v="35"/>
    <x v="213"/>
    <x v="52"/>
    <x v="49"/>
    <x v="0"/>
  </r>
  <r>
    <x v="0"/>
    <x v="16"/>
    <x v="16"/>
    <x v="2"/>
    <x v="2"/>
    <x v="2"/>
    <x v="0"/>
    <x v="107"/>
    <x v="166"/>
    <x v="40"/>
    <x v="217"/>
    <x v="59"/>
    <x v="130"/>
    <x v="0"/>
  </r>
  <r>
    <x v="0"/>
    <x v="16"/>
    <x v="16"/>
    <x v="0"/>
    <x v="0"/>
    <x v="0"/>
    <x v="1"/>
    <x v="108"/>
    <x v="167"/>
    <x v="96"/>
    <x v="218"/>
    <x v="59"/>
    <x v="130"/>
    <x v="0"/>
  </r>
  <r>
    <x v="0"/>
    <x v="16"/>
    <x v="16"/>
    <x v="3"/>
    <x v="3"/>
    <x v="3"/>
    <x v="2"/>
    <x v="47"/>
    <x v="168"/>
    <x v="97"/>
    <x v="219"/>
    <x v="38"/>
    <x v="160"/>
    <x v="0"/>
  </r>
  <r>
    <x v="0"/>
    <x v="16"/>
    <x v="16"/>
    <x v="7"/>
    <x v="7"/>
    <x v="7"/>
    <x v="3"/>
    <x v="48"/>
    <x v="169"/>
    <x v="98"/>
    <x v="105"/>
    <x v="57"/>
    <x v="116"/>
    <x v="7"/>
  </r>
  <r>
    <x v="0"/>
    <x v="16"/>
    <x v="16"/>
    <x v="6"/>
    <x v="6"/>
    <x v="6"/>
    <x v="4"/>
    <x v="103"/>
    <x v="170"/>
    <x v="34"/>
    <x v="109"/>
    <x v="37"/>
    <x v="161"/>
    <x v="0"/>
  </r>
  <r>
    <x v="0"/>
    <x v="16"/>
    <x v="16"/>
    <x v="8"/>
    <x v="8"/>
    <x v="8"/>
    <x v="5"/>
    <x v="51"/>
    <x v="113"/>
    <x v="58"/>
    <x v="85"/>
    <x v="70"/>
    <x v="162"/>
    <x v="0"/>
  </r>
  <r>
    <x v="0"/>
    <x v="16"/>
    <x v="16"/>
    <x v="29"/>
    <x v="29"/>
    <x v="29"/>
    <x v="6"/>
    <x v="95"/>
    <x v="171"/>
    <x v="57"/>
    <x v="48"/>
    <x v="41"/>
    <x v="163"/>
    <x v="0"/>
  </r>
  <r>
    <x v="0"/>
    <x v="16"/>
    <x v="16"/>
    <x v="1"/>
    <x v="1"/>
    <x v="1"/>
    <x v="7"/>
    <x v="54"/>
    <x v="88"/>
    <x v="37"/>
    <x v="220"/>
    <x v="52"/>
    <x v="49"/>
    <x v="0"/>
  </r>
  <r>
    <x v="0"/>
    <x v="16"/>
    <x v="16"/>
    <x v="16"/>
    <x v="16"/>
    <x v="16"/>
    <x v="8"/>
    <x v="104"/>
    <x v="139"/>
    <x v="57"/>
    <x v="48"/>
    <x v="60"/>
    <x v="54"/>
    <x v="0"/>
  </r>
  <r>
    <x v="0"/>
    <x v="16"/>
    <x v="16"/>
    <x v="10"/>
    <x v="10"/>
    <x v="10"/>
    <x v="8"/>
    <x v="104"/>
    <x v="139"/>
    <x v="50"/>
    <x v="221"/>
    <x v="55"/>
    <x v="44"/>
    <x v="0"/>
  </r>
  <r>
    <x v="0"/>
    <x v="16"/>
    <x v="16"/>
    <x v="14"/>
    <x v="14"/>
    <x v="14"/>
    <x v="10"/>
    <x v="75"/>
    <x v="172"/>
    <x v="69"/>
    <x v="110"/>
    <x v="61"/>
    <x v="164"/>
    <x v="0"/>
  </r>
  <r>
    <x v="0"/>
    <x v="16"/>
    <x v="16"/>
    <x v="4"/>
    <x v="4"/>
    <x v="4"/>
    <x v="11"/>
    <x v="82"/>
    <x v="116"/>
    <x v="76"/>
    <x v="222"/>
    <x v="42"/>
    <x v="165"/>
    <x v="0"/>
  </r>
  <r>
    <x v="0"/>
    <x v="16"/>
    <x v="16"/>
    <x v="13"/>
    <x v="13"/>
    <x v="13"/>
    <x v="12"/>
    <x v="105"/>
    <x v="149"/>
    <x v="64"/>
    <x v="223"/>
    <x v="44"/>
    <x v="132"/>
    <x v="0"/>
  </r>
  <r>
    <x v="0"/>
    <x v="16"/>
    <x v="16"/>
    <x v="43"/>
    <x v="43"/>
    <x v="43"/>
    <x v="12"/>
    <x v="105"/>
    <x v="149"/>
    <x v="53"/>
    <x v="224"/>
    <x v="56"/>
    <x v="52"/>
    <x v="0"/>
  </r>
  <r>
    <x v="0"/>
    <x v="16"/>
    <x v="16"/>
    <x v="48"/>
    <x v="48"/>
    <x v="48"/>
    <x v="14"/>
    <x v="57"/>
    <x v="13"/>
    <x v="76"/>
    <x v="222"/>
    <x v="37"/>
    <x v="161"/>
    <x v="0"/>
  </r>
  <r>
    <x v="0"/>
    <x v="16"/>
    <x v="16"/>
    <x v="5"/>
    <x v="5"/>
    <x v="5"/>
    <x v="14"/>
    <x v="57"/>
    <x v="13"/>
    <x v="36"/>
    <x v="31"/>
    <x v="59"/>
    <x v="130"/>
    <x v="0"/>
  </r>
  <r>
    <x v="0"/>
    <x v="16"/>
    <x v="16"/>
    <x v="22"/>
    <x v="22"/>
    <x v="22"/>
    <x v="16"/>
    <x v="59"/>
    <x v="34"/>
    <x v="84"/>
    <x v="225"/>
    <x v="40"/>
    <x v="37"/>
    <x v="0"/>
  </r>
  <r>
    <x v="0"/>
    <x v="16"/>
    <x v="16"/>
    <x v="9"/>
    <x v="9"/>
    <x v="9"/>
    <x v="17"/>
    <x v="60"/>
    <x v="173"/>
    <x v="49"/>
    <x v="226"/>
    <x v="48"/>
    <x v="58"/>
    <x v="0"/>
  </r>
  <r>
    <x v="0"/>
    <x v="16"/>
    <x v="16"/>
    <x v="18"/>
    <x v="18"/>
    <x v="18"/>
    <x v="17"/>
    <x v="60"/>
    <x v="173"/>
    <x v="68"/>
    <x v="227"/>
    <x v="40"/>
    <x v="37"/>
    <x v="0"/>
  </r>
  <r>
    <x v="0"/>
    <x v="16"/>
    <x v="16"/>
    <x v="20"/>
    <x v="20"/>
    <x v="20"/>
    <x v="19"/>
    <x v="61"/>
    <x v="80"/>
    <x v="69"/>
    <x v="110"/>
    <x v="37"/>
    <x v="161"/>
    <x v="0"/>
  </r>
  <r>
    <x v="0"/>
    <x v="17"/>
    <x v="17"/>
    <x v="25"/>
    <x v="25"/>
    <x v="25"/>
    <x v="0"/>
    <x v="109"/>
    <x v="174"/>
    <x v="62"/>
    <x v="205"/>
    <x v="24"/>
    <x v="166"/>
    <x v="0"/>
  </r>
  <r>
    <x v="0"/>
    <x v="17"/>
    <x v="17"/>
    <x v="0"/>
    <x v="0"/>
    <x v="0"/>
    <x v="1"/>
    <x v="93"/>
    <x v="175"/>
    <x v="99"/>
    <x v="228"/>
    <x v="52"/>
    <x v="49"/>
    <x v="0"/>
  </r>
  <r>
    <x v="0"/>
    <x v="17"/>
    <x v="17"/>
    <x v="49"/>
    <x v="49"/>
    <x v="49"/>
    <x v="2"/>
    <x v="110"/>
    <x v="176"/>
    <x v="74"/>
    <x v="229"/>
    <x v="63"/>
    <x v="167"/>
    <x v="0"/>
  </r>
  <r>
    <x v="0"/>
    <x v="17"/>
    <x v="17"/>
    <x v="1"/>
    <x v="1"/>
    <x v="1"/>
    <x v="3"/>
    <x v="95"/>
    <x v="54"/>
    <x v="79"/>
    <x v="230"/>
    <x v="52"/>
    <x v="49"/>
    <x v="0"/>
  </r>
  <r>
    <x v="0"/>
    <x v="17"/>
    <x v="17"/>
    <x v="7"/>
    <x v="7"/>
    <x v="7"/>
    <x v="4"/>
    <x v="53"/>
    <x v="144"/>
    <x v="57"/>
    <x v="108"/>
    <x v="37"/>
    <x v="133"/>
    <x v="6"/>
  </r>
  <r>
    <x v="0"/>
    <x v="17"/>
    <x v="17"/>
    <x v="11"/>
    <x v="11"/>
    <x v="11"/>
    <x v="5"/>
    <x v="54"/>
    <x v="177"/>
    <x v="72"/>
    <x v="231"/>
    <x v="56"/>
    <x v="0"/>
    <x v="0"/>
  </r>
  <r>
    <x v="0"/>
    <x v="17"/>
    <x v="17"/>
    <x v="17"/>
    <x v="17"/>
    <x v="17"/>
    <x v="6"/>
    <x v="77"/>
    <x v="71"/>
    <x v="58"/>
    <x v="160"/>
    <x v="46"/>
    <x v="168"/>
    <x v="0"/>
  </r>
  <r>
    <x v="0"/>
    <x v="17"/>
    <x v="17"/>
    <x v="5"/>
    <x v="5"/>
    <x v="5"/>
    <x v="7"/>
    <x v="105"/>
    <x v="86"/>
    <x v="54"/>
    <x v="232"/>
    <x v="52"/>
    <x v="49"/>
    <x v="0"/>
  </r>
  <r>
    <x v="0"/>
    <x v="17"/>
    <x v="17"/>
    <x v="9"/>
    <x v="9"/>
    <x v="9"/>
    <x v="8"/>
    <x v="83"/>
    <x v="146"/>
    <x v="49"/>
    <x v="155"/>
    <x v="53"/>
    <x v="169"/>
    <x v="0"/>
  </r>
  <r>
    <x v="0"/>
    <x v="17"/>
    <x v="17"/>
    <x v="16"/>
    <x v="16"/>
    <x v="16"/>
    <x v="9"/>
    <x v="58"/>
    <x v="139"/>
    <x v="52"/>
    <x v="233"/>
    <x v="39"/>
    <x v="170"/>
    <x v="0"/>
  </r>
  <r>
    <x v="0"/>
    <x v="17"/>
    <x v="17"/>
    <x v="4"/>
    <x v="4"/>
    <x v="4"/>
    <x v="10"/>
    <x v="59"/>
    <x v="89"/>
    <x v="62"/>
    <x v="205"/>
    <x v="54"/>
    <x v="171"/>
    <x v="0"/>
  </r>
  <r>
    <x v="0"/>
    <x v="17"/>
    <x v="17"/>
    <x v="37"/>
    <x v="37"/>
    <x v="37"/>
    <x v="11"/>
    <x v="67"/>
    <x v="172"/>
    <x v="63"/>
    <x v="68"/>
    <x v="52"/>
    <x v="49"/>
    <x v="0"/>
  </r>
  <r>
    <x v="0"/>
    <x v="17"/>
    <x v="17"/>
    <x v="18"/>
    <x v="18"/>
    <x v="18"/>
    <x v="12"/>
    <x v="85"/>
    <x v="48"/>
    <x v="35"/>
    <x v="163"/>
    <x v="59"/>
    <x v="172"/>
    <x v="0"/>
  </r>
  <r>
    <x v="0"/>
    <x v="17"/>
    <x v="17"/>
    <x v="44"/>
    <x v="44"/>
    <x v="44"/>
    <x v="12"/>
    <x v="85"/>
    <x v="48"/>
    <x v="67"/>
    <x v="234"/>
    <x v="41"/>
    <x v="173"/>
    <x v="0"/>
  </r>
  <r>
    <x v="0"/>
    <x v="17"/>
    <x v="17"/>
    <x v="50"/>
    <x v="50"/>
    <x v="50"/>
    <x v="14"/>
    <x v="68"/>
    <x v="126"/>
    <x v="76"/>
    <x v="161"/>
    <x v="39"/>
    <x v="170"/>
    <x v="0"/>
  </r>
  <r>
    <x v="0"/>
    <x v="17"/>
    <x v="17"/>
    <x v="6"/>
    <x v="6"/>
    <x v="6"/>
    <x v="14"/>
    <x v="68"/>
    <x v="126"/>
    <x v="76"/>
    <x v="161"/>
    <x v="39"/>
    <x v="170"/>
    <x v="0"/>
  </r>
  <r>
    <x v="0"/>
    <x v="17"/>
    <x v="17"/>
    <x v="2"/>
    <x v="2"/>
    <x v="2"/>
    <x v="14"/>
    <x v="68"/>
    <x v="126"/>
    <x v="76"/>
    <x v="161"/>
    <x v="39"/>
    <x v="170"/>
    <x v="0"/>
  </r>
  <r>
    <x v="0"/>
    <x v="17"/>
    <x v="17"/>
    <x v="13"/>
    <x v="13"/>
    <x v="13"/>
    <x v="17"/>
    <x v="69"/>
    <x v="16"/>
    <x v="67"/>
    <x v="234"/>
    <x v="37"/>
    <x v="133"/>
    <x v="0"/>
  </r>
  <r>
    <x v="0"/>
    <x v="17"/>
    <x v="17"/>
    <x v="19"/>
    <x v="19"/>
    <x v="19"/>
    <x v="18"/>
    <x v="70"/>
    <x v="178"/>
    <x v="75"/>
    <x v="235"/>
    <x v="55"/>
    <x v="174"/>
    <x v="0"/>
  </r>
  <r>
    <x v="0"/>
    <x v="17"/>
    <x v="17"/>
    <x v="33"/>
    <x v="33"/>
    <x v="33"/>
    <x v="19"/>
    <x v="63"/>
    <x v="179"/>
    <x v="67"/>
    <x v="234"/>
    <x v="58"/>
    <x v="120"/>
    <x v="0"/>
  </r>
  <r>
    <x v="0"/>
    <x v="17"/>
    <x v="17"/>
    <x v="10"/>
    <x v="10"/>
    <x v="10"/>
    <x v="19"/>
    <x v="63"/>
    <x v="179"/>
    <x v="56"/>
    <x v="236"/>
    <x v="43"/>
    <x v="175"/>
    <x v="0"/>
  </r>
  <r>
    <x v="0"/>
    <x v="17"/>
    <x v="17"/>
    <x v="14"/>
    <x v="14"/>
    <x v="14"/>
    <x v="19"/>
    <x v="63"/>
    <x v="179"/>
    <x v="51"/>
    <x v="165"/>
    <x v="40"/>
    <x v="176"/>
    <x v="0"/>
  </r>
  <r>
    <x v="0"/>
    <x v="17"/>
    <x v="17"/>
    <x v="3"/>
    <x v="3"/>
    <x v="3"/>
    <x v="19"/>
    <x v="63"/>
    <x v="179"/>
    <x v="68"/>
    <x v="116"/>
    <x v="52"/>
    <x v="49"/>
    <x v="0"/>
  </r>
  <r>
    <x v="0"/>
    <x v="18"/>
    <x v="18"/>
    <x v="0"/>
    <x v="0"/>
    <x v="0"/>
    <x v="0"/>
    <x v="80"/>
    <x v="180"/>
    <x v="94"/>
    <x v="237"/>
    <x v="38"/>
    <x v="100"/>
    <x v="0"/>
  </r>
  <r>
    <x v="0"/>
    <x v="18"/>
    <x v="18"/>
    <x v="1"/>
    <x v="1"/>
    <x v="1"/>
    <x v="1"/>
    <x v="82"/>
    <x v="96"/>
    <x v="92"/>
    <x v="238"/>
    <x v="52"/>
    <x v="49"/>
    <x v="0"/>
  </r>
  <r>
    <x v="0"/>
    <x v="18"/>
    <x v="18"/>
    <x v="16"/>
    <x v="16"/>
    <x v="16"/>
    <x v="2"/>
    <x v="83"/>
    <x v="181"/>
    <x v="68"/>
    <x v="94"/>
    <x v="55"/>
    <x v="177"/>
    <x v="0"/>
  </r>
  <r>
    <x v="0"/>
    <x v="18"/>
    <x v="18"/>
    <x v="9"/>
    <x v="9"/>
    <x v="9"/>
    <x v="3"/>
    <x v="60"/>
    <x v="177"/>
    <x v="63"/>
    <x v="68"/>
    <x v="49"/>
    <x v="178"/>
    <x v="0"/>
  </r>
  <r>
    <x v="0"/>
    <x v="18"/>
    <x v="18"/>
    <x v="4"/>
    <x v="4"/>
    <x v="4"/>
    <x v="3"/>
    <x v="60"/>
    <x v="177"/>
    <x v="76"/>
    <x v="239"/>
    <x v="43"/>
    <x v="179"/>
    <x v="0"/>
  </r>
  <r>
    <x v="0"/>
    <x v="18"/>
    <x v="18"/>
    <x v="7"/>
    <x v="7"/>
    <x v="7"/>
    <x v="5"/>
    <x v="61"/>
    <x v="182"/>
    <x v="64"/>
    <x v="185"/>
    <x v="58"/>
    <x v="180"/>
    <x v="0"/>
  </r>
  <r>
    <x v="0"/>
    <x v="18"/>
    <x v="18"/>
    <x v="6"/>
    <x v="6"/>
    <x v="6"/>
    <x v="6"/>
    <x v="62"/>
    <x v="183"/>
    <x v="61"/>
    <x v="240"/>
    <x v="38"/>
    <x v="100"/>
    <x v="0"/>
  </r>
  <r>
    <x v="0"/>
    <x v="18"/>
    <x v="18"/>
    <x v="11"/>
    <x v="11"/>
    <x v="11"/>
    <x v="7"/>
    <x v="69"/>
    <x v="86"/>
    <x v="84"/>
    <x v="241"/>
    <x v="52"/>
    <x v="49"/>
    <x v="0"/>
  </r>
  <r>
    <x v="0"/>
    <x v="18"/>
    <x v="18"/>
    <x v="10"/>
    <x v="10"/>
    <x v="10"/>
    <x v="8"/>
    <x v="70"/>
    <x v="184"/>
    <x v="66"/>
    <x v="242"/>
    <x v="43"/>
    <x v="179"/>
    <x v="0"/>
  </r>
  <r>
    <x v="0"/>
    <x v="18"/>
    <x v="18"/>
    <x v="3"/>
    <x v="3"/>
    <x v="3"/>
    <x v="8"/>
    <x v="70"/>
    <x v="184"/>
    <x v="35"/>
    <x v="243"/>
    <x v="39"/>
    <x v="11"/>
    <x v="0"/>
  </r>
  <r>
    <x v="0"/>
    <x v="18"/>
    <x v="18"/>
    <x v="13"/>
    <x v="13"/>
    <x v="13"/>
    <x v="10"/>
    <x v="64"/>
    <x v="125"/>
    <x v="67"/>
    <x v="113"/>
    <x v="43"/>
    <x v="179"/>
    <x v="0"/>
  </r>
  <r>
    <x v="0"/>
    <x v="18"/>
    <x v="18"/>
    <x v="44"/>
    <x v="44"/>
    <x v="44"/>
    <x v="10"/>
    <x v="64"/>
    <x v="125"/>
    <x v="65"/>
    <x v="175"/>
    <x v="40"/>
    <x v="181"/>
    <x v="0"/>
  </r>
  <r>
    <x v="0"/>
    <x v="18"/>
    <x v="18"/>
    <x v="17"/>
    <x v="17"/>
    <x v="17"/>
    <x v="12"/>
    <x v="65"/>
    <x v="140"/>
    <x v="75"/>
    <x v="244"/>
    <x v="60"/>
    <x v="182"/>
    <x v="0"/>
  </r>
  <r>
    <x v="0"/>
    <x v="18"/>
    <x v="18"/>
    <x v="2"/>
    <x v="2"/>
    <x v="2"/>
    <x v="12"/>
    <x v="65"/>
    <x v="140"/>
    <x v="69"/>
    <x v="213"/>
    <x v="38"/>
    <x v="100"/>
    <x v="0"/>
  </r>
  <r>
    <x v="0"/>
    <x v="18"/>
    <x v="18"/>
    <x v="5"/>
    <x v="5"/>
    <x v="5"/>
    <x v="12"/>
    <x v="65"/>
    <x v="140"/>
    <x v="58"/>
    <x v="245"/>
    <x v="52"/>
    <x v="49"/>
    <x v="0"/>
  </r>
  <r>
    <x v="0"/>
    <x v="18"/>
    <x v="18"/>
    <x v="18"/>
    <x v="18"/>
    <x v="18"/>
    <x v="15"/>
    <x v="66"/>
    <x v="49"/>
    <x v="66"/>
    <x v="242"/>
    <x v="38"/>
    <x v="100"/>
    <x v="0"/>
  </r>
  <r>
    <x v="0"/>
    <x v="18"/>
    <x v="18"/>
    <x v="34"/>
    <x v="34"/>
    <x v="34"/>
    <x v="15"/>
    <x v="66"/>
    <x v="49"/>
    <x v="56"/>
    <x v="31"/>
    <x v="39"/>
    <x v="11"/>
    <x v="0"/>
  </r>
  <r>
    <x v="0"/>
    <x v="18"/>
    <x v="18"/>
    <x v="51"/>
    <x v="51"/>
    <x v="51"/>
    <x v="15"/>
    <x v="66"/>
    <x v="49"/>
    <x v="63"/>
    <x v="68"/>
    <x v="60"/>
    <x v="182"/>
    <x v="0"/>
  </r>
  <r>
    <x v="0"/>
    <x v="18"/>
    <x v="18"/>
    <x v="15"/>
    <x v="15"/>
    <x v="15"/>
    <x v="18"/>
    <x v="72"/>
    <x v="119"/>
    <x v="65"/>
    <x v="175"/>
    <x v="54"/>
    <x v="183"/>
    <x v="0"/>
  </r>
  <r>
    <x v="0"/>
    <x v="18"/>
    <x v="18"/>
    <x v="45"/>
    <x v="45"/>
    <x v="45"/>
    <x v="18"/>
    <x v="72"/>
    <x v="119"/>
    <x v="49"/>
    <x v="127"/>
    <x v="43"/>
    <x v="179"/>
    <x v="0"/>
  </r>
  <r>
    <x v="0"/>
    <x v="18"/>
    <x v="18"/>
    <x v="52"/>
    <x v="52"/>
    <x v="52"/>
    <x v="18"/>
    <x v="72"/>
    <x v="119"/>
    <x v="75"/>
    <x v="244"/>
    <x v="40"/>
    <x v="181"/>
    <x v="0"/>
  </r>
  <r>
    <x v="0"/>
    <x v="18"/>
    <x v="18"/>
    <x v="12"/>
    <x v="12"/>
    <x v="12"/>
    <x v="18"/>
    <x v="72"/>
    <x v="119"/>
    <x v="56"/>
    <x v="31"/>
    <x v="38"/>
    <x v="100"/>
    <x v="0"/>
  </r>
  <r>
    <x v="0"/>
    <x v="19"/>
    <x v="19"/>
    <x v="0"/>
    <x v="0"/>
    <x v="0"/>
    <x v="0"/>
    <x v="111"/>
    <x v="185"/>
    <x v="100"/>
    <x v="246"/>
    <x v="42"/>
    <x v="184"/>
    <x v="0"/>
  </r>
  <r>
    <x v="0"/>
    <x v="19"/>
    <x v="19"/>
    <x v="5"/>
    <x v="5"/>
    <x v="5"/>
    <x v="1"/>
    <x v="112"/>
    <x v="186"/>
    <x v="101"/>
    <x v="247"/>
    <x v="59"/>
    <x v="83"/>
    <x v="0"/>
  </r>
  <r>
    <x v="0"/>
    <x v="19"/>
    <x v="19"/>
    <x v="1"/>
    <x v="1"/>
    <x v="1"/>
    <x v="2"/>
    <x v="100"/>
    <x v="187"/>
    <x v="47"/>
    <x v="248"/>
    <x v="38"/>
    <x v="185"/>
    <x v="0"/>
  </r>
  <r>
    <x v="0"/>
    <x v="19"/>
    <x v="19"/>
    <x v="12"/>
    <x v="12"/>
    <x v="12"/>
    <x v="3"/>
    <x v="79"/>
    <x v="188"/>
    <x v="80"/>
    <x v="154"/>
    <x v="57"/>
    <x v="145"/>
    <x v="0"/>
  </r>
  <r>
    <x v="0"/>
    <x v="19"/>
    <x v="19"/>
    <x v="4"/>
    <x v="4"/>
    <x v="4"/>
    <x v="4"/>
    <x v="52"/>
    <x v="8"/>
    <x v="50"/>
    <x v="249"/>
    <x v="62"/>
    <x v="186"/>
    <x v="0"/>
  </r>
  <r>
    <x v="0"/>
    <x v="19"/>
    <x v="19"/>
    <x v="6"/>
    <x v="6"/>
    <x v="6"/>
    <x v="5"/>
    <x v="54"/>
    <x v="156"/>
    <x v="83"/>
    <x v="250"/>
    <x v="43"/>
    <x v="27"/>
    <x v="0"/>
  </r>
  <r>
    <x v="0"/>
    <x v="19"/>
    <x v="19"/>
    <x v="14"/>
    <x v="14"/>
    <x v="14"/>
    <x v="6"/>
    <x v="55"/>
    <x v="157"/>
    <x v="66"/>
    <x v="148"/>
    <x v="25"/>
    <x v="187"/>
    <x v="0"/>
  </r>
  <r>
    <x v="0"/>
    <x v="19"/>
    <x v="19"/>
    <x v="7"/>
    <x v="7"/>
    <x v="7"/>
    <x v="7"/>
    <x v="75"/>
    <x v="189"/>
    <x v="52"/>
    <x v="147"/>
    <x v="37"/>
    <x v="188"/>
    <x v="6"/>
  </r>
  <r>
    <x v="0"/>
    <x v="19"/>
    <x v="19"/>
    <x v="10"/>
    <x v="10"/>
    <x v="10"/>
    <x v="8"/>
    <x v="56"/>
    <x v="115"/>
    <x v="52"/>
    <x v="147"/>
    <x v="37"/>
    <x v="188"/>
    <x v="0"/>
  </r>
  <r>
    <x v="0"/>
    <x v="19"/>
    <x v="19"/>
    <x v="3"/>
    <x v="3"/>
    <x v="3"/>
    <x v="9"/>
    <x v="76"/>
    <x v="190"/>
    <x v="83"/>
    <x v="250"/>
    <x v="52"/>
    <x v="49"/>
    <x v="0"/>
  </r>
  <r>
    <x v="0"/>
    <x v="19"/>
    <x v="19"/>
    <x v="9"/>
    <x v="9"/>
    <x v="9"/>
    <x v="10"/>
    <x v="82"/>
    <x v="165"/>
    <x v="65"/>
    <x v="251"/>
    <x v="53"/>
    <x v="189"/>
    <x v="0"/>
  </r>
  <r>
    <x v="0"/>
    <x v="19"/>
    <x v="19"/>
    <x v="18"/>
    <x v="18"/>
    <x v="18"/>
    <x v="11"/>
    <x v="105"/>
    <x v="31"/>
    <x v="35"/>
    <x v="252"/>
    <x v="63"/>
    <x v="4"/>
    <x v="0"/>
  </r>
  <r>
    <x v="0"/>
    <x v="19"/>
    <x v="19"/>
    <x v="15"/>
    <x v="15"/>
    <x v="15"/>
    <x v="12"/>
    <x v="83"/>
    <x v="47"/>
    <x v="56"/>
    <x v="203"/>
    <x v="46"/>
    <x v="190"/>
    <x v="0"/>
  </r>
  <r>
    <x v="0"/>
    <x v="19"/>
    <x v="19"/>
    <x v="20"/>
    <x v="20"/>
    <x v="20"/>
    <x v="13"/>
    <x v="84"/>
    <x v="191"/>
    <x v="69"/>
    <x v="253"/>
    <x v="44"/>
    <x v="191"/>
    <x v="0"/>
  </r>
  <r>
    <x v="0"/>
    <x v="19"/>
    <x v="19"/>
    <x v="2"/>
    <x v="2"/>
    <x v="2"/>
    <x v="13"/>
    <x v="84"/>
    <x v="191"/>
    <x v="81"/>
    <x v="254"/>
    <x v="52"/>
    <x v="49"/>
    <x v="0"/>
  </r>
  <r>
    <x v="0"/>
    <x v="19"/>
    <x v="19"/>
    <x v="13"/>
    <x v="13"/>
    <x v="13"/>
    <x v="15"/>
    <x v="57"/>
    <x v="93"/>
    <x v="56"/>
    <x v="203"/>
    <x v="62"/>
    <x v="186"/>
    <x v="0"/>
  </r>
  <r>
    <x v="0"/>
    <x v="19"/>
    <x v="19"/>
    <x v="32"/>
    <x v="32"/>
    <x v="32"/>
    <x v="16"/>
    <x v="58"/>
    <x v="33"/>
    <x v="60"/>
    <x v="255"/>
    <x v="56"/>
    <x v="100"/>
    <x v="0"/>
  </r>
  <r>
    <x v="0"/>
    <x v="19"/>
    <x v="19"/>
    <x v="11"/>
    <x v="11"/>
    <x v="11"/>
    <x v="16"/>
    <x v="58"/>
    <x v="33"/>
    <x v="61"/>
    <x v="256"/>
    <x v="43"/>
    <x v="27"/>
    <x v="0"/>
  </r>
  <r>
    <x v="0"/>
    <x v="19"/>
    <x v="19"/>
    <x v="23"/>
    <x v="23"/>
    <x v="23"/>
    <x v="18"/>
    <x v="67"/>
    <x v="79"/>
    <x v="64"/>
    <x v="257"/>
    <x v="37"/>
    <x v="188"/>
    <x v="0"/>
  </r>
  <r>
    <x v="0"/>
    <x v="19"/>
    <x v="19"/>
    <x v="17"/>
    <x v="17"/>
    <x v="17"/>
    <x v="18"/>
    <x v="67"/>
    <x v="79"/>
    <x v="49"/>
    <x v="258"/>
    <x v="46"/>
    <x v="190"/>
    <x v="0"/>
  </r>
  <r>
    <x v="0"/>
    <x v="19"/>
    <x v="19"/>
    <x v="8"/>
    <x v="8"/>
    <x v="8"/>
    <x v="18"/>
    <x v="67"/>
    <x v="79"/>
    <x v="65"/>
    <x v="251"/>
    <x v="62"/>
    <x v="186"/>
    <x v="0"/>
  </r>
  <r>
    <x v="0"/>
    <x v="20"/>
    <x v="20"/>
    <x v="34"/>
    <x v="34"/>
    <x v="34"/>
    <x v="0"/>
    <x v="65"/>
    <x v="192"/>
    <x v="58"/>
    <x v="259"/>
    <x v="52"/>
    <x v="49"/>
    <x v="0"/>
  </r>
  <r>
    <x v="0"/>
    <x v="20"/>
    <x v="20"/>
    <x v="16"/>
    <x v="16"/>
    <x v="16"/>
    <x v="1"/>
    <x v="113"/>
    <x v="193"/>
    <x v="65"/>
    <x v="260"/>
    <x v="52"/>
    <x v="49"/>
    <x v="0"/>
  </r>
  <r>
    <x v="0"/>
    <x v="20"/>
    <x v="20"/>
    <x v="53"/>
    <x v="53"/>
    <x v="53"/>
    <x v="1"/>
    <x v="113"/>
    <x v="193"/>
    <x v="63"/>
    <x v="68"/>
    <x v="52"/>
    <x v="49"/>
    <x v="0"/>
  </r>
  <r>
    <x v="0"/>
    <x v="20"/>
    <x v="20"/>
    <x v="54"/>
    <x v="54"/>
    <x v="54"/>
    <x v="3"/>
    <x v="114"/>
    <x v="194"/>
    <x v="63"/>
    <x v="68"/>
    <x v="52"/>
    <x v="49"/>
    <x v="6"/>
  </r>
  <r>
    <x v="0"/>
    <x v="20"/>
    <x v="20"/>
    <x v="55"/>
    <x v="55"/>
    <x v="55"/>
    <x v="3"/>
    <x v="114"/>
    <x v="194"/>
    <x v="63"/>
    <x v="68"/>
    <x v="38"/>
    <x v="192"/>
    <x v="0"/>
  </r>
  <r>
    <x v="0"/>
    <x v="20"/>
    <x v="20"/>
    <x v="56"/>
    <x v="56"/>
    <x v="56"/>
    <x v="3"/>
    <x v="114"/>
    <x v="194"/>
    <x v="63"/>
    <x v="68"/>
    <x v="52"/>
    <x v="49"/>
    <x v="0"/>
  </r>
  <r>
    <x v="0"/>
    <x v="20"/>
    <x v="20"/>
    <x v="57"/>
    <x v="57"/>
    <x v="57"/>
    <x v="3"/>
    <x v="114"/>
    <x v="194"/>
    <x v="63"/>
    <x v="68"/>
    <x v="52"/>
    <x v="49"/>
    <x v="0"/>
  </r>
  <r>
    <x v="0"/>
    <x v="20"/>
    <x v="20"/>
    <x v="58"/>
    <x v="58"/>
    <x v="58"/>
    <x v="3"/>
    <x v="114"/>
    <x v="194"/>
    <x v="63"/>
    <x v="68"/>
    <x v="52"/>
    <x v="49"/>
    <x v="0"/>
  </r>
  <r>
    <x v="0"/>
    <x v="20"/>
    <x v="20"/>
    <x v="36"/>
    <x v="36"/>
    <x v="36"/>
    <x v="3"/>
    <x v="114"/>
    <x v="194"/>
    <x v="75"/>
    <x v="132"/>
    <x v="52"/>
    <x v="49"/>
    <x v="0"/>
  </r>
  <r>
    <x v="0"/>
    <x v="20"/>
    <x v="20"/>
    <x v="18"/>
    <x v="18"/>
    <x v="18"/>
    <x v="3"/>
    <x v="114"/>
    <x v="194"/>
    <x v="63"/>
    <x v="68"/>
    <x v="52"/>
    <x v="49"/>
    <x v="6"/>
  </r>
  <r>
    <x v="0"/>
    <x v="20"/>
    <x v="20"/>
    <x v="7"/>
    <x v="7"/>
    <x v="7"/>
    <x v="3"/>
    <x v="114"/>
    <x v="194"/>
    <x v="75"/>
    <x v="132"/>
    <x v="52"/>
    <x v="49"/>
    <x v="0"/>
  </r>
  <r>
    <x v="0"/>
    <x v="20"/>
    <x v="20"/>
    <x v="10"/>
    <x v="10"/>
    <x v="10"/>
    <x v="3"/>
    <x v="114"/>
    <x v="194"/>
    <x v="63"/>
    <x v="68"/>
    <x v="38"/>
    <x v="192"/>
    <x v="0"/>
  </r>
  <r>
    <x v="0"/>
    <x v="20"/>
    <x v="20"/>
    <x v="59"/>
    <x v="59"/>
    <x v="59"/>
    <x v="3"/>
    <x v="114"/>
    <x v="194"/>
    <x v="63"/>
    <x v="68"/>
    <x v="38"/>
    <x v="192"/>
    <x v="0"/>
  </r>
  <r>
    <x v="0"/>
    <x v="20"/>
    <x v="20"/>
    <x v="60"/>
    <x v="60"/>
    <x v="60"/>
    <x v="3"/>
    <x v="114"/>
    <x v="194"/>
    <x v="75"/>
    <x v="132"/>
    <x v="52"/>
    <x v="49"/>
    <x v="0"/>
  </r>
  <r>
    <x v="0"/>
    <x v="21"/>
    <x v="21"/>
    <x v="60"/>
    <x v="60"/>
    <x v="60"/>
    <x v="0"/>
    <x v="67"/>
    <x v="195"/>
    <x v="52"/>
    <x v="261"/>
    <x v="52"/>
    <x v="49"/>
    <x v="0"/>
  </r>
  <r>
    <x v="0"/>
    <x v="21"/>
    <x v="21"/>
    <x v="34"/>
    <x v="34"/>
    <x v="34"/>
    <x v="1"/>
    <x v="87"/>
    <x v="196"/>
    <x v="51"/>
    <x v="262"/>
    <x v="52"/>
    <x v="49"/>
    <x v="0"/>
  </r>
  <r>
    <x v="0"/>
    <x v="21"/>
    <x v="21"/>
    <x v="61"/>
    <x v="61"/>
    <x v="61"/>
    <x v="1"/>
    <x v="87"/>
    <x v="196"/>
    <x v="63"/>
    <x v="68"/>
    <x v="52"/>
    <x v="49"/>
    <x v="0"/>
  </r>
  <r>
    <x v="0"/>
    <x v="21"/>
    <x v="21"/>
    <x v="62"/>
    <x v="62"/>
    <x v="62"/>
    <x v="3"/>
    <x v="88"/>
    <x v="197"/>
    <x v="63"/>
    <x v="68"/>
    <x v="38"/>
    <x v="193"/>
    <x v="0"/>
  </r>
  <r>
    <x v="0"/>
    <x v="21"/>
    <x v="21"/>
    <x v="26"/>
    <x v="26"/>
    <x v="26"/>
    <x v="4"/>
    <x v="115"/>
    <x v="166"/>
    <x v="63"/>
    <x v="68"/>
    <x v="56"/>
    <x v="194"/>
    <x v="0"/>
  </r>
  <r>
    <x v="0"/>
    <x v="21"/>
    <x v="21"/>
    <x v="17"/>
    <x v="17"/>
    <x v="17"/>
    <x v="4"/>
    <x v="115"/>
    <x v="166"/>
    <x v="77"/>
    <x v="263"/>
    <x v="52"/>
    <x v="49"/>
    <x v="0"/>
  </r>
  <r>
    <x v="0"/>
    <x v="21"/>
    <x v="21"/>
    <x v="54"/>
    <x v="54"/>
    <x v="54"/>
    <x v="6"/>
    <x v="114"/>
    <x v="10"/>
    <x v="75"/>
    <x v="264"/>
    <x v="52"/>
    <x v="49"/>
    <x v="0"/>
  </r>
  <r>
    <x v="0"/>
    <x v="21"/>
    <x v="21"/>
    <x v="63"/>
    <x v="63"/>
    <x v="63"/>
    <x v="6"/>
    <x v="114"/>
    <x v="10"/>
    <x v="75"/>
    <x v="264"/>
    <x v="52"/>
    <x v="49"/>
    <x v="0"/>
  </r>
  <r>
    <x v="0"/>
    <x v="21"/>
    <x v="21"/>
    <x v="64"/>
    <x v="64"/>
    <x v="64"/>
    <x v="6"/>
    <x v="114"/>
    <x v="10"/>
    <x v="63"/>
    <x v="68"/>
    <x v="38"/>
    <x v="193"/>
    <x v="0"/>
  </r>
  <r>
    <x v="0"/>
    <x v="21"/>
    <x v="21"/>
    <x v="7"/>
    <x v="7"/>
    <x v="7"/>
    <x v="6"/>
    <x v="114"/>
    <x v="10"/>
    <x v="63"/>
    <x v="68"/>
    <x v="38"/>
    <x v="193"/>
    <x v="0"/>
  </r>
  <r>
    <x v="0"/>
    <x v="22"/>
    <x v="22"/>
    <x v="0"/>
    <x v="0"/>
    <x v="0"/>
    <x v="0"/>
    <x v="54"/>
    <x v="198"/>
    <x v="87"/>
    <x v="265"/>
    <x v="38"/>
    <x v="81"/>
    <x v="0"/>
  </r>
  <r>
    <x v="0"/>
    <x v="22"/>
    <x v="22"/>
    <x v="1"/>
    <x v="1"/>
    <x v="1"/>
    <x v="1"/>
    <x v="77"/>
    <x v="199"/>
    <x v="88"/>
    <x v="266"/>
    <x v="52"/>
    <x v="49"/>
    <x v="0"/>
  </r>
  <r>
    <x v="0"/>
    <x v="22"/>
    <x v="22"/>
    <x v="7"/>
    <x v="7"/>
    <x v="7"/>
    <x v="2"/>
    <x v="58"/>
    <x v="162"/>
    <x v="61"/>
    <x v="94"/>
    <x v="43"/>
    <x v="195"/>
    <x v="0"/>
  </r>
  <r>
    <x v="0"/>
    <x v="22"/>
    <x v="22"/>
    <x v="4"/>
    <x v="4"/>
    <x v="4"/>
    <x v="2"/>
    <x v="58"/>
    <x v="162"/>
    <x v="36"/>
    <x v="44"/>
    <x v="54"/>
    <x v="196"/>
    <x v="0"/>
  </r>
  <r>
    <x v="0"/>
    <x v="22"/>
    <x v="22"/>
    <x v="2"/>
    <x v="2"/>
    <x v="2"/>
    <x v="4"/>
    <x v="60"/>
    <x v="43"/>
    <x v="36"/>
    <x v="44"/>
    <x v="38"/>
    <x v="81"/>
    <x v="0"/>
  </r>
  <r>
    <x v="0"/>
    <x v="22"/>
    <x v="22"/>
    <x v="11"/>
    <x v="11"/>
    <x v="11"/>
    <x v="4"/>
    <x v="60"/>
    <x v="43"/>
    <x v="55"/>
    <x v="267"/>
    <x v="54"/>
    <x v="196"/>
    <x v="0"/>
  </r>
  <r>
    <x v="0"/>
    <x v="22"/>
    <x v="22"/>
    <x v="8"/>
    <x v="8"/>
    <x v="8"/>
    <x v="6"/>
    <x v="61"/>
    <x v="200"/>
    <x v="76"/>
    <x v="268"/>
    <x v="59"/>
    <x v="197"/>
    <x v="0"/>
  </r>
  <r>
    <x v="0"/>
    <x v="22"/>
    <x v="22"/>
    <x v="25"/>
    <x v="25"/>
    <x v="25"/>
    <x v="7"/>
    <x v="85"/>
    <x v="4"/>
    <x v="64"/>
    <x v="269"/>
    <x v="43"/>
    <x v="195"/>
    <x v="0"/>
  </r>
  <r>
    <x v="0"/>
    <x v="22"/>
    <x v="22"/>
    <x v="17"/>
    <x v="17"/>
    <x v="17"/>
    <x v="8"/>
    <x v="69"/>
    <x v="74"/>
    <x v="67"/>
    <x v="55"/>
    <x v="37"/>
    <x v="198"/>
    <x v="0"/>
  </r>
  <r>
    <x v="0"/>
    <x v="22"/>
    <x v="22"/>
    <x v="33"/>
    <x v="33"/>
    <x v="33"/>
    <x v="9"/>
    <x v="70"/>
    <x v="89"/>
    <x v="69"/>
    <x v="270"/>
    <x v="59"/>
    <x v="197"/>
    <x v="0"/>
  </r>
  <r>
    <x v="0"/>
    <x v="22"/>
    <x v="22"/>
    <x v="6"/>
    <x v="6"/>
    <x v="6"/>
    <x v="10"/>
    <x v="63"/>
    <x v="201"/>
    <x v="68"/>
    <x v="271"/>
    <x v="52"/>
    <x v="49"/>
    <x v="0"/>
  </r>
  <r>
    <x v="0"/>
    <x v="22"/>
    <x v="22"/>
    <x v="12"/>
    <x v="12"/>
    <x v="12"/>
    <x v="10"/>
    <x v="63"/>
    <x v="201"/>
    <x v="35"/>
    <x v="272"/>
    <x v="38"/>
    <x v="81"/>
    <x v="0"/>
  </r>
  <r>
    <x v="0"/>
    <x v="22"/>
    <x v="22"/>
    <x v="10"/>
    <x v="10"/>
    <x v="10"/>
    <x v="12"/>
    <x v="71"/>
    <x v="76"/>
    <x v="66"/>
    <x v="163"/>
    <x v="56"/>
    <x v="199"/>
    <x v="6"/>
  </r>
  <r>
    <x v="0"/>
    <x v="22"/>
    <x v="22"/>
    <x v="3"/>
    <x v="3"/>
    <x v="3"/>
    <x v="12"/>
    <x v="71"/>
    <x v="76"/>
    <x v="35"/>
    <x v="272"/>
    <x v="52"/>
    <x v="49"/>
    <x v="0"/>
  </r>
  <r>
    <x v="0"/>
    <x v="22"/>
    <x v="22"/>
    <x v="9"/>
    <x v="9"/>
    <x v="9"/>
    <x v="14"/>
    <x v="64"/>
    <x v="32"/>
    <x v="63"/>
    <x v="68"/>
    <x v="57"/>
    <x v="200"/>
    <x v="0"/>
  </r>
  <r>
    <x v="0"/>
    <x v="22"/>
    <x v="22"/>
    <x v="14"/>
    <x v="14"/>
    <x v="14"/>
    <x v="14"/>
    <x v="64"/>
    <x v="32"/>
    <x v="77"/>
    <x v="273"/>
    <x v="40"/>
    <x v="201"/>
    <x v="0"/>
  </r>
  <r>
    <x v="0"/>
    <x v="22"/>
    <x v="22"/>
    <x v="32"/>
    <x v="32"/>
    <x v="32"/>
    <x v="14"/>
    <x v="64"/>
    <x v="32"/>
    <x v="58"/>
    <x v="274"/>
    <x v="38"/>
    <x v="81"/>
    <x v="0"/>
  </r>
  <r>
    <x v="0"/>
    <x v="22"/>
    <x v="22"/>
    <x v="24"/>
    <x v="24"/>
    <x v="24"/>
    <x v="14"/>
    <x v="64"/>
    <x v="32"/>
    <x v="64"/>
    <x v="269"/>
    <x v="52"/>
    <x v="49"/>
    <x v="0"/>
  </r>
  <r>
    <x v="0"/>
    <x v="22"/>
    <x v="22"/>
    <x v="15"/>
    <x v="15"/>
    <x v="15"/>
    <x v="18"/>
    <x v="65"/>
    <x v="78"/>
    <x v="51"/>
    <x v="117"/>
    <x v="54"/>
    <x v="196"/>
    <x v="0"/>
  </r>
  <r>
    <x v="0"/>
    <x v="22"/>
    <x v="22"/>
    <x v="5"/>
    <x v="5"/>
    <x v="5"/>
    <x v="18"/>
    <x v="65"/>
    <x v="78"/>
    <x v="58"/>
    <x v="274"/>
    <x v="52"/>
    <x v="49"/>
    <x v="0"/>
  </r>
  <r>
    <x v="0"/>
    <x v="23"/>
    <x v="23"/>
    <x v="9"/>
    <x v="9"/>
    <x v="9"/>
    <x v="0"/>
    <x v="70"/>
    <x v="202"/>
    <x v="75"/>
    <x v="275"/>
    <x v="55"/>
    <x v="202"/>
    <x v="0"/>
  </r>
  <r>
    <x v="0"/>
    <x v="23"/>
    <x v="23"/>
    <x v="16"/>
    <x v="16"/>
    <x v="16"/>
    <x v="0"/>
    <x v="70"/>
    <x v="202"/>
    <x v="35"/>
    <x v="276"/>
    <x v="39"/>
    <x v="203"/>
    <x v="0"/>
  </r>
  <r>
    <x v="0"/>
    <x v="23"/>
    <x v="23"/>
    <x v="0"/>
    <x v="0"/>
    <x v="0"/>
    <x v="2"/>
    <x v="63"/>
    <x v="203"/>
    <x v="68"/>
    <x v="277"/>
    <x v="52"/>
    <x v="49"/>
    <x v="0"/>
  </r>
  <r>
    <x v="0"/>
    <x v="23"/>
    <x v="23"/>
    <x v="7"/>
    <x v="7"/>
    <x v="7"/>
    <x v="3"/>
    <x v="66"/>
    <x v="39"/>
    <x v="66"/>
    <x v="278"/>
    <x v="38"/>
    <x v="17"/>
    <x v="0"/>
  </r>
  <r>
    <x v="0"/>
    <x v="23"/>
    <x v="23"/>
    <x v="17"/>
    <x v="17"/>
    <x v="17"/>
    <x v="3"/>
    <x v="66"/>
    <x v="39"/>
    <x v="67"/>
    <x v="279"/>
    <x v="54"/>
    <x v="204"/>
    <x v="0"/>
  </r>
  <r>
    <x v="0"/>
    <x v="23"/>
    <x v="23"/>
    <x v="1"/>
    <x v="1"/>
    <x v="1"/>
    <x v="3"/>
    <x v="66"/>
    <x v="39"/>
    <x v="69"/>
    <x v="280"/>
    <x v="52"/>
    <x v="49"/>
    <x v="0"/>
  </r>
  <r>
    <x v="0"/>
    <x v="23"/>
    <x v="23"/>
    <x v="33"/>
    <x v="33"/>
    <x v="33"/>
    <x v="6"/>
    <x v="86"/>
    <x v="85"/>
    <x v="65"/>
    <x v="281"/>
    <x v="56"/>
    <x v="205"/>
    <x v="0"/>
  </r>
  <r>
    <x v="0"/>
    <x v="23"/>
    <x v="23"/>
    <x v="34"/>
    <x v="34"/>
    <x v="34"/>
    <x v="6"/>
    <x v="86"/>
    <x v="85"/>
    <x v="56"/>
    <x v="282"/>
    <x v="52"/>
    <x v="49"/>
    <x v="0"/>
  </r>
  <r>
    <x v="0"/>
    <x v="23"/>
    <x v="23"/>
    <x v="11"/>
    <x v="11"/>
    <x v="11"/>
    <x v="6"/>
    <x v="86"/>
    <x v="85"/>
    <x v="51"/>
    <x v="283"/>
    <x v="38"/>
    <x v="17"/>
    <x v="0"/>
  </r>
  <r>
    <x v="0"/>
    <x v="23"/>
    <x v="23"/>
    <x v="19"/>
    <x v="19"/>
    <x v="19"/>
    <x v="9"/>
    <x v="87"/>
    <x v="204"/>
    <x v="75"/>
    <x v="275"/>
    <x v="59"/>
    <x v="206"/>
    <x v="0"/>
  </r>
  <r>
    <x v="0"/>
    <x v="23"/>
    <x v="23"/>
    <x v="4"/>
    <x v="4"/>
    <x v="4"/>
    <x v="9"/>
    <x v="87"/>
    <x v="204"/>
    <x v="67"/>
    <x v="279"/>
    <x v="38"/>
    <x v="17"/>
    <x v="0"/>
  </r>
  <r>
    <x v="0"/>
    <x v="23"/>
    <x v="23"/>
    <x v="6"/>
    <x v="6"/>
    <x v="6"/>
    <x v="9"/>
    <x v="87"/>
    <x v="204"/>
    <x v="67"/>
    <x v="279"/>
    <x v="38"/>
    <x v="17"/>
    <x v="0"/>
  </r>
  <r>
    <x v="0"/>
    <x v="23"/>
    <x v="23"/>
    <x v="65"/>
    <x v="65"/>
    <x v="65"/>
    <x v="12"/>
    <x v="88"/>
    <x v="205"/>
    <x v="49"/>
    <x v="284"/>
    <x v="56"/>
    <x v="205"/>
    <x v="0"/>
  </r>
  <r>
    <x v="0"/>
    <x v="23"/>
    <x v="23"/>
    <x v="36"/>
    <x v="36"/>
    <x v="36"/>
    <x v="12"/>
    <x v="88"/>
    <x v="205"/>
    <x v="67"/>
    <x v="279"/>
    <x v="52"/>
    <x v="49"/>
    <x v="0"/>
  </r>
  <r>
    <x v="0"/>
    <x v="23"/>
    <x v="23"/>
    <x v="66"/>
    <x v="66"/>
    <x v="66"/>
    <x v="14"/>
    <x v="113"/>
    <x v="126"/>
    <x v="77"/>
    <x v="285"/>
    <x v="38"/>
    <x v="17"/>
    <x v="0"/>
  </r>
  <r>
    <x v="0"/>
    <x v="23"/>
    <x v="23"/>
    <x v="15"/>
    <x v="15"/>
    <x v="15"/>
    <x v="14"/>
    <x v="113"/>
    <x v="126"/>
    <x v="49"/>
    <x v="284"/>
    <x v="39"/>
    <x v="203"/>
    <x v="0"/>
  </r>
  <r>
    <x v="0"/>
    <x v="23"/>
    <x v="23"/>
    <x v="26"/>
    <x v="26"/>
    <x v="26"/>
    <x v="14"/>
    <x v="113"/>
    <x v="126"/>
    <x v="75"/>
    <x v="275"/>
    <x v="39"/>
    <x v="203"/>
    <x v="6"/>
  </r>
  <r>
    <x v="0"/>
    <x v="23"/>
    <x v="23"/>
    <x v="67"/>
    <x v="67"/>
    <x v="67"/>
    <x v="14"/>
    <x v="113"/>
    <x v="126"/>
    <x v="65"/>
    <x v="281"/>
    <x v="52"/>
    <x v="49"/>
    <x v="0"/>
  </r>
  <r>
    <x v="0"/>
    <x v="23"/>
    <x v="23"/>
    <x v="56"/>
    <x v="56"/>
    <x v="56"/>
    <x v="14"/>
    <x v="113"/>
    <x v="126"/>
    <x v="63"/>
    <x v="68"/>
    <x v="54"/>
    <x v="204"/>
    <x v="0"/>
  </r>
  <r>
    <x v="0"/>
    <x v="23"/>
    <x v="23"/>
    <x v="68"/>
    <x v="68"/>
    <x v="68"/>
    <x v="14"/>
    <x v="113"/>
    <x v="126"/>
    <x v="63"/>
    <x v="68"/>
    <x v="54"/>
    <x v="204"/>
    <x v="0"/>
  </r>
  <r>
    <x v="0"/>
    <x v="23"/>
    <x v="23"/>
    <x v="10"/>
    <x v="10"/>
    <x v="10"/>
    <x v="14"/>
    <x v="113"/>
    <x v="126"/>
    <x v="49"/>
    <x v="284"/>
    <x v="39"/>
    <x v="203"/>
    <x v="0"/>
  </r>
  <r>
    <x v="0"/>
    <x v="24"/>
    <x v="24"/>
    <x v="4"/>
    <x v="4"/>
    <x v="4"/>
    <x v="0"/>
    <x v="64"/>
    <x v="153"/>
    <x v="56"/>
    <x v="220"/>
    <x v="54"/>
    <x v="182"/>
    <x v="0"/>
  </r>
  <r>
    <x v="0"/>
    <x v="24"/>
    <x v="24"/>
    <x v="0"/>
    <x v="0"/>
    <x v="0"/>
    <x v="0"/>
    <x v="64"/>
    <x v="153"/>
    <x v="64"/>
    <x v="286"/>
    <x v="52"/>
    <x v="49"/>
    <x v="0"/>
  </r>
  <r>
    <x v="0"/>
    <x v="24"/>
    <x v="24"/>
    <x v="7"/>
    <x v="7"/>
    <x v="7"/>
    <x v="2"/>
    <x v="65"/>
    <x v="122"/>
    <x v="69"/>
    <x v="287"/>
    <x v="38"/>
    <x v="106"/>
    <x v="0"/>
  </r>
  <r>
    <x v="0"/>
    <x v="24"/>
    <x v="24"/>
    <x v="9"/>
    <x v="9"/>
    <x v="9"/>
    <x v="3"/>
    <x v="66"/>
    <x v="206"/>
    <x v="63"/>
    <x v="68"/>
    <x v="60"/>
    <x v="207"/>
    <x v="0"/>
  </r>
  <r>
    <x v="0"/>
    <x v="24"/>
    <x v="24"/>
    <x v="17"/>
    <x v="17"/>
    <x v="17"/>
    <x v="3"/>
    <x v="66"/>
    <x v="206"/>
    <x v="49"/>
    <x v="288"/>
    <x v="40"/>
    <x v="208"/>
    <x v="0"/>
  </r>
  <r>
    <x v="0"/>
    <x v="24"/>
    <x v="24"/>
    <x v="12"/>
    <x v="12"/>
    <x v="12"/>
    <x v="3"/>
    <x v="66"/>
    <x v="206"/>
    <x v="69"/>
    <x v="287"/>
    <x v="52"/>
    <x v="49"/>
    <x v="0"/>
  </r>
  <r>
    <x v="0"/>
    <x v="24"/>
    <x v="24"/>
    <x v="10"/>
    <x v="10"/>
    <x v="10"/>
    <x v="6"/>
    <x v="72"/>
    <x v="207"/>
    <x v="51"/>
    <x v="289"/>
    <x v="39"/>
    <x v="117"/>
    <x v="0"/>
  </r>
  <r>
    <x v="0"/>
    <x v="24"/>
    <x v="24"/>
    <x v="6"/>
    <x v="6"/>
    <x v="6"/>
    <x v="6"/>
    <x v="72"/>
    <x v="207"/>
    <x v="51"/>
    <x v="289"/>
    <x v="39"/>
    <x v="117"/>
    <x v="0"/>
  </r>
  <r>
    <x v="0"/>
    <x v="24"/>
    <x v="24"/>
    <x v="69"/>
    <x v="69"/>
    <x v="69"/>
    <x v="6"/>
    <x v="72"/>
    <x v="207"/>
    <x v="56"/>
    <x v="220"/>
    <x v="38"/>
    <x v="106"/>
    <x v="0"/>
  </r>
  <r>
    <x v="0"/>
    <x v="24"/>
    <x v="24"/>
    <x v="19"/>
    <x v="19"/>
    <x v="19"/>
    <x v="9"/>
    <x v="86"/>
    <x v="208"/>
    <x v="63"/>
    <x v="68"/>
    <x v="40"/>
    <x v="208"/>
    <x v="0"/>
  </r>
  <r>
    <x v="0"/>
    <x v="24"/>
    <x v="24"/>
    <x v="13"/>
    <x v="13"/>
    <x v="13"/>
    <x v="9"/>
    <x v="86"/>
    <x v="208"/>
    <x v="77"/>
    <x v="290"/>
    <x v="54"/>
    <x v="182"/>
    <x v="0"/>
  </r>
  <r>
    <x v="0"/>
    <x v="24"/>
    <x v="24"/>
    <x v="1"/>
    <x v="1"/>
    <x v="1"/>
    <x v="9"/>
    <x v="86"/>
    <x v="208"/>
    <x v="56"/>
    <x v="220"/>
    <x v="52"/>
    <x v="49"/>
    <x v="0"/>
  </r>
  <r>
    <x v="0"/>
    <x v="24"/>
    <x v="24"/>
    <x v="70"/>
    <x v="70"/>
    <x v="70"/>
    <x v="12"/>
    <x v="87"/>
    <x v="9"/>
    <x v="77"/>
    <x v="290"/>
    <x v="56"/>
    <x v="110"/>
    <x v="0"/>
  </r>
  <r>
    <x v="0"/>
    <x v="24"/>
    <x v="24"/>
    <x v="5"/>
    <x v="5"/>
    <x v="5"/>
    <x v="12"/>
    <x v="87"/>
    <x v="9"/>
    <x v="51"/>
    <x v="289"/>
    <x v="52"/>
    <x v="49"/>
    <x v="0"/>
  </r>
  <r>
    <x v="0"/>
    <x v="24"/>
    <x v="24"/>
    <x v="18"/>
    <x v="18"/>
    <x v="18"/>
    <x v="14"/>
    <x v="88"/>
    <x v="116"/>
    <x v="65"/>
    <x v="100"/>
    <x v="38"/>
    <x v="106"/>
    <x v="0"/>
  </r>
  <r>
    <x v="0"/>
    <x v="24"/>
    <x v="24"/>
    <x v="71"/>
    <x v="71"/>
    <x v="71"/>
    <x v="15"/>
    <x v="113"/>
    <x v="209"/>
    <x v="75"/>
    <x v="291"/>
    <x v="56"/>
    <x v="110"/>
    <x v="0"/>
  </r>
  <r>
    <x v="0"/>
    <x v="24"/>
    <x v="24"/>
    <x v="25"/>
    <x v="25"/>
    <x v="25"/>
    <x v="15"/>
    <x v="113"/>
    <x v="209"/>
    <x v="49"/>
    <x v="288"/>
    <x v="39"/>
    <x v="117"/>
    <x v="0"/>
  </r>
  <r>
    <x v="0"/>
    <x v="24"/>
    <x v="24"/>
    <x v="52"/>
    <x v="52"/>
    <x v="52"/>
    <x v="15"/>
    <x v="113"/>
    <x v="209"/>
    <x v="75"/>
    <x v="291"/>
    <x v="56"/>
    <x v="110"/>
    <x v="0"/>
  </r>
  <r>
    <x v="0"/>
    <x v="24"/>
    <x v="24"/>
    <x v="72"/>
    <x v="72"/>
    <x v="72"/>
    <x v="15"/>
    <x v="113"/>
    <x v="209"/>
    <x v="65"/>
    <x v="100"/>
    <x v="52"/>
    <x v="49"/>
    <x v="0"/>
  </r>
  <r>
    <x v="0"/>
    <x v="24"/>
    <x v="24"/>
    <x v="16"/>
    <x v="16"/>
    <x v="16"/>
    <x v="15"/>
    <x v="113"/>
    <x v="209"/>
    <x v="77"/>
    <x v="290"/>
    <x v="38"/>
    <x v="106"/>
    <x v="0"/>
  </r>
  <r>
    <x v="0"/>
    <x v="24"/>
    <x v="24"/>
    <x v="23"/>
    <x v="23"/>
    <x v="23"/>
    <x v="15"/>
    <x v="113"/>
    <x v="209"/>
    <x v="49"/>
    <x v="288"/>
    <x v="39"/>
    <x v="117"/>
    <x v="0"/>
  </r>
  <r>
    <x v="0"/>
    <x v="24"/>
    <x v="24"/>
    <x v="44"/>
    <x v="44"/>
    <x v="44"/>
    <x v="15"/>
    <x v="113"/>
    <x v="209"/>
    <x v="77"/>
    <x v="290"/>
    <x v="38"/>
    <x v="106"/>
    <x v="0"/>
  </r>
  <r>
    <x v="0"/>
    <x v="24"/>
    <x v="24"/>
    <x v="8"/>
    <x v="8"/>
    <x v="8"/>
    <x v="15"/>
    <x v="113"/>
    <x v="209"/>
    <x v="77"/>
    <x v="290"/>
    <x v="38"/>
    <x v="106"/>
    <x v="0"/>
  </r>
  <r>
    <x v="0"/>
    <x v="24"/>
    <x v="24"/>
    <x v="34"/>
    <x v="34"/>
    <x v="34"/>
    <x v="15"/>
    <x v="113"/>
    <x v="209"/>
    <x v="49"/>
    <x v="288"/>
    <x v="39"/>
    <x v="117"/>
    <x v="0"/>
  </r>
  <r>
    <x v="0"/>
    <x v="24"/>
    <x v="24"/>
    <x v="32"/>
    <x v="32"/>
    <x v="32"/>
    <x v="15"/>
    <x v="113"/>
    <x v="209"/>
    <x v="77"/>
    <x v="290"/>
    <x v="38"/>
    <x v="106"/>
    <x v="0"/>
  </r>
  <r>
    <x v="0"/>
    <x v="24"/>
    <x v="24"/>
    <x v="43"/>
    <x v="43"/>
    <x v="43"/>
    <x v="15"/>
    <x v="113"/>
    <x v="209"/>
    <x v="65"/>
    <x v="100"/>
    <x v="52"/>
    <x v="49"/>
    <x v="0"/>
  </r>
  <r>
    <x v="0"/>
    <x v="24"/>
    <x v="24"/>
    <x v="42"/>
    <x v="42"/>
    <x v="42"/>
    <x v="15"/>
    <x v="113"/>
    <x v="209"/>
    <x v="65"/>
    <x v="100"/>
    <x v="52"/>
    <x v="49"/>
    <x v="0"/>
  </r>
  <r>
    <x v="0"/>
    <x v="25"/>
    <x v="25"/>
    <x v="0"/>
    <x v="0"/>
    <x v="0"/>
    <x v="0"/>
    <x v="62"/>
    <x v="210"/>
    <x v="62"/>
    <x v="292"/>
    <x v="52"/>
    <x v="49"/>
    <x v="0"/>
  </r>
  <r>
    <x v="0"/>
    <x v="25"/>
    <x v="25"/>
    <x v="4"/>
    <x v="4"/>
    <x v="4"/>
    <x v="1"/>
    <x v="70"/>
    <x v="211"/>
    <x v="66"/>
    <x v="293"/>
    <x v="43"/>
    <x v="64"/>
    <x v="0"/>
  </r>
  <r>
    <x v="0"/>
    <x v="25"/>
    <x v="25"/>
    <x v="1"/>
    <x v="1"/>
    <x v="1"/>
    <x v="2"/>
    <x v="71"/>
    <x v="54"/>
    <x v="35"/>
    <x v="294"/>
    <x v="52"/>
    <x v="49"/>
    <x v="0"/>
  </r>
  <r>
    <x v="0"/>
    <x v="25"/>
    <x v="25"/>
    <x v="11"/>
    <x v="11"/>
    <x v="11"/>
    <x v="2"/>
    <x v="71"/>
    <x v="54"/>
    <x v="35"/>
    <x v="294"/>
    <x v="52"/>
    <x v="49"/>
    <x v="0"/>
  </r>
  <r>
    <x v="0"/>
    <x v="25"/>
    <x v="25"/>
    <x v="17"/>
    <x v="17"/>
    <x v="17"/>
    <x v="4"/>
    <x v="64"/>
    <x v="56"/>
    <x v="67"/>
    <x v="147"/>
    <x v="43"/>
    <x v="64"/>
    <x v="0"/>
  </r>
  <r>
    <x v="0"/>
    <x v="25"/>
    <x v="25"/>
    <x v="6"/>
    <x v="6"/>
    <x v="6"/>
    <x v="4"/>
    <x v="64"/>
    <x v="56"/>
    <x v="58"/>
    <x v="295"/>
    <x v="38"/>
    <x v="209"/>
    <x v="0"/>
  </r>
  <r>
    <x v="0"/>
    <x v="25"/>
    <x v="25"/>
    <x v="7"/>
    <x v="7"/>
    <x v="7"/>
    <x v="6"/>
    <x v="66"/>
    <x v="23"/>
    <x v="66"/>
    <x v="293"/>
    <x v="38"/>
    <x v="209"/>
    <x v="0"/>
  </r>
  <r>
    <x v="0"/>
    <x v="25"/>
    <x v="25"/>
    <x v="15"/>
    <x v="15"/>
    <x v="15"/>
    <x v="7"/>
    <x v="72"/>
    <x v="155"/>
    <x v="65"/>
    <x v="16"/>
    <x v="54"/>
    <x v="63"/>
    <x v="0"/>
  </r>
  <r>
    <x v="0"/>
    <x v="25"/>
    <x v="25"/>
    <x v="5"/>
    <x v="5"/>
    <x v="5"/>
    <x v="7"/>
    <x v="72"/>
    <x v="155"/>
    <x v="66"/>
    <x v="293"/>
    <x v="52"/>
    <x v="49"/>
    <x v="0"/>
  </r>
  <r>
    <x v="0"/>
    <x v="25"/>
    <x v="25"/>
    <x v="44"/>
    <x v="44"/>
    <x v="44"/>
    <x v="9"/>
    <x v="86"/>
    <x v="27"/>
    <x v="49"/>
    <x v="32"/>
    <x v="59"/>
    <x v="210"/>
    <x v="0"/>
  </r>
  <r>
    <x v="0"/>
    <x v="25"/>
    <x v="25"/>
    <x v="10"/>
    <x v="10"/>
    <x v="10"/>
    <x v="9"/>
    <x v="86"/>
    <x v="27"/>
    <x v="65"/>
    <x v="16"/>
    <x v="56"/>
    <x v="85"/>
    <x v="0"/>
  </r>
  <r>
    <x v="0"/>
    <x v="25"/>
    <x v="25"/>
    <x v="30"/>
    <x v="30"/>
    <x v="30"/>
    <x v="11"/>
    <x v="87"/>
    <x v="12"/>
    <x v="63"/>
    <x v="68"/>
    <x v="43"/>
    <x v="64"/>
    <x v="0"/>
  </r>
  <r>
    <x v="0"/>
    <x v="25"/>
    <x v="25"/>
    <x v="73"/>
    <x v="73"/>
    <x v="73"/>
    <x v="12"/>
    <x v="88"/>
    <x v="117"/>
    <x v="63"/>
    <x v="68"/>
    <x v="59"/>
    <x v="210"/>
    <x v="0"/>
  </r>
  <r>
    <x v="0"/>
    <x v="25"/>
    <x v="25"/>
    <x v="19"/>
    <x v="19"/>
    <x v="19"/>
    <x v="12"/>
    <x v="88"/>
    <x v="117"/>
    <x v="75"/>
    <x v="296"/>
    <x v="54"/>
    <x v="63"/>
    <x v="0"/>
  </r>
  <r>
    <x v="0"/>
    <x v="25"/>
    <x v="25"/>
    <x v="71"/>
    <x v="71"/>
    <x v="71"/>
    <x v="12"/>
    <x v="88"/>
    <x v="117"/>
    <x v="75"/>
    <x v="296"/>
    <x v="54"/>
    <x v="63"/>
    <x v="0"/>
  </r>
  <r>
    <x v="0"/>
    <x v="25"/>
    <x v="25"/>
    <x v="16"/>
    <x v="16"/>
    <x v="16"/>
    <x v="12"/>
    <x v="88"/>
    <x v="117"/>
    <x v="67"/>
    <x v="147"/>
    <x v="52"/>
    <x v="49"/>
    <x v="0"/>
  </r>
  <r>
    <x v="0"/>
    <x v="25"/>
    <x v="25"/>
    <x v="23"/>
    <x v="23"/>
    <x v="23"/>
    <x v="12"/>
    <x v="88"/>
    <x v="117"/>
    <x v="77"/>
    <x v="160"/>
    <x v="39"/>
    <x v="65"/>
    <x v="0"/>
  </r>
  <r>
    <x v="0"/>
    <x v="25"/>
    <x v="25"/>
    <x v="53"/>
    <x v="53"/>
    <x v="53"/>
    <x v="12"/>
    <x v="88"/>
    <x v="117"/>
    <x v="63"/>
    <x v="68"/>
    <x v="52"/>
    <x v="49"/>
    <x v="0"/>
  </r>
  <r>
    <x v="0"/>
    <x v="25"/>
    <x v="25"/>
    <x v="9"/>
    <x v="9"/>
    <x v="9"/>
    <x v="18"/>
    <x v="113"/>
    <x v="212"/>
    <x v="63"/>
    <x v="68"/>
    <x v="54"/>
    <x v="63"/>
    <x v="0"/>
  </r>
  <r>
    <x v="0"/>
    <x v="25"/>
    <x v="25"/>
    <x v="26"/>
    <x v="26"/>
    <x v="26"/>
    <x v="18"/>
    <x v="113"/>
    <x v="212"/>
    <x v="75"/>
    <x v="296"/>
    <x v="56"/>
    <x v="85"/>
    <x v="0"/>
  </r>
  <r>
    <x v="0"/>
    <x v="25"/>
    <x v="25"/>
    <x v="27"/>
    <x v="27"/>
    <x v="27"/>
    <x v="18"/>
    <x v="113"/>
    <x v="212"/>
    <x v="63"/>
    <x v="68"/>
    <x v="54"/>
    <x v="63"/>
    <x v="0"/>
  </r>
  <r>
    <x v="0"/>
    <x v="25"/>
    <x v="25"/>
    <x v="74"/>
    <x v="74"/>
    <x v="74"/>
    <x v="18"/>
    <x v="113"/>
    <x v="212"/>
    <x v="65"/>
    <x v="16"/>
    <x v="52"/>
    <x v="49"/>
    <x v="0"/>
  </r>
  <r>
    <x v="0"/>
    <x v="25"/>
    <x v="25"/>
    <x v="59"/>
    <x v="59"/>
    <x v="59"/>
    <x v="18"/>
    <x v="113"/>
    <x v="212"/>
    <x v="77"/>
    <x v="160"/>
    <x v="38"/>
    <x v="209"/>
    <x v="0"/>
  </r>
  <r>
    <x v="0"/>
    <x v="25"/>
    <x v="25"/>
    <x v="32"/>
    <x v="32"/>
    <x v="32"/>
    <x v="18"/>
    <x v="113"/>
    <x v="212"/>
    <x v="77"/>
    <x v="160"/>
    <x v="38"/>
    <x v="209"/>
    <x v="0"/>
  </r>
  <r>
    <x v="0"/>
    <x v="25"/>
    <x v="25"/>
    <x v="3"/>
    <x v="3"/>
    <x v="3"/>
    <x v="18"/>
    <x v="113"/>
    <x v="212"/>
    <x v="65"/>
    <x v="16"/>
    <x v="52"/>
    <x v="49"/>
    <x v="0"/>
  </r>
  <r>
    <x v="0"/>
    <x v="25"/>
    <x v="25"/>
    <x v="75"/>
    <x v="75"/>
    <x v="75"/>
    <x v="18"/>
    <x v="113"/>
    <x v="212"/>
    <x v="77"/>
    <x v="160"/>
    <x v="38"/>
    <x v="209"/>
    <x v="0"/>
  </r>
  <r>
    <x v="0"/>
    <x v="25"/>
    <x v="25"/>
    <x v="12"/>
    <x v="12"/>
    <x v="12"/>
    <x v="18"/>
    <x v="113"/>
    <x v="212"/>
    <x v="77"/>
    <x v="160"/>
    <x v="38"/>
    <x v="209"/>
    <x v="0"/>
  </r>
  <r>
    <x v="0"/>
    <x v="25"/>
    <x v="25"/>
    <x v="51"/>
    <x v="51"/>
    <x v="51"/>
    <x v="18"/>
    <x v="113"/>
    <x v="212"/>
    <x v="63"/>
    <x v="68"/>
    <x v="54"/>
    <x v="63"/>
    <x v="0"/>
  </r>
  <r>
    <x v="0"/>
    <x v="25"/>
    <x v="25"/>
    <x v="76"/>
    <x v="76"/>
    <x v="76"/>
    <x v="18"/>
    <x v="113"/>
    <x v="212"/>
    <x v="65"/>
    <x v="16"/>
    <x v="52"/>
    <x v="49"/>
    <x v="0"/>
  </r>
  <r>
    <x v="0"/>
    <x v="25"/>
    <x v="25"/>
    <x v="77"/>
    <x v="77"/>
    <x v="77"/>
    <x v="18"/>
    <x v="113"/>
    <x v="212"/>
    <x v="77"/>
    <x v="160"/>
    <x v="38"/>
    <x v="209"/>
    <x v="0"/>
  </r>
  <r>
    <x v="0"/>
    <x v="26"/>
    <x v="26"/>
    <x v="0"/>
    <x v="0"/>
    <x v="0"/>
    <x v="0"/>
    <x v="63"/>
    <x v="213"/>
    <x v="68"/>
    <x v="297"/>
    <x v="52"/>
    <x v="49"/>
    <x v="0"/>
  </r>
  <r>
    <x v="0"/>
    <x v="26"/>
    <x v="26"/>
    <x v="7"/>
    <x v="7"/>
    <x v="7"/>
    <x v="1"/>
    <x v="71"/>
    <x v="214"/>
    <x v="64"/>
    <x v="298"/>
    <x v="38"/>
    <x v="211"/>
    <x v="0"/>
  </r>
  <r>
    <x v="0"/>
    <x v="26"/>
    <x v="26"/>
    <x v="11"/>
    <x v="11"/>
    <x v="11"/>
    <x v="2"/>
    <x v="66"/>
    <x v="215"/>
    <x v="69"/>
    <x v="299"/>
    <x v="52"/>
    <x v="49"/>
    <x v="0"/>
  </r>
  <r>
    <x v="0"/>
    <x v="26"/>
    <x v="26"/>
    <x v="13"/>
    <x v="13"/>
    <x v="13"/>
    <x v="3"/>
    <x v="86"/>
    <x v="194"/>
    <x v="77"/>
    <x v="300"/>
    <x v="54"/>
    <x v="212"/>
    <x v="0"/>
  </r>
  <r>
    <x v="0"/>
    <x v="26"/>
    <x v="26"/>
    <x v="1"/>
    <x v="1"/>
    <x v="1"/>
    <x v="3"/>
    <x v="86"/>
    <x v="194"/>
    <x v="56"/>
    <x v="301"/>
    <x v="52"/>
    <x v="49"/>
    <x v="0"/>
  </r>
  <r>
    <x v="0"/>
    <x v="26"/>
    <x v="26"/>
    <x v="9"/>
    <x v="9"/>
    <x v="9"/>
    <x v="5"/>
    <x v="87"/>
    <x v="216"/>
    <x v="63"/>
    <x v="68"/>
    <x v="43"/>
    <x v="213"/>
    <x v="0"/>
  </r>
  <r>
    <x v="0"/>
    <x v="26"/>
    <x v="26"/>
    <x v="62"/>
    <x v="62"/>
    <x v="62"/>
    <x v="5"/>
    <x v="87"/>
    <x v="216"/>
    <x v="63"/>
    <x v="68"/>
    <x v="43"/>
    <x v="213"/>
    <x v="0"/>
  </r>
  <r>
    <x v="0"/>
    <x v="26"/>
    <x v="26"/>
    <x v="4"/>
    <x v="4"/>
    <x v="4"/>
    <x v="7"/>
    <x v="88"/>
    <x v="217"/>
    <x v="65"/>
    <x v="254"/>
    <x v="38"/>
    <x v="211"/>
    <x v="0"/>
  </r>
  <r>
    <x v="0"/>
    <x v="26"/>
    <x v="26"/>
    <x v="19"/>
    <x v="19"/>
    <x v="19"/>
    <x v="8"/>
    <x v="113"/>
    <x v="28"/>
    <x v="63"/>
    <x v="68"/>
    <x v="54"/>
    <x v="212"/>
    <x v="0"/>
  </r>
  <r>
    <x v="0"/>
    <x v="26"/>
    <x v="26"/>
    <x v="70"/>
    <x v="70"/>
    <x v="70"/>
    <x v="8"/>
    <x v="113"/>
    <x v="28"/>
    <x v="77"/>
    <x v="300"/>
    <x v="38"/>
    <x v="211"/>
    <x v="0"/>
  </r>
  <r>
    <x v="0"/>
    <x v="26"/>
    <x v="26"/>
    <x v="78"/>
    <x v="78"/>
    <x v="78"/>
    <x v="8"/>
    <x v="113"/>
    <x v="28"/>
    <x v="63"/>
    <x v="68"/>
    <x v="39"/>
    <x v="214"/>
    <x v="6"/>
  </r>
  <r>
    <x v="0"/>
    <x v="26"/>
    <x v="26"/>
    <x v="16"/>
    <x v="16"/>
    <x v="16"/>
    <x v="8"/>
    <x v="113"/>
    <x v="28"/>
    <x v="65"/>
    <x v="254"/>
    <x v="52"/>
    <x v="49"/>
    <x v="0"/>
  </r>
  <r>
    <x v="0"/>
    <x v="26"/>
    <x v="26"/>
    <x v="17"/>
    <x v="17"/>
    <x v="17"/>
    <x v="8"/>
    <x v="113"/>
    <x v="28"/>
    <x v="75"/>
    <x v="234"/>
    <x v="56"/>
    <x v="215"/>
    <x v="0"/>
  </r>
  <r>
    <x v="0"/>
    <x v="26"/>
    <x v="26"/>
    <x v="10"/>
    <x v="10"/>
    <x v="10"/>
    <x v="8"/>
    <x v="113"/>
    <x v="28"/>
    <x v="65"/>
    <x v="254"/>
    <x v="52"/>
    <x v="49"/>
    <x v="0"/>
  </r>
  <r>
    <x v="0"/>
    <x v="26"/>
    <x v="26"/>
    <x v="6"/>
    <x v="6"/>
    <x v="6"/>
    <x v="8"/>
    <x v="113"/>
    <x v="28"/>
    <x v="77"/>
    <x v="300"/>
    <x v="38"/>
    <x v="211"/>
    <x v="0"/>
  </r>
  <r>
    <x v="0"/>
    <x v="26"/>
    <x v="26"/>
    <x v="33"/>
    <x v="33"/>
    <x v="33"/>
    <x v="15"/>
    <x v="115"/>
    <x v="218"/>
    <x v="77"/>
    <x v="300"/>
    <x v="52"/>
    <x v="49"/>
    <x v="0"/>
  </r>
  <r>
    <x v="0"/>
    <x v="26"/>
    <x v="26"/>
    <x v="79"/>
    <x v="79"/>
    <x v="79"/>
    <x v="15"/>
    <x v="115"/>
    <x v="218"/>
    <x v="77"/>
    <x v="300"/>
    <x v="52"/>
    <x v="49"/>
    <x v="0"/>
  </r>
  <r>
    <x v="0"/>
    <x v="26"/>
    <x v="26"/>
    <x v="15"/>
    <x v="15"/>
    <x v="15"/>
    <x v="15"/>
    <x v="115"/>
    <x v="218"/>
    <x v="49"/>
    <x v="302"/>
    <x v="38"/>
    <x v="211"/>
    <x v="0"/>
  </r>
  <r>
    <x v="0"/>
    <x v="26"/>
    <x v="26"/>
    <x v="27"/>
    <x v="27"/>
    <x v="27"/>
    <x v="15"/>
    <x v="115"/>
    <x v="218"/>
    <x v="63"/>
    <x v="68"/>
    <x v="56"/>
    <x v="215"/>
    <x v="0"/>
  </r>
  <r>
    <x v="0"/>
    <x v="26"/>
    <x v="26"/>
    <x v="18"/>
    <x v="18"/>
    <x v="18"/>
    <x v="15"/>
    <x v="115"/>
    <x v="218"/>
    <x v="77"/>
    <x v="300"/>
    <x v="52"/>
    <x v="49"/>
    <x v="0"/>
  </r>
  <r>
    <x v="0"/>
    <x v="26"/>
    <x v="26"/>
    <x v="14"/>
    <x v="14"/>
    <x v="14"/>
    <x v="15"/>
    <x v="115"/>
    <x v="218"/>
    <x v="77"/>
    <x v="300"/>
    <x v="52"/>
    <x v="49"/>
    <x v="0"/>
  </r>
  <r>
    <x v="0"/>
    <x v="26"/>
    <x v="26"/>
    <x v="12"/>
    <x v="12"/>
    <x v="12"/>
    <x v="15"/>
    <x v="115"/>
    <x v="218"/>
    <x v="77"/>
    <x v="300"/>
    <x v="52"/>
    <x v="49"/>
    <x v="0"/>
  </r>
  <r>
    <x v="0"/>
    <x v="26"/>
    <x v="26"/>
    <x v="5"/>
    <x v="5"/>
    <x v="5"/>
    <x v="15"/>
    <x v="115"/>
    <x v="218"/>
    <x v="77"/>
    <x v="300"/>
    <x v="52"/>
    <x v="49"/>
    <x v="0"/>
  </r>
  <r>
    <x v="0"/>
    <x v="26"/>
    <x v="26"/>
    <x v="77"/>
    <x v="77"/>
    <x v="77"/>
    <x v="15"/>
    <x v="115"/>
    <x v="218"/>
    <x v="75"/>
    <x v="234"/>
    <x v="39"/>
    <x v="214"/>
    <x v="0"/>
  </r>
  <r>
    <x v="0"/>
    <x v="27"/>
    <x v="27"/>
    <x v="0"/>
    <x v="0"/>
    <x v="0"/>
    <x v="0"/>
    <x v="64"/>
    <x v="219"/>
    <x v="64"/>
    <x v="303"/>
    <x v="52"/>
    <x v="49"/>
    <x v="0"/>
  </r>
  <r>
    <x v="0"/>
    <x v="27"/>
    <x v="27"/>
    <x v="17"/>
    <x v="17"/>
    <x v="17"/>
    <x v="1"/>
    <x v="66"/>
    <x v="220"/>
    <x v="49"/>
    <x v="225"/>
    <x v="40"/>
    <x v="216"/>
    <x v="0"/>
  </r>
  <r>
    <x v="0"/>
    <x v="27"/>
    <x v="27"/>
    <x v="11"/>
    <x v="11"/>
    <x v="11"/>
    <x v="1"/>
    <x v="66"/>
    <x v="220"/>
    <x v="69"/>
    <x v="304"/>
    <x v="52"/>
    <x v="49"/>
    <x v="0"/>
  </r>
  <r>
    <x v="0"/>
    <x v="27"/>
    <x v="27"/>
    <x v="16"/>
    <x v="16"/>
    <x v="16"/>
    <x v="3"/>
    <x v="72"/>
    <x v="221"/>
    <x v="66"/>
    <x v="305"/>
    <x v="52"/>
    <x v="49"/>
    <x v="0"/>
  </r>
  <r>
    <x v="0"/>
    <x v="27"/>
    <x v="27"/>
    <x v="10"/>
    <x v="10"/>
    <x v="10"/>
    <x v="4"/>
    <x v="86"/>
    <x v="222"/>
    <x v="67"/>
    <x v="232"/>
    <x v="39"/>
    <x v="119"/>
    <x v="0"/>
  </r>
  <r>
    <x v="0"/>
    <x v="27"/>
    <x v="27"/>
    <x v="9"/>
    <x v="9"/>
    <x v="9"/>
    <x v="5"/>
    <x v="87"/>
    <x v="223"/>
    <x v="63"/>
    <x v="68"/>
    <x v="43"/>
    <x v="217"/>
    <x v="0"/>
  </r>
  <r>
    <x v="0"/>
    <x v="27"/>
    <x v="27"/>
    <x v="7"/>
    <x v="7"/>
    <x v="7"/>
    <x v="5"/>
    <x v="87"/>
    <x v="223"/>
    <x v="67"/>
    <x v="232"/>
    <x v="38"/>
    <x v="116"/>
    <x v="0"/>
  </r>
  <r>
    <x v="0"/>
    <x v="27"/>
    <x v="27"/>
    <x v="1"/>
    <x v="1"/>
    <x v="1"/>
    <x v="5"/>
    <x v="87"/>
    <x v="223"/>
    <x v="51"/>
    <x v="306"/>
    <x v="52"/>
    <x v="49"/>
    <x v="0"/>
  </r>
  <r>
    <x v="0"/>
    <x v="27"/>
    <x v="27"/>
    <x v="15"/>
    <x v="15"/>
    <x v="15"/>
    <x v="8"/>
    <x v="88"/>
    <x v="224"/>
    <x v="77"/>
    <x v="307"/>
    <x v="39"/>
    <x v="119"/>
    <x v="0"/>
  </r>
  <r>
    <x v="0"/>
    <x v="27"/>
    <x v="27"/>
    <x v="29"/>
    <x v="29"/>
    <x v="29"/>
    <x v="8"/>
    <x v="88"/>
    <x v="224"/>
    <x v="65"/>
    <x v="124"/>
    <x v="38"/>
    <x v="116"/>
    <x v="0"/>
  </r>
  <r>
    <x v="0"/>
    <x v="27"/>
    <x v="27"/>
    <x v="4"/>
    <x v="4"/>
    <x v="4"/>
    <x v="8"/>
    <x v="88"/>
    <x v="224"/>
    <x v="67"/>
    <x v="232"/>
    <x v="52"/>
    <x v="49"/>
    <x v="0"/>
  </r>
  <r>
    <x v="0"/>
    <x v="27"/>
    <x v="27"/>
    <x v="23"/>
    <x v="23"/>
    <x v="23"/>
    <x v="8"/>
    <x v="88"/>
    <x v="224"/>
    <x v="65"/>
    <x v="124"/>
    <x v="38"/>
    <x v="116"/>
    <x v="0"/>
  </r>
  <r>
    <x v="0"/>
    <x v="27"/>
    <x v="27"/>
    <x v="5"/>
    <x v="5"/>
    <x v="5"/>
    <x v="8"/>
    <x v="88"/>
    <x v="224"/>
    <x v="67"/>
    <x v="232"/>
    <x v="52"/>
    <x v="49"/>
    <x v="0"/>
  </r>
  <r>
    <x v="0"/>
    <x v="27"/>
    <x v="27"/>
    <x v="30"/>
    <x v="30"/>
    <x v="30"/>
    <x v="13"/>
    <x v="113"/>
    <x v="75"/>
    <x v="49"/>
    <x v="225"/>
    <x v="39"/>
    <x v="119"/>
    <x v="0"/>
  </r>
  <r>
    <x v="0"/>
    <x v="27"/>
    <x v="27"/>
    <x v="18"/>
    <x v="18"/>
    <x v="18"/>
    <x v="13"/>
    <x v="113"/>
    <x v="75"/>
    <x v="77"/>
    <x v="307"/>
    <x v="38"/>
    <x v="116"/>
    <x v="0"/>
  </r>
  <r>
    <x v="0"/>
    <x v="27"/>
    <x v="27"/>
    <x v="2"/>
    <x v="2"/>
    <x v="2"/>
    <x v="13"/>
    <x v="113"/>
    <x v="75"/>
    <x v="77"/>
    <x v="307"/>
    <x v="38"/>
    <x v="116"/>
    <x v="0"/>
  </r>
  <r>
    <x v="0"/>
    <x v="27"/>
    <x v="27"/>
    <x v="3"/>
    <x v="3"/>
    <x v="3"/>
    <x v="13"/>
    <x v="113"/>
    <x v="75"/>
    <x v="65"/>
    <x v="124"/>
    <x v="52"/>
    <x v="49"/>
    <x v="0"/>
  </r>
  <r>
    <x v="0"/>
    <x v="27"/>
    <x v="27"/>
    <x v="25"/>
    <x v="25"/>
    <x v="25"/>
    <x v="17"/>
    <x v="115"/>
    <x v="48"/>
    <x v="63"/>
    <x v="68"/>
    <x v="56"/>
    <x v="218"/>
    <x v="0"/>
  </r>
  <r>
    <x v="0"/>
    <x v="27"/>
    <x v="27"/>
    <x v="32"/>
    <x v="32"/>
    <x v="32"/>
    <x v="17"/>
    <x v="115"/>
    <x v="48"/>
    <x v="49"/>
    <x v="225"/>
    <x v="38"/>
    <x v="116"/>
    <x v="0"/>
  </r>
  <r>
    <x v="0"/>
    <x v="27"/>
    <x v="27"/>
    <x v="12"/>
    <x v="12"/>
    <x v="12"/>
    <x v="17"/>
    <x v="115"/>
    <x v="48"/>
    <x v="77"/>
    <x v="307"/>
    <x v="52"/>
    <x v="49"/>
    <x v="0"/>
  </r>
  <r>
    <x v="0"/>
    <x v="27"/>
    <x v="27"/>
    <x v="62"/>
    <x v="62"/>
    <x v="62"/>
    <x v="17"/>
    <x v="115"/>
    <x v="48"/>
    <x v="63"/>
    <x v="68"/>
    <x v="56"/>
    <x v="218"/>
    <x v="0"/>
  </r>
  <r>
    <x v="0"/>
    <x v="28"/>
    <x v="28"/>
    <x v="1"/>
    <x v="1"/>
    <x v="1"/>
    <x v="0"/>
    <x v="63"/>
    <x v="225"/>
    <x v="68"/>
    <x v="297"/>
    <x v="52"/>
    <x v="49"/>
    <x v="0"/>
  </r>
  <r>
    <x v="0"/>
    <x v="28"/>
    <x v="28"/>
    <x v="16"/>
    <x v="16"/>
    <x v="16"/>
    <x v="1"/>
    <x v="66"/>
    <x v="226"/>
    <x v="56"/>
    <x v="301"/>
    <x v="39"/>
    <x v="219"/>
    <x v="0"/>
  </r>
  <r>
    <x v="0"/>
    <x v="28"/>
    <x v="28"/>
    <x v="7"/>
    <x v="7"/>
    <x v="7"/>
    <x v="2"/>
    <x v="72"/>
    <x v="82"/>
    <x v="66"/>
    <x v="308"/>
    <x v="52"/>
    <x v="49"/>
    <x v="0"/>
  </r>
  <r>
    <x v="0"/>
    <x v="28"/>
    <x v="28"/>
    <x v="80"/>
    <x v="80"/>
    <x v="80"/>
    <x v="2"/>
    <x v="72"/>
    <x v="82"/>
    <x v="66"/>
    <x v="308"/>
    <x v="52"/>
    <x v="49"/>
    <x v="0"/>
  </r>
  <r>
    <x v="0"/>
    <x v="28"/>
    <x v="28"/>
    <x v="9"/>
    <x v="9"/>
    <x v="9"/>
    <x v="4"/>
    <x v="86"/>
    <x v="144"/>
    <x v="63"/>
    <x v="68"/>
    <x v="40"/>
    <x v="220"/>
    <x v="0"/>
  </r>
  <r>
    <x v="0"/>
    <x v="28"/>
    <x v="28"/>
    <x v="6"/>
    <x v="6"/>
    <x v="6"/>
    <x v="5"/>
    <x v="87"/>
    <x v="227"/>
    <x v="51"/>
    <x v="282"/>
    <x v="52"/>
    <x v="49"/>
    <x v="0"/>
  </r>
  <r>
    <x v="0"/>
    <x v="28"/>
    <x v="28"/>
    <x v="8"/>
    <x v="8"/>
    <x v="8"/>
    <x v="6"/>
    <x v="88"/>
    <x v="7"/>
    <x v="67"/>
    <x v="309"/>
    <x v="52"/>
    <x v="49"/>
    <x v="0"/>
  </r>
  <r>
    <x v="0"/>
    <x v="28"/>
    <x v="28"/>
    <x v="0"/>
    <x v="0"/>
    <x v="0"/>
    <x v="6"/>
    <x v="88"/>
    <x v="7"/>
    <x v="67"/>
    <x v="309"/>
    <x v="52"/>
    <x v="49"/>
    <x v="0"/>
  </r>
  <r>
    <x v="0"/>
    <x v="28"/>
    <x v="28"/>
    <x v="5"/>
    <x v="5"/>
    <x v="5"/>
    <x v="6"/>
    <x v="88"/>
    <x v="7"/>
    <x v="67"/>
    <x v="309"/>
    <x v="52"/>
    <x v="49"/>
    <x v="0"/>
  </r>
  <r>
    <x v="0"/>
    <x v="28"/>
    <x v="28"/>
    <x v="66"/>
    <x v="66"/>
    <x v="66"/>
    <x v="9"/>
    <x v="113"/>
    <x v="90"/>
    <x v="77"/>
    <x v="300"/>
    <x v="38"/>
    <x v="10"/>
    <x v="0"/>
  </r>
  <r>
    <x v="0"/>
    <x v="28"/>
    <x v="28"/>
    <x v="15"/>
    <x v="15"/>
    <x v="15"/>
    <x v="9"/>
    <x v="113"/>
    <x v="90"/>
    <x v="65"/>
    <x v="254"/>
    <x v="52"/>
    <x v="49"/>
    <x v="0"/>
  </r>
  <r>
    <x v="0"/>
    <x v="28"/>
    <x v="28"/>
    <x v="18"/>
    <x v="18"/>
    <x v="18"/>
    <x v="9"/>
    <x v="113"/>
    <x v="90"/>
    <x v="77"/>
    <x v="300"/>
    <x v="38"/>
    <x v="10"/>
    <x v="0"/>
  </r>
  <r>
    <x v="0"/>
    <x v="28"/>
    <x v="28"/>
    <x v="23"/>
    <x v="23"/>
    <x v="23"/>
    <x v="9"/>
    <x v="113"/>
    <x v="90"/>
    <x v="49"/>
    <x v="302"/>
    <x v="39"/>
    <x v="219"/>
    <x v="0"/>
  </r>
  <r>
    <x v="0"/>
    <x v="28"/>
    <x v="28"/>
    <x v="13"/>
    <x v="13"/>
    <x v="13"/>
    <x v="9"/>
    <x v="113"/>
    <x v="90"/>
    <x v="49"/>
    <x v="302"/>
    <x v="39"/>
    <x v="219"/>
    <x v="0"/>
  </r>
  <r>
    <x v="0"/>
    <x v="28"/>
    <x v="28"/>
    <x v="32"/>
    <x v="32"/>
    <x v="32"/>
    <x v="9"/>
    <x v="113"/>
    <x v="90"/>
    <x v="77"/>
    <x v="300"/>
    <x v="38"/>
    <x v="10"/>
    <x v="0"/>
  </r>
  <r>
    <x v="0"/>
    <x v="28"/>
    <x v="28"/>
    <x v="62"/>
    <x v="62"/>
    <x v="62"/>
    <x v="9"/>
    <x v="113"/>
    <x v="90"/>
    <x v="63"/>
    <x v="68"/>
    <x v="56"/>
    <x v="221"/>
    <x v="0"/>
  </r>
  <r>
    <x v="0"/>
    <x v="28"/>
    <x v="28"/>
    <x v="11"/>
    <x v="11"/>
    <x v="11"/>
    <x v="9"/>
    <x v="113"/>
    <x v="90"/>
    <x v="65"/>
    <x v="254"/>
    <x v="52"/>
    <x v="49"/>
    <x v="0"/>
  </r>
  <r>
    <x v="0"/>
    <x v="28"/>
    <x v="28"/>
    <x v="19"/>
    <x v="19"/>
    <x v="19"/>
    <x v="17"/>
    <x v="115"/>
    <x v="117"/>
    <x v="75"/>
    <x v="234"/>
    <x v="39"/>
    <x v="219"/>
    <x v="0"/>
  </r>
  <r>
    <x v="0"/>
    <x v="28"/>
    <x v="28"/>
    <x v="31"/>
    <x v="31"/>
    <x v="31"/>
    <x v="17"/>
    <x v="115"/>
    <x v="117"/>
    <x v="63"/>
    <x v="68"/>
    <x v="56"/>
    <x v="221"/>
    <x v="0"/>
  </r>
  <r>
    <x v="0"/>
    <x v="28"/>
    <x v="28"/>
    <x v="81"/>
    <x v="81"/>
    <x v="81"/>
    <x v="17"/>
    <x v="115"/>
    <x v="117"/>
    <x v="77"/>
    <x v="300"/>
    <x v="52"/>
    <x v="49"/>
    <x v="0"/>
  </r>
  <r>
    <x v="0"/>
    <x v="28"/>
    <x v="28"/>
    <x v="44"/>
    <x v="44"/>
    <x v="44"/>
    <x v="17"/>
    <x v="115"/>
    <x v="117"/>
    <x v="63"/>
    <x v="68"/>
    <x v="56"/>
    <x v="221"/>
    <x v="0"/>
  </r>
  <r>
    <x v="0"/>
    <x v="28"/>
    <x v="28"/>
    <x v="17"/>
    <x v="17"/>
    <x v="17"/>
    <x v="17"/>
    <x v="115"/>
    <x v="117"/>
    <x v="63"/>
    <x v="68"/>
    <x v="56"/>
    <x v="221"/>
    <x v="0"/>
  </r>
  <r>
    <x v="0"/>
    <x v="28"/>
    <x v="28"/>
    <x v="10"/>
    <x v="10"/>
    <x v="10"/>
    <x v="17"/>
    <x v="115"/>
    <x v="117"/>
    <x v="77"/>
    <x v="300"/>
    <x v="52"/>
    <x v="49"/>
    <x v="0"/>
  </r>
  <r>
    <x v="0"/>
    <x v="28"/>
    <x v="28"/>
    <x v="34"/>
    <x v="34"/>
    <x v="34"/>
    <x v="17"/>
    <x v="115"/>
    <x v="117"/>
    <x v="49"/>
    <x v="302"/>
    <x v="38"/>
    <x v="10"/>
    <x v="0"/>
  </r>
  <r>
    <x v="0"/>
    <x v="28"/>
    <x v="28"/>
    <x v="22"/>
    <x v="22"/>
    <x v="22"/>
    <x v="17"/>
    <x v="115"/>
    <x v="117"/>
    <x v="77"/>
    <x v="300"/>
    <x v="52"/>
    <x v="49"/>
    <x v="0"/>
  </r>
  <r>
    <x v="0"/>
    <x v="28"/>
    <x v="28"/>
    <x v="42"/>
    <x v="42"/>
    <x v="42"/>
    <x v="17"/>
    <x v="115"/>
    <x v="117"/>
    <x v="77"/>
    <x v="300"/>
    <x v="52"/>
    <x v="49"/>
    <x v="0"/>
  </r>
  <r>
    <x v="0"/>
    <x v="29"/>
    <x v="29"/>
    <x v="0"/>
    <x v="0"/>
    <x v="0"/>
    <x v="0"/>
    <x v="95"/>
    <x v="228"/>
    <x v="37"/>
    <x v="310"/>
    <x v="39"/>
    <x v="222"/>
    <x v="0"/>
  </r>
  <r>
    <x v="0"/>
    <x v="29"/>
    <x v="29"/>
    <x v="4"/>
    <x v="4"/>
    <x v="4"/>
    <x v="1"/>
    <x v="59"/>
    <x v="229"/>
    <x v="61"/>
    <x v="311"/>
    <x v="59"/>
    <x v="78"/>
    <x v="0"/>
  </r>
  <r>
    <x v="0"/>
    <x v="29"/>
    <x v="29"/>
    <x v="9"/>
    <x v="9"/>
    <x v="9"/>
    <x v="2"/>
    <x v="69"/>
    <x v="230"/>
    <x v="77"/>
    <x v="312"/>
    <x v="41"/>
    <x v="223"/>
    <x v="0"/>
  </r>
  <r>
    <x v="0"/>
    <x v="29"/>
    <x v="29"/>
    <x v="1"/>
    <x v="1"/>
    <x v="1"/>
    <x v="2"/>
    <x v="69"/>
    <x v="230"/>
    <x v="84"/>
    <x v="313"/>
    <x v="52"/>
    <x v="49"/>
    <x v="0"/>
  </r>
  <r>
    <x v="0"/>
    <x v="29"/>
    <x v="29"/>
    <x v="6"/>
    <x v="6"/>
    <x v="6"/>
    <x v="4"/>
    <x v="63"/>
    <x v="56"/>
    <x v="68"/>
    <x v="314"/>
    <x v="52"/>
    <x v="49"/>
    <x v="0"/>
  </r>
  <r>
    <x v="0"/>
    <x v="29"/>
    <x v="29"/>
    <x v="37"/>
    <x v="37"/>
    <x v="37"/>
    <x v="4"/>
    <x v="63"/>
    <x v="56"/>
    <x v="63"/>
    <x v="68"/>
    <x v="52"/>
    <x v="49"/>
    <x v="0"/>
  </r>
  <r>
    <x v="0"/>
    <x v="29"/>
    <x v="29"/>
    <x v="16"/>
    <x v="16"/>
    <x v="16"/>
    <x v="6"/>
    <x v="64"/>
    <x v="207"/>
    <x v="66"/>
    <x v="233"/>
    <x v="56"/>
    <x v="224"/>
    <x v="0"/>
  </r>
  <r>
    <x v="0"/>
    <x v="29"/>
    <x v="29"/>
    <x v="10"/>
    <x v="10"/>
    <x v="10"/>
    <x v="6"/>
    <x v="64"/>
    <x v="207"/>
    <x v="69"/>
    <x v="315"/>
    <x v="39"/>
    <x v="222"/>
    <x v="0"/>
  </r>
  <r>
    <x v="0"/>
    <x v="29"/>
    <x v="29"/>
    <x v="18"/>
    <x v="18"/>
    <x v="18"/>
    <x v="8"/>
    <x v="65"/>
    <x v="4"/>
    <x v="66"/>
    <x v="233"/>
    <x v="39"/>
    <x v="222"/>
    <x v="0"/>
  </r>
  <r>
    <x v="0"/>
    <x v="29"/>
    <x v="29"/>
    <x v="7"/>
    <x v="7"/>
    <x v="7"/>
    <x v="8"/>
    <x v="65"/>
    <x v="4"/>
    <x v="56"/>
    <x v="316"/>
    <x v="39"/>
    <x v="222"/>
    <x v="6"/>
  </r>
  <r>
    <x v="0"/>
    <x v="29"/>
    <x v="29"/>
    <x v="5"/>
    <x v="5"/>
    <x v="5"/>
    <x v="8"/>
    <x v="65"/>
    <x v="4"/>
    <x v="69"/>
    <x v="315"/>
    <x v="38"/>
    <x v="225"/>
    <x v="0"/>
  </r>
  <r>
    <x v="0"/>
    <x v="29"/>
    <x v="29"/>
    <x v="23"/>
    <x v="23"/>
    <x v="23"/>
    <x v="11"/>
    <x v="72"/>
    <x v="189"/>
    <x v="65"/>
    <x v="317"/>
    <x v="54"/>
    <x v="226"/>
    <x v="0"/>
  </r>
  <r>
    <x v="0"/>
    <x v="29"/>
    <x v="29"/>
    <x v="17"/>
    <x v="17"/>
    <x v="17"/>
    <x v="11"/>
    <x v="72"/>
    <x v="189"/>
    <x v="65"/>
    <x v="317"/>
    <x v="54"/>
    <x v="226"/>
    <x v="0"/>
  </r>
  <r>
    <x v="0"/>
    <x v="29"/>
    <x v="29"/>
    <x v="3"/>
    <x v="3"/>
    <x v="3"/>
    <x v="11"/>
    <x v="72"/>
    <x v="189"/>
    <x v="66"/>
    <x v="233"/>
    <x v="52"/>
    <x v="49"/>
    <x v="0"/>
  </r>
  <r>
    <x v="0"/>
    <x v="29"/>
    <x v="29"/>
    <x v="11"/>
    <x v="11"/>
    <x v="11"/>
    <x v="11"/>
    <x v="72"/>
    <x v="189"/>
    <x v="51"/>
    <x v="221"/>
    <x v="39"/>
    <x v="222"/>
    <x v="0"/>
  </r>
  <r>
    <x v="0"/>
    <x v="29"/>
    <x v="29"/>
    <x v="33"/>
    <x v="33"/>
    <x v="33"/>
    <x v="15"/>
    <x v="86"/>
    <x v="165"/>
    <x v="67"/>
    <x v="318"/>
    <x v="39"/>
    <x v="222"/>
    <x v="0"/>
  </r>
  <r>
    <x v="0"/>
    <x v="29"/>
    <x v="29"/>
    <x v="15"/>
    <x v="15"/>
    <x v="15"/>
    <x v="16"/>
    <x v="87"/>
    <x v="93"/>
    <x v="65"/>
    <x v="317"/>
    <x v="39"/>
    <x v="222"/>
    <x v="0"/>
  </r>
  <r>
    <x v="0"/>
    <x v="29"/>
    <x v="29"/>
    <x v="19"/>
    <x v="19"/>
    <x v="19"/>
    <x v="17"/>
    <x v="88"/>
    <x v="231"/>
    <x v="49"/>
    <x v="319"/>
    <x v="56"/>
    <x v="224"/>
    <x v="0"/>
  </r>
  <r>
    <x v="0"/>
    <x v="29"/>
    <x v="29"/>
    <x v="50"/>
    <x v="50"/>
    <x v="50"/>
    <x v="17"/>
    <x v="88"/>
    <x v="231"/>
    <x v="67"/>
    <x v="318"/>
    <x v="52"/>
    <x v="49"/>
    <x v="0"/>
  </r>
  <r>
    <x v="0"/>
    <x v="29"/>
    <x v="29"/>
    <x v="82"/>
    <x v="82"/>
    <x v="82"/>
    <x v="17"/>
    <x v="88"/>
    <x v="231"/>
    <x v="63"/>
    <x v="68"/>
    <x v="59"/>
    <x v="78"/>
    <x v="0"/>
  </r>
  <r>
    <x v="0"/>
    <x v="29"/>
    <x v="29"/>
    <x v="34"/>
    <x v="34"/>
    <x v="34"/>
    <x v="17"/>
    <x v="88"/>
    <x v="231"/>
    <x v="77"/>
    <x v="312"/>
    <x v="39"/>
    <x v="222"/>
    <x v="0"/>
  </r>
  <r>
    <x v="0"/>
    <x v="30"/>
    <x v="30"/>
    <x v="0"/>
    <x v="0"/>
    <x v="0"/>
    <x v="0"/>
    <x v="69"/>
    <x v="219"/>
    <x v="84"/>
    <x v="320"/>
    <x v="52"/>
    <x v="49"/>
    <x v="0"/>
  </r>
  <r>
    <x v="0"/>
    <x v="30"/>
    <x v="30"/>
    <x v="2"/>
    <x v="2"/>
    <x v="2"/>
    <x v="1"/>
    <x v="64"/>
    <x v="176"/>
    <x v="64"/>
    <x v="321"/>
    <x v="52"/>
    <x v="49"/>
    <x v="0"/>
  </r>
  <r>
    <x v="0"/>
    <x v="30"/>
    <x v="30"/>
    <x v="7"/>
    <x v="7"/>
    <x v="7"/>
    <x v="2"/>
    <x v="66"/>
    <x v="232"/>
    <x v="66"/>
    <x v="154"/>
    <x v="52"/>
    <x v="49"/>
    <x v="6"/>
  </r>
  <r>
    <x v="0"/>
    <x v="30"/>
    <x v="30"/>
    <x v="10"/>
    <x v="10"/>
    <x v="10"/>
    <x v="2"/>
    <x v="66"/>
    <x v="232"/>
    <x v="56"/>
    <x v="90"/>
    <x v="39"/>
    <x v="61"/>
    <x v="0"/>
  </r>
  <r>
    <x v="0"/>
    <x v="30"/>
    <x v="30"/>
    <x v="34"/>
    <x v="34"/>
    <x v="34"/>
    <x v="4"/>
    <x v="72"/>
    <x v="233"/>
    <x v="56"/>
    <x v="90"/>
    <x v="38"/>
    <x v="227"/>
    <x v="0"/>
  </r>
  <r>
    <x v="0"/>
    <x v="30"/>
    <x v="30"/>
    <x v="3"/>
    <x v="3"/>
    <x v="3"/>
    <x v="4"/>
    <x v="72"/>
    <x v="233"/>
    <x v="56"/>
    <x v="90"/>
    <x v="38"/>
    <x v="227"/>
    <x v="0"/>
  </r>
  <r>
    <x v="0"/>
    <x v="30"/>
    <x v="30"/>
    <x v="14"/>
    <x v="14"/>
    <x v="14"/>
    <x v="6"/>
    <x v="86"/>
    <x v="234"/>
    <x v="77"/>
    <x v="322"/>
    <x v="54"/>
    <x v="228"/>
    <x v="0"/>
  </r>
  <r>
    <x v="0"/>
    <x v="30"/>
    <x v="30"/>
    <x v="11"/>
    <x v="11"/>
    <x v="11"/>
    <x v="6"/>
    <x v="86"/>
    <x v="234"/>
    <x v="56"/>
    <x v="90"/>
    <x v="52"/>
    <x v="49"/>
    <x v="0"/>
  </r>
  <r>
    <x v="0"/>
    <x v="30"/>
    <x v="30"/>
    <x v="9"/>
    <x v="9"/>
    <x v="9"/>
    <x v="8"/>
    <x v="87"/>
    <x v="171"/>
    <x v="63"/>
    <x v="68"/>
    <x v="43"/>
    <x v="229"/>
    <x v="0"/>
  </r>
  <r>
    <x v="0"/>
    <x v="30"/>
    <x v="30"/>
    <x v="66"/>
    <x v="66"/>
    <x v="66"/>
    <x v="8"/>
    <x v="87"/>
    <x v="171"/>
    <x v="67"/>
    <x v="4"/>
    <x v="38"/>
    <x v="227"/>
    <x v="0"/>
  </r>
  <r>
    <x v="0"/>
    <x v="30"/>
    <x v="30"/>
    <x v="15"/>
    <x v="15"/>
    <x v="15"/>
    <x v="8"/>
    <x v="87"/>
    <x v="171"/>
    <x v="65"/>
    <x v="323"/>
    <x v="39"/>
    <x v="61"/>
    <x v="0"/>
  </r>
  <r>
    <x v="0"/>
    <x v="30"/>
    <x v="30"/>
    <x v="18"/>
    <x v="18"/>
    <x v="18"/>
    <x v="8"/>
    <x v="87"/>
    <x v="171"/>
    <x v="67"/>
    <x v="4"/>
    <x v="38"/>
    <x v="227"/>
    <x v="0"/>
  </r>
  <r>
    <x v="0"/>
    <x v="30"/>
    <x v="30"/>
    <x v="6"/>
    <x v="6"/>
    <x v="6"/>
    <x v="8"/>
    <x v="87"/>
    <x v="171"/>
    <x v="51"/>
    <x v="324"/>
    <x v="52"/>
    <x v="49"/>
    <x v="0"/>
  </r>
  <r>
    <x v="0"/>
    <x v="30"/>
    <x v="30"/>
    <x v="1"/>
    <x v="1"/>
    <x v="1"/>
    <x v="8"/>
    <x v="87"/>
    <x v="171"/>
    <x v="51"/>
    <x v="324"/>
    <x v="52"/>
    <x v="49"/>
    <x v="0"/>
  </r>
  <r>
    <x v="0"/>
    <x v="30"/>
    <x v="30"/>
    <x v="12"/>
    <x v="12"/>
    <x v="12"/>
    <x v="8"/>
    <x v="87"/>
    <x v="171"/>
    <x v="51"/>
    <x v="324"/>
    <x v="52"/>
    <x v="49"/>
    <x v="0"/>
  </r>
  <r>
    <x v="0"/>
    <x v="30"/>
    <x v="30"/>
    <x v="5"/>
    <x v="5"/>
    <x v="5"/>
    <x v="8"/>
    <x v="87"/>
    <x v="171"/>
    <x v="51"/>
    <x v="324"/>
    <x v="52"/>
    <x v="49"/>
    <x v="0"/>
  </r>
  <r>
    <x v="0"/>
    <x v="30"/>
    <x v="30"/>
    <x v="83"/>
    <x v="83"/>
    <x v="83"/>
    <x v="16"/>
    <x v="88"/>
    <x v="115"/>
    <x v="77"/>
    <x v="322"/>
    <x v="39"/>
    <x v="61"/>
    <x v="0"/>
  </r>
  <r>
    <x v="0"/>
    <x v="30"/>
    <x v="30"/>
    <x v="4"/>
    <x v="4"/>
    <x v="4"/>
    <x v="16"/>
    <x v="88"/>
    <x v="115"/>
    <x v="77"/>
    <x v="322"/>
    <x v="39"/>
    <x v="61"/>
    <x v="0"/>
  </r>
  <r>
    <x v="0"/>
    <x v="30"/>
    <x v="30"/>
    <x v="17"/>
    <x v="17"/>
    <x v="17"/>
    <x v="16"/>
    <x v="88"/>
    <x v="115"/>
    <x v="63"/>
    <x v="68"/>
    <x v="59"/>
    <x v="230"/>
    <x v="0"/>
  </r>
  <r>
    <x v="0"/>
    <x v="30"/>
    <x v="30"/>
    <x v="84"/>
    <x v="84"/>
    <x v="84"/>
    <x v="16"/>
    <x v="88"/>
    <x v="115"/>
    <x v="63"/>
    <x v="68"/>
    <x v="59"/>
    <x v="230"/>
    <x v="0"/>
  </r>
  <r>
    <x v="0"/>
    <x v="30"/>
    <x v="30"/>
    <x v="85"/>
    <x v="85"/>
    <x v="85"/>
    <x v="16"/>
    <x v="88"/>
    <x v="115"/>
    <x v="67"/>
    <x v="4"/>
    <x v="52"/>
    <x v="49"/>
    <x v="0"/>
  </r>
  <r>
    <x v="0"/>
    <x v="31"/>
    <x v="31"/>
    <x v="34"/>
    <x v="34"/>
    <x v="34"/>
    <x v="0"/>
    <x v="67"/>
    <x v="235"/>
    <x v="55"/>
    <x v="325"/>
    <x v="59"/>
    <x v="231"/>
    <x v="0"/>
  </r>
  <r>
    <x v="0"/>
    <x v="31"/>
    <x v="31"/>
    <x v="0"/>
    <x v="0"/>
    <x v="0"/>
    <x v="1"/>
    <x v="71"/>
    <x v="236"/>
    <x v="64"/>
    <x v="326"/>
    <x v="38"/>
    <x v="232"/>
    <x v="0"/>
  </r>
  <r>
    <x v="0"/>
    <x v="31"/>
    <x v="31"/>
    <x v="3"/>
    <x v="3"/>
    <x v="3"/>
    <x v="2"/>
    <x v="65"/>
    <x v="102"/>
    <x v="58"/>
    <x v="327"/>
    <x v="52"/>
    <x v="49"/>
    <x v="0"/>
  </r>
  <r>
    <x v="0"/>
    <x v="31"/>
    <x v="31"/>
    <x v="9"/>
    <x v="9"/>
    <x v="9"/>
    <x v="3"/>
    <x v="66"/>
    <x v="129"/>
    <x v="75"/>
    <x v="214"/>
    <x v="58"/>
    <x v="233"/>
    <x v="0"/>
  </r>
  <r>
    <x v="0"/>
    <x v="31"/>
    <x v="31"/>
    <x v="16"/>
    <x v="16"/>
    <x v="16"/>
    <x v="4"/>
    <x v="72"/>
    <x v="169"/>
    <x v="66"/>
    <x v="61"/>
    <x v="52"/>
    <x v="49"/>
    <x v="0"/>
  </r>
  <r>
    <x v="0"/>
    <x v="31"/>
    <x v="31"/>
    <x v="6"/>
    <x v="6"/>
    <x v="6"/>
    <x v="4"/>
    <x v="72"/>
    <x v="169"/>
    <x v="66"/>
    <x v="61"/>
    <x v="52"/>
    <x v="49"/>
    <x v="0"/>
  </r>
  <r>
    <x v="0"/>
    <x v="31"/>
    <x v="31"/>
    <x v="1"/>
    <x v="1"/>
    <x v="1"/>
    <x v="6"/>
    <x v="86"/>
    <x v="42"/>
    <x v="56"/>
    <x v="45"/>
    <x v="52"/>
    <x v="49"/>
    <x v="0"/>
  </r>
  <r>
    <x v="0"/>
    <x v="31"/>
    <x v="31"/>
    <x v="7"/>
    <x v="7"/>
    <x v="7"/>
    <x v="7"/>
    <x v="87"/>
    <x v="24"/>
    <x v="51"/>
    <x v="328"/>
    <x v="52"/>
    <x v="49"/>
    <x v="0"/>
  </r>
  <r>
    <x v="0"/>
    <x v="31"/>
    <x v="31"/>
    <x v="2"/>
    <x v="2"/>
    <x v="2"/>
    <x v="7"/>
    <x v="87"/>
    <x v="24"/>
    <x v="51"/>
    <x v="328"/>
    <x v="52"/>
    <x v="49"/>
    <x v="0"/>
  </r>
  <r>
    <x v="0"/>
    <x v="31"/>
    <x v="31"/>
    <x v="4"/>
    <x v="4"/>
    <x v="4"/>
    <x v="9"/>
    <x v="88"/>
    <x v="237"/>
    <x v="65"/>
    <x v="12"/>
    <x v="38"/>
    <x v="232"/>
    <x v="0"/>
  </r>
  <r>
    <x v="0"/>
    <x v="31"/>
    <x v="31"/>
    <x v="23"/>
    <x v="23"/>
    <x v="23"/>
    <x v="9"/>
    <x v="88"/>
    <x v="237"/>
    <x v="77"/>
    <x v="318"/>
    <x v="39"/>
    <x v="234"/>
    <x v="0"/>
  </r>
  <r>
    <x v="0"/>
    <x v="31"/>
    <x v="31"/>
    <x v="10"/>
    <x v="10"/>
    <x v="10"/>
    <x v="9"/>
    <x v="88"/>
    <x v="237"/>
    <x v="67"/>
    <x v="159"/>
    <x v="52"/>
    <x v="49"/>
    <x v="0"/>
  </r>
  <r>
    <x v="0"/>
    <x v="31"/>
    <x v="31"/>
    <x v="37"/>
    <x v="37"/>
    <x v="37"/>
    <x v="9"/>
    <x v="88"/>
    <x v="237"/>
    <x v="63"/>
    <x v="68"/>
    <x v="52"/>
    <x v="49"/>
    <x v="0"/>
  </r>
  <r>
    <x v="0"/>
    <x v="31"/>
    <x v="31"/>
    <x v="19"/>
    <x v="19"/>
    <x v="19"/>
    <x v="13"/>
    <x v="113"/>
    <x v="165"/>
    <x v="75"/>
    <x v="214"/>
    <x v="56"/>
    <x v="90"/>
    <x v="0"/>
  </r>
  <r>
    <x v="0"/>
    <x v="31"/>
    <x v="31"/>
    <x v="15"/>
    <x v="15"/>
    <x v="15"/>
    <x v="13"/>
    <x v="113"/>
    <x v="165"/>
    <x v="75"/>
    <x v="214"/>
    <x v="56"/>
    <x v="90"/>
    <x v="0"/>
  </r>
  <r>
    <x v="0"/>
    <x v="31"/>
    <x v="31"/>
    <x v="17"/>
    <x v="17"/>
    <x v="17"/>
    <x v="13"/>
    <x v="113"/>
    <x v="165"/>
    <x v="63"/>
    <x v="68"/>
    <x v="54"/>
    <x v="235"/>
    <x v="0"/>
  </r>
  <r>
    <x v="0"/>
    <x v="31"/>
    <x v="31"/>
    <x v="60"/>
    <x v="60"/>
    <x v="60"/>
    <x v="13"/>
    <x v="113"/>
    <x v="165"/>
    <x v="49"/>
    <x v="329"/>
    <x v="39"/>
    <x v="234"/>
    <x v="0"/>
  </r>
  <r>
    <x v="0"/>
    <x v="31"/>
    <x v="31"/>
    <x v="42"/>
    <x v="42"/>
    <x v="42"/>
    <x v="13"/>
    <x v="113"/>
    <x v="165"/>
    <x v="65"/>
    <x v="12"/>
    <x v="52"/>
    <x v="49"/>
    <x v="0"/>
  </r>
  <r>
    <x v="0"/>
    <x v="31"/>
    <x v="31"/>
    <x v="18"/>
    <x v="18"/>
    <x v="18"/>
    <x v="18"/>
    <x v="115"/>
    <x v="178"/>
    <x v="77"/>
    <x v="318"/>
    <x v="52"/>
    <x v="49"/>
    <x v="0"/>
  </r>
  <r>
    <x v="0"/>
    <x v="31"/>
    <x v="31"/>
    <x v="13"/>
    <x v="13"/>
    <x v="13"/>
    <x v="18"/>
    <x v="115"/>
    <x v="178"/>
    <x v="75"/>
    <x v="214"/>
    <x v="39"/>
    <x v="234"/>
    <x v="0"/>
  </r>
  <r>
    <x v="0"/>
    <x v="31"/>
    <x v="31"/>
    <x v="44"/>
    <x v="44"/>
    <x v="44"/>
    <x v="18"/>
    <x v="115"/>
    <x v="178"/>
    <x v="75"/>
    <x v="214"/>
    <x v="39"/>
    <x v="234"/>
    <x v="0"/>
  </r>
  <r>
    <x v="0"/>
    <x v="31"/>
    <x v="31"/>
    <x v="86"/>
    <x v="86"/>
    <x v="86"/>
    <x v="18"/>
    <x v="115"/>
    <x v="178"/>
    <x v="77"/>
    <x v="318"/>
    <x v="52"/>
    <x v="49"/>
    <x v="0"/>
  </r>
  <r>
    <x v="0"/>
    <x v="31"/>
    <x v="31"/>
    <x v="14"/>
    <x v="14"/>
    <x v="14"/>
    <x v="18"/>
    <x v="115"/>
    <x v="178"/>
    <x v="63"/>
    <x v="68"/>
    <x v="56"/>
    <x v="90"/>
    <x v="0"/>
  </r>
  <r>
    <x v="0"/>
    <x v="31"/>
    <x v="31"/>
    <x v="32"/>
    <x v="32"/>
    <x v="32"/>
    <x v="18"/>
    <x v="115"/>
    <x v="178"/>
    <x v="77"/>
    <x v="318"/>
    <x v="52"/>
    <x v="49"/>
    <x v="0"/>
  </r>
  <r>
    <x v="0"/>
    <x v="31"/>
    <x v="31"/>
    <x v="43"/>
    <x v="43"/>
    <x v="43"/>
    <x v="18"/>
    <x v="115"/>
    <x v="178"/>
    <x v="49"/>
    <x v="329"/>
    <x v="38"/>
    <x v="232"/>
    <x v="0"/>
  </r>
  <r>
    <x v="0"/>
    <x v="31"/>
    <x v="31"/>
    <x v="24"/>
    <x v="24"/>
    <x v="24"/>
    <x v="18"/>
    <x v="115"/>
    <x v="178"/>
    <x v="77"/>
    <x v="318"/>
    <x v="52"/>
    <x v="49"/>
    <x v="0"/>
  </r>
  <r>
    <x v="0"/>
    <x v="31"/>
    <x v="31"/>
    <x v="11"/>
    <x v="11"/>
    <x v="11"/>
    <x v="18"/>
    <x v="115"/>
    <x v="178"/>
    <x v="49"/>
    <x v="329"/>
    <x v="38"/>
    <x v="232"/>
    <x v="0"/>
  </r>
  <r>
    <x v="0"/>
    <x v="31"/>
    <x v="31"/>
    <x v="76"/>
    <x v="76"/>
    <x v="76"/>
    <x v="18"/>
    <x v="115"/>
    <x v="178"/>
    <x v="49"/>
    <x v="329"/>
    <x v="38"/>
    <x v="232"/>
    <x v="0"/>
  </r>
  <r>
    <x v="0"/>
    <x v="32"/>
    <x v="32"/>
    <x v="34"/>
    <x v="34"/>
    <x v="34"/>
    <x v="0"/>
    <x v="116"/>
    <x v="238"/>
    <x v="45"/>
    <x v="330"/>
    <x v="40"/>
    <x v="236"/>
    <x v="0"/>
  </r>
  <r>
    <x v="0"/>
    <x v="32"/>
    <x v="32"/>
    <x v="60"/>
    <x v="60"/>
    <x v="60"/>
    <x v="1"/>
    <x v="52"/>
    <x v="111"/>
    <x v="72"/>
    <x v="331"/>
    <x v="43"/>
    <x v="226"/>
    <x v="0"/>
  </r>
  <r>
    <x v="0"/>
    <x v="32"/>
    <x v="32"/>
    <x v="80"/>
    <x v="80"/>
    <x v="80"/>
    <x v="2"/>
    <x v="76"/>
    <x v="239"/>
    <x v="81"/>
    <x v="332"/>
    <x v="59"/>
    <x v="190"/>
    <x v="0"/>
  </r>
  <r>
    <x v="0"/>
    <x v="32"/>
    <x v="32"/>
    <x v="10"/>
    <x v="10"/>
    <x v="10"/>
    <x v="3"/>
    <x v="58"/>
    <x v="194"/>
    <x v="55"/>
    <x v="46"/>
    <x v="59"/>
    <x v="190"/>
    <x v="5"/>
  </r>
  <r>
    <x v="0"/>
    <x v="32"/>
    <x v="32"/>
    <x v="43"/>
    <x v="43"/>
    <x v="43"/>
    <x v="3"/>
    <x v="58"/>
    <x v="194"/>
    <x v="52"/>
    <x v="333"/>
    <x v="38"/>
    <x v="5"/>
    <x v="6"/>
  </r>
  <r>
    <x v="0"/>
    <x v="32"/>
    <x v="32"/>
    <x v="16"/>
    <x v="16"/>
    <x v="16"/>
    <x v="5"/>
    <x v="60"/>
    <x v="21"/>
    <x v="36"/>
    <x v="334"/>
    <x v="38"/>
    <x v="5"/>
    <x v="0"/>
  </r>
  <r>
    <x v="0"/>
    <x v="32"/>
    <x v="32"/>
    <x v="6"/>
    <x v="6"/>
    <x v="6"/>
    <x v="5"/>
    <x v="60"/>
    <x v="21"/>
    <x v="61"/>
    <x v="335"/>
    <x v="56"/>
    <x v="222"/>
    <x v="0"/>
  </r>
  <r>
    <x v="0"/>
    <x v="32"/>
    <x v="32"/>
    <x v="2"/>
    <x v="2"/>
    <x v="2"/>
    <x v="5"/>
    <x v="60"/>
    <x v="21"/>
    <x v="60"/>
    <x v="336"/>
    <x v="52"/>
    <x v="49"/>
    <x v="0"/>
  </r>
  <r>
    <x v="0"/>
    <x v="32"/>
    <x v="32"/>
    <x v="9"/>
    <x v="9"/>
    <x v="9"/>
    <x v="8"/>
    <x v="61"/>
    <x v="240"/>
    <x v="75"/>
    <x v="226"/>
    <x v="48"/>
    <x v="223"/>
    <x v="0"/>
  </r>
  <r>
    <x v="0"/>
    <x v="32"/>
    <x v="32"/>
    <x v="0"/>
    <x v="0"/>
    <x v="0"/>
    <x v="9"/>
    <x v="85"/>
    <x v="241"/>
    <x v="61"/>
    <x v="335"/>
    <x v="52"/>
    <x v="49"/>
    <x v="0"/>
  </r>
  <r>
    <x v="0"/>
    <x v="32"/>
    <x v="32"/>
    <x v="7"/>
    <x v="7"/>
    <x v="7"/>
    <x v="10"/>
    <x v="70"/>
    <x v="9"/>
    <x v="35"/>
    <x v="337"/>
    <x v="39"/>
    <x v="37"/>
    <x v="0"/>
  </r>
  <r>
    <x v="0"/>
    <x v="32"/>
    <x v="32"/>
    <x v="18"/>
    <x v="18"/>
    <x v="18"/>
    <x v="11"/>
    <x v="71"/>
    <x v="67"/>
    <x v="69"/>
    <x v="338"/>
    <x v="56"/>
    <x v="222"/>
    <x v="0"/>
  </r>
  <r>
    <x v="0"/>
    <x v="32"/>
    <x v="32"/>
    <x v="32"/>
    <x v="32"/>
    <x v="32"/>
    <x v="11"/>
    <x v="71"/>
    <x v="67"/>
    <x v="35"/>
    <x v="337"/>
    <x v="52"/>
    <x v="49"/>
    <x v="0"/>
  </r>
  <r>
    <x v="0"/>
    <x v="32"/>
    <x v="32"/>
    <x v="33"/>
    <x v="33"/>
    <x v="33"/>
    <x v="13"/>
    <x v="64"/>
    <x v="59"/>
    <x v="56"/>
    <x v="160"/>
    <x v="54"/>
    <x v="237"/>
    <x v="0"/>
  </r>
  <r>
    <x v="0"/>
    <x v="32"/>
    <x v="32"/>
    <x v="3"/>
    <x v="3"/>
    <x v="3"/>
    <x v="13"/>
    <x v="64"/>
    <x v="59"/>
    <x v="58"/>
    <x v="176"/>
    <x v="38"/>
    <x v="5"/>
    <x v="0"/>
  </r>
  <r>
    <x v="0"/>
    <x v="32"/>
    <x v="32"/>
    <x v="17"/>
    <x v="17"/>
    <x v="17"/>
    <x v="15"/>
    <x v="65"/>
    <x v="13"/>
    <x v="75"/>
    <x v="226"/>
    <x v="60"/>
    <x v="238"/>
    <x v="0"/>
  </r>
  <r>
    <x v="0"/>
    <x v="32"/>
    <x v="32"/>
    <x v="84"/>
    <x v="84"/>
    <x v="84"/>
    <x v="16"/>
    <x v="66"/>
    <x v="60"/>
    <x v="75"/>
    <x v="226"/>
    <x v="58"/>
    <x v="239"/>
    <x v="0"/>
  </r>
  <r>
    <x v="0"/>
    <x v="32"/>
    <x v="32"/>
    <x v="1"/>
    <x v="1"/>
    <x v="1"/>
    <x v="16"/>
    <x v="66"/>
    <x v="60"/>
    <x v="69"/>
    <x v="338"/>
    <x v="52"/>
    <x v="49"/>
    <x v="0"/>
  </r>
  <r>
    <x v="0"/>
    <x v="32"/>
    <x v="32"/>
    <x v="24"/>
    <x v="24"/>
    <x v="24"/>
    <x v="16"/>
    <x v="66"/>
    <x v="60"/>
    <x v="56"/>
    <x v="160"/>
    <x v="39"/>
    <x v="37"/>
    <x v="0"/>
  </r>
  <r>
    <x v="0"/>
    <x v="32"/>
    <x v="32"/>
    <x v="87"/>
    <x v="87"/>
    <x v="87"/>
    <x v="19"/>
    <x v="72"/>
    <x v="212"/>
    <x v="66"/>
    <x v="101"/>
    <x v="52"/>
    <x v="49"/>
    <x v="0"/>
  </r>
  <r>
    <x v="0"/>
    <x v="32"/>
    <x v="32"/>
    <x v="40"/>
    <x v="40"/>
    <x v="40"/>
    <x v="19"/>
    <x v="72"/>
    <x v="212"/>
    <x v="49"/>
    <x v="150"/>
    <x v="43"/>
    <x v="226"/>
    <x v="0"/>
  </r>
  <r>
    <x v="0"/>
    <x v="32"/>
    <x v="32"/>
    <x v="12"/>
    <x v="12"/>
    <x v="12"/>
    <x v="19"/>
    <x v="72"/>
    <x v="212"/>
    <x v="56"/>
    <x v="160"/>
    <x v="38"/>
    <x v="5"/>
    <x v="0"/>
  </r>
  <r>
    <x v="0"/>
    <x v="32"/>
    <x v="32"/>
    <x v="5"/>
    <x v="5"/>
    <x v="5"/>
    <x v="19"/>
    <x v="72"/>
    <x v="212"/>
    <x v="66"/>
    <x v="101"/>
    <x v="52"/>
    <x v="49"/>
    <x v="0"/>
  </r>
  <r>
    <x v="0"/>
    <x v="32"/>
    <x v="32"/>
    <x v="11"/>
    <x v="11"/>
    <x v="11"/>
    <x v="19"/>
    <x v="72"/>
    <x v="212"/>
    <x v="66"/>
    <x v="101"/>
    <x v="52"/>
    <x v="49"/>
    <x v="0"/>
  </r>
  <r>
    <x v="0"/>
    <x v="33"/>
    <x v="33"/>
    <x v="48"/>
    <x v="48"/>
    <x v="48"/>
    <x v="0"/>
    <x v="64"/>
    <x v="242"/>
    <x v="64"/>
    <x v="339"/>
    <x v="52"/>
    <x v="49"/>
    <x v="0"/>
  </r>
  <r>
    <x v="0"/>
    <x v="33"/>
    <x v="33"/>
    <x v="7"/>
    <x v="7"/>
    <x v="7"/>
    <x v="1"/>
    <x v="88"/>
    <x v="243"/>
    <x v="67"/>
    <x v="340"/>
    <x v="52"/>
    <x v="49"/>
    <x v="0"/>
  </r>
  <r>
    <x v="0"/>
    <x v="33"/>
    <x v="33"/>
    <x v="9"/>
    <x v="9"/>
    <x v="9"/>
    <x v="2"/>
    <x v="113"/>
    <x v="244"/>
    <x v="63"/>
    <x v="68"/>
    <x v="54"/>
    <x v="240"/>
    <x v="0"/>
  </r>
  <r>
    <x v="0"/>
    <x v="33"/>
    <x v="33"/>
    <x v="34"/>
    <x v="34"/>
    <x v="34"/>
    <x v="3"/>
    <x v="115"/>
    <x v="245"/>
    <x v="77"/>
    <x v="341"/>
    <x v="52"/>
    <x v="49"/>
    <x v="0"/>
  </r>
  <r>
    <x v="0"/>
    <x v="33"/>
    <x v="33"/>
    <x v="61"/>
    <x v="61"/>
    <x v="61"/>
    <x v="3"/>
    <x v="115"/>
    <x v="245"/>
    <x v="63"/>
    <x v="68"/>
    <x v="52"/>
    <x v="49"/>
    <x v="0"/>
  </r>
  <r>
    <x v="0"/>
    <x v="33"/>
    <x v="33"/>
    <x v="81"/>
    <x v="81"/>
    <x v="81"/>
    <x v="5"/>
    <x v="117"/>
    <x v="246"/>
    <x v="49"/>
    <x v="342"/>
    <x v="52"/>
    <x v="49"/>
    <x v="0"/>
  </r>
  <r>
    <x v="0"/>
    <x v="33"/>
    <x v="33"/>
    <x v="88"/>
    <x v="88"/>
    <x v="88"/>
    <x v="5"/>
    <x v="117"/>
    <x v="246"/>
    <x v="49"/>
    <x v="342"/>
    <x v="52"/>
    <x v="49"/>
    <x v="0"/>
  </r>
  <r>
    <x v="0"/>
    <x v="33"/>
    <x v="33"/>
    <x v="8"/>
    <x v="8"/>
    <x v="8"/>
    <x v="5"/>
    <x v="117"/>
    <x v="246"/>
    <x v="63"/>
    <x v="68"/>
    <x v="38"/>
    <x v="241"/>
    <x v="0"/>
  </r>
  <r>
    <x v="0"/>
    <x v="33"/>
    <x v="33"/>
    <x v="60"/>
    <x v="60"/>
    <x v="60"/>
    <x v="5"/>
    <x v="117"/>
    <x v="246"/>
    <x v="49"/>
    <x v="342"/>
    <x v="52"/>
    <x v="49"/>
    <x v="0"/>
  </r>
  <r>
    <x v="0"/>
    <x v="33"/>
    <x v="33"/>
    <x v="6"/>
    <x v="6"/>
    <x v="6"/>
    <x v="5"/>
    <x v="117"/>
    <x v="246"/>
    <x v="49"/>
    <x v="342"/>
    <x v="52"/>
    <x v="49"/>
    <x v="0"/>
  </r>
  <r>
    <x v="0"/>
    <x v="33"/>
    <x v="33"/>
    <x v="80"/>
    <x v="80"/>
    <x v="80"/>
    <x v="5"/>
    <x v="117"/>
    <x v="246"/>
    <x v="49"/>
    <x v="342"/>
    <x v="52"/>
    <x v="49"/>
    <x v="0"/>
  </r>
  <r>
    <x v="0"/>
    <x v="33"/>
    <x v="33"/>
    <x v="5"/>
    <x v="5"/>
    <x v="5"/>
    <x v="5"/>
    <x v="117"/>
    <x v="246"/>
    <x v="49"/>
    <x v="342"/>
    <x v="52"/>
    <x v="49"/>
    <x v="0"/>
  </r>
  <r>
    <x v="0"/>
    <x v="33"/>
    <x v="33"/>
    <x v="89"/>
    <x v="89"/>
    <x v="89"/>
    <x v="5"/>
    <x v="117"/>
    <x v="246"/>
    <x v="63"/>
    <x v="68"/>
    <x v="39"/>
    <x v="242"/>
    <x v="0"/>
  </r>
  <r>
    <x v="0"/>
    <x v="33"/>
    <x v="33"/>
    <x v="90"/>
    <x v="90"/>
    <x v="90"/>
    <x v="13"/>
    <x v="114"/>
    <x v="141"/>
    <x v="63"/>
    <x v="68"/>
    <x v="38"/>
    <x v="241"/>
    <x v="0"/>
  </r>
  <r>
    <x v="0"/>
    <x v="33"/>
    <x v="33"/>
    <x v="73"/>
    <x v="73"/>
    <x v="73"/>
    <x v="13"/>
    <x v="114"/>
    <x v="141"/>
    <x v="63"/>
    <x v="68"/>
    <x v="38"/>
    <x v="241"/>
    <x v="0"/>
  </r>
  <r>
    <x v="0"/>
    <x v="33"/>
    <x v="33"/>
    <x v="19"/>
    <x v="19"/>
    <x v="19"/>
    <x v="13"/>
    <x v="114"/>
    <x v="141"/>
    <x v="63"/>
    <x v="68"/>
    <x v="38"/>
    <x v="241"/>
    <x v="0"/>
  </r>
  <r>
    <x v="0"/>
    <x v="33"/>
    <x v="33"/>
    <x v="91"/>
    <x v="91"/>
    <x v="91"/>
    <x v="13"/>
    <x v="114"/>
    <x v="141"/>
    <x v="63"/>
    <x v="68"/>
    <x v="38"/>
    <x v="241"/>
    <x v="0"/>
  </r>
  <r>
    <x v="0"/>
    <x v="33"/>
    <x v="33"/>
    <x v="92"/>
    <x v="92"/>
    <x v="92"/>
    <x v="13"/>
    <x v="114"/>
    <x v="141"/>
    <x v="75"/>
    <x v="343"/>
    <x v="52"/>
    <x v="49"/>
    <x v="0"/>
  </r>
  <r>
    <x v="0"/>
    <x v="33"/>
    <x v="33"/>
    <x v="93"/>
    <x v="93"/>
    <x v="93"/>
    <x v="13"/>
    <x v="114"/>
    <x v="141"/>
    <x v="63"/>
    <x v="68"/>
    <x v="52"/>
    <x v="49"/>
    <x v="0"/>
  </r>
  <r>
    <x v="0"/>
    <x v="33"/>
    <x v="33"/>
    <x v="16"/>
    <x v="16"/>
    <x v="16"/>
    <x v="13"/>
    <x v="114"/>
    <x v="141"/>
    <x v="75"/>
    <x v="343"/>
    <x v="52"/>
    <x v="49"/>
    <x v="0"/>
  </r>
  <r>
    <x v="0"/>
    <x v="33"/>
    <x v="33"/>
    <x v="13"/>
    <x v="13"/>
    <x v="13"/>
    <x v="13"/>
    <x v="114"/>
    <x v="141"/>
    <x v="63"/>
    <x v="68"/>
    <x v="38"/>
    <x v="241"/>
    <x v="0"/>
  </r>
  <r>
    <x v="0"/>
    <x v="33"/>
    <x v="33"/>
    <x v="17"/>
    <x v="17"/>
    <x v="17"/>
    <x v="13"/>
    <x v="114"/>
    <x v="141"/>
    <x v="75"/>
    <x v="343"/>
    <x v="52"/>
    <x v="49"/>
    <x v="0"/>
  </r>
  <r>
    <x v="0"/>
    <x v="33"/>
    <x v="33"/>
    <x v="86"/>
    <x v="86"/>
    <x v="86"/>
    <x v="13"/>
    <x v="114"/>
    <x v="141"/>
    <x v="75"/>
    <x v="343"/>
    <x v="52"/>
    <x v="49"/>
    <x v="0"/>
  </r>
  <r>
    <x v="0"/>
    <x v="33"/>
    <x v="33"/>
    <x v="94"/>
    <x v="94"/>
    <x v="94"/>
    <x v="13"/>
    <x v="114"/>
    <x v="141"/>
    <x v="63"/>
    <x v="68"/>
    <x v="38"/>
    <x v="241"/>
    <x v="0"/>
  </r>
  <r>
    <x v="0"/>
    <x v="33"/>
    <x v="33"/>
    <x v="95"/>
    <x v="95"/>
    <x v="95"/>
    <x v="13"/>
    <x v="114"/>
    <x v="141"/>
    <x v="75"/>
    <x v="343"/>
    <x v="52"/>
    <x v="49"/>
    <x v="0"/>
  </r>
  <r>
    <x v="0"/>
    <x v="33"/>
    <x v="33"/>
    <x v="2"/>
    <x v="2"/>
    <x v="2"/>
    <x v="13"/>
    <x v="114"/>
    <x v="141"/>
    <x v="75"/>
    <x v="343"/>
    <x v="52"/>
    <x v="49"/>
    <x v="0"/>
  </r>
  <r>
    <x v="0"/>
    <x v="33"/>
    <x v="33"/>
    <x v="75"/>
    <x v="75"/>
    <x v="75"/>
    <x v="13"/>
    <x v="114"/>
    <x v="141"/>
    <x v="75"/>
    <x v="343"/>
    <x v="52"/>
    <x v="49"/>
    <x v="0"/>
  </r>
  <r>
    <x v="0"/>
    <x v="33"/>
    <x v="33"/>
    <x v="0"/>
    <x v="0"/>
    <x v="0"/>
    <x v="13"/>
    <x v="114"/>
    <x v="141"/>
    <x v="75"/>
    <x v="343"/>
    <x v="52"/>
    <x v="49"/>
    <x v="0"/>
  </r>
  <r>
    <x v="0"/>
    <x v="33"/>
    <x v="33"/>
    <x v="37"/>
    <x v="37"/>
    <x v="37"/>
    <x v="13"/>
    <x v="114"/>
    <x v="141"/>
    <x v="63"/>
    <x v="68"/>
    <x v="52"/>
    <x v="49"/>
    <x v="0"/>
  </r>
  <r>
    <x v="0"/>
    <x v="33"/>
    <x v="33"/>
    <x v="96"/>
    <x v="96"/>
    <x v="96"/>
    <x v="13"/>
    <x v="114"/>
    <x v="141"/>
    <x v="75"/>
    <x v="343"/>
    <x v="52"/>
    <x v="49"/>
    <x v="0"/>
  </r>
  <r>
    <x v="0"/>
    <x v="33"/>
    <x v="33"/>
    <x v="97"/>
    <x v="97"/>
    <x v="97"/>
    <x v="13"/>
    <x v="114"/>
    <x v="141"/>
    <x v="75"/>
    <x v="343"/>
    <x v="52"/>
    <x v="49"/>
    <x v="0"/>
  </r>
  <r>
    <x v="0"/>
    <x v="34"/>
    <x v="34"/>
    <x v="36"/>
    <x v="36"/>
    <x v="36"/>
    <x v="0"/>
    <x v="113"/>
    <x v="247"/>
    <x v="75"/>
    <x v="254"/>
    <x v="56"/>
    <x v="243"/>
    <x v="0"/>
  </r>
  <r>
    <x v="0"/>
    <x v="34"/>
    <x v="34"/>
    <x v="9"/>
    <x v="9"/>
    <x v="9"/>
    <x v="1"/>
    <x v="115"/>
    <x v="203"/>
    <x v="63"/>
    <x v="68"/>
    <x v="56"/>
    <x v="243"/>
    <x v="0"/>
  </r>
  <r>
    <x v="0"/>
    <x v="34"/>
    <x v="34"/>
    <x v="66"/>
    <x v="66"/>
    <x v="66"/>
    <x v="1"/>
    <x v="115"/>
    <x v="203"/>
    <x v="77"/>
    <x v="303"/>
    <x v="52"/>
    <x v="49"/>
    <x v="0"/>
  </r>
  <r>
    <x v="0"/>
    <x v="34"/>
    <x v="34"/>
    <x v="16"/>
    <x v="16"/>
    <x v="16"/>
    <x v="1"/>
    <x v="115"/>
    <x v="203"/>
    <x v="49"/>
    <x v="308"/>
    <x v="38"/>
    <x v="244"/>
    <x v="0"/>
  </r>
  <r>
    <x v="0"/>
    <x v="34"/>
    <x v="34"/>
    <x v="7"/>
    <x v="7"/>
    <x v="7"/>
    <x v="1"/>
    <x v="115"/>
    <x v="203"/>
    <x v="77"/>
    <x v="303"/>
    <x v="52"/>
    <x v="49"/>
    <x v="0"/>
  </r>
  <r>
    <x v="0"/>
    <x v="34"/>
    <x v="34"/>
    <x v="43"/>
    <x v="43"/>
    <x v="43"/>
    <x v="1"/>
    <x v="115"/>
    <x v="203"/>
    <x v="77"/>
    <x v="303"/>
    <x v="52"/>
    <x v="49"/>
    <x v="0"/>
  </r>
  <r>
    <x v="0"/>
    <x v="34"/>
    <x v="34"/>
    <x v="0"/>
    <x v="0"/>
    <x v="0"/>
    <x v="1"/>
    <x v="115"/>
    <x v="203"/>
    <x v="77"/>
    <x v="303"/>
    <x v="52"/>
    <x v="49"/>
    <x v="0"/>
  </r>
  <r>
    <x v="0"/>
    <x v="34"/>
    <x v="34"/>
    <x v="68"/>
    <x v="68"/>
    <x v="68"/>
    <x v="7"/>
    <x v="117"/>
    <x v="40"/>
    <x v="63"/>
    <x v="68"/>
    <x v="39"/>
    <x v="245"/>
    <x v="0"/>
  </r>
  <r>
    <x v="0"/>
    <x v="34"/>
    <x v="34"/>
    <x v="18"/>
    <x v="18"/>
    <x v="18"/>
    <x v="7"/>
    <x v="117"/>
    <x v="40"/>
    <x v="75"/>
    <x v="254"/>
    <x v="38"/>
    <x v="244"/>
    <x v="0"/>
  </r>
  <r>
    <x v="0"/>
    <x v="34"/>
    <x v="34"/>
    <x v="17"/>
    <x v="17"/>
    <x v="17"/>
    <x v="7"/>
    <x v="117"/>
    <x v="40"/>
    <x v="63"/>
    <x v="68"/>
    <x v="39"/>
    <x v="245"/>
    <x v="0"/>
  </r>
  <r>
    <x v="0"/>
    <x v="34"/>
    <x v="34"/>
    <x v="8"/>
    <x v="8"/>
    <x v="8"/>
    <x v="7"/>
    <x v="117"/>
    <x v="40"/>
    <x v="63"/>
    <x v="68"/>
    <x v="38"/>
    <x v="244"/>
    <x v="0"/>
  </r>
  <r>
    <x v="0"/>
    <x v="34"/>
    <x v="34"/>
    <x v="98"/>
    <x v="98"/>
    <x v="98"/>
    <x v="7"/>
    <x v="117"/>
    <x v="40"/>
    <x v="63"/>
    <x v="68"/>
    <x v="39"/>
    <x v="245"/>
    <x v="0"/>
  </r>
  <r>
    <x v="0"/>
    <x v="34"/>
    <x v="34"/>
    <x v="2"/>
    <x v="2"/>
    <x v="2"/>
    <x v="7"/>
    <x v="117"/>
    <x v="40"/>
    <x v="49"/>
    <x v="308"/>
    <x v="52"/>
    <x v="49"/>
    <x v="0"/>
  </r>
  <r>
    <x v="0"/>
    <x v="34"/>
    <x v="34"/>
    <x v="3"/>
    <x v="3"/>
    <x v="3"/>
    <x v="7"/>
    <x v="117"/>
    <x v="40"/>
    <x v="75"/>
    <x v="254"/>
    <x v="38"/>
    <x v="244"/>
    <x v="0"/>
  </r>
  <r>
    <x v="0"/>
    <x v="34"/>
    <x v="34"/>
    <x v="75"/>
    <x v="75"/>
    <x v="75"/>
    <x v="7"/>
    <x v="117"/>
    <x v="40"/>
    <x v="49"/>
    <x v="308"/>
    <x v="52"/>
    <x v="49"/>
    <x v="0"/>
  </r>
  <r>
    <x v="0"/>
    <x v="34"/>
    <x v="34"/>
    <x v="1"/>
    <x v="1"/>
    <x v="1"/>
    <x v="7"/>
    <x v="117"/>
    <x v="40"/>
    <x v="49"/>
    <x v="308"/>
    <x v="52"/>
    <x v="49"/>
    <x v="0"/>
  </r>
  <r>
    <x v="0"/>
    <x v="34"/>
    <x v="34"/>
    <x v="19"/>
    <x v="19"/>
    <x v="19"/>
    <x v="16"/>
    <x v="114"/>
    <x v="32"/>
    <x v="63"/>
    <x v="68"/>
    <x v="38"/>
    <x v="244"/>
    <x v="0"/>
  </r>
  <r>
    <x v="0"/>
    <x v="34"/>
    <x v="34"/>
    <x v="33"/>
    <x v="33"/>
    <x v="33"/>
    <x v="16"/>
    <x v="114"/>
    <x v="32"/>
    <x v="75"/>
    <x v="254"/>
    <x v="52"/>
    <x v="49"/>
    <x v="0"/>
  </r>
  <r>
    <x v="0"/>
    <x v="34"/>
    <x v="34"/>
    <x v="99"/>
    <x v="99"/>
    <x v="99"/>
    <x v="16"/>
    <x v="114"/>
    <x v="32"/>
    <x v="75"/>
    <x v="254"/>
    <x v="52"/>
    <x v="49"/>
    <x v="0"/>
  </r>
  <r>
    <x v="0"/>
    <x v="34"/>
    <x v="34"/>
    <x v="15"/>
    <x v="15"/>
    <x v="15"/>
    <x v="16"/>
    <x v="114"/>
    <x v="32"/>
    <x v="63"/>
    <x v="68"/>
    <x v="38"/>
    <x v="244"/>
    <x v="0"/>
  </r>
  <r>
    <x v="0"/>
    <x v="34"/>
    <x v="34"/>
    <x v="83"/>
    <x v="83"/>
    <x v="83"/>
    <x v="16"/>
    <x v="114"/>
    <x v="32"/>
    <x v="75"/>
    <x v="254"/>
    <x v="52"/>
    <x v="49"/>
    <x v="0"/>
  </r>
  <r>
    <x v="0"/>
    <x v="34"/>
    <x v="34"/>
    <x v="78"/>
    <x v="78"/>
    <x v="78"/>
    <x v="16"/>
    <x v="114"/>
    <x v="32"/>
    <x v="63"/>
    <x v="68"/>
    <x v="38"/>
    <x v="244"/>
    <x v="0"/>
  </r>
  <r>
    <x v="0"/>
    <x v="34"/>
    <x v="34"/>
    <x v="52"/>
    <x v="52"/>
    <x v="52"/>
    <x v="16"/>
    <x v="114"/>
    <x v="32"/>
    <x v="63"/>
    <x v="68"/>
    <x v="38"/>
    <x v="244"/>
    <x v="0"/>
  </r>
  <r>
    <x v="0"/>
    <x v="34"/>
    <x v="34"/>
    <x v="100"/>
    <x v="100"/>
    <x v="100"/>
    <x v="16"/>
    <x v="114"/>
    <x v="32"/>
    <x v="63"/>
    <x v="68"/>
    <x v="38"/>
    <x v="244"/>
    <x v="0"/>
  </r>
  <r>
    <x v="0"/>
    <x v="34"/>
    <x v="34"/>
    <x v="101"/>
    <x v="100"/>
    <x v="101"/>
    <x v="16"/>
    <x v="114"/>
    <x v="32"/>
    <x v="63"/>
    <x v="68"/>
    <x v="52"/>
    <x v="49"/>
    <x v="0"/>
  </r>
  <r>
    <x v="0"/>
    <x v="34"/>
    <x v="34"/>
    <x v="102"/>
    <x v="101"/>
    <x v="102"/>
    <x v="16"/>
    <x v="114"/>
    <x v="32"/>
    <x v="63"/>
    <x v="68"/>
    <x v="38"/>
    <x v="244"/>
    <x v="0"/>
  </r>
  <r>
    <x v="0"/>
    <x v="34"/>
    <x v="34"/>
    <x v="30"/>
    <x v="30"/>
    <x v="30"/>
    <x v="16"/>
    <x v="114"/>
    <x v="32"/>
    <x v="75"/>
    <x v="254"/>
    <x v="52"/>
    <x v="49"/>
    <x v="0"/>
  </r>
  <r>
    <x v="0"/>
    <x v="34"/>
    <x v="34"/>
    <x v="13"/>
    <x v="13"/>
    <x v="13"/>
    <x v="16"/>
    <x v="114"/>
    <x v="32"/>
    <x v="63"/>
    <x v="68"/>
    <x v="38"/>
    <x v="244"/>
    <x v="0"/>
  </r>
  <r>
    <x v="0"/>
    <x v="34"/>
    <x v="34"/>
    <x v="44"/>
    <x v="44"/>
    <x v="44"/>
    <x v="16"/>
    <x v="114"/>
    <x v="32"/>
    <x v="75"/>
    <x v="254"/>
    <x v="52"/>
    <x v="49"/>
    <x v="0"/>
  </r>
  <r>
    <x v="0"/>
    <x v="34"/>
    <x v="34"/>
    <x v="10"/>
    <x v="10"/>
    <x v="10"/>
    <x v="16"/>
    <x v="114"/>
    <x v="32"/>
    <x v="75"/>
    <x v="254"/>
    <x v="52"/>
    <x v="49"/>
    <x v="0"/>
  </r>
  <r>
    <x v="0"/>
    <x v="34"/>
    <x v="34"/>
    <x v="103"/>
    <x v="102"/>
    <x v="103"/>
    <x v="16"/>
    <x v="114"/>
    <x v="32"/>
    <x v="75"/>
    <x v="254"/>
    <x v="52"/>
    <x v="49"/>
    <x v="0"/>
  </r>
  <r>
    <x v="0"/>
    <x v="34"/>
    <x v="34"/>
    <x v="104"/>
    <x v="103"/>
    <x v="104"/>
    <x v="16"/>
    <x v="114"/>
    <x v="32"/>
    <x v="63"/>
    <x v="68"/>
    <x v="38"/>
    <x v="244"/>
    <x v="0"/>
  </r>
  <r>
    <x v="0"/>
    <x v="34"/>
    <x v="34"/>
    <x v="34"/>
    <x v="34"/>
    <x v="34"/>
    <x v="16"/>
    <x v="114"/>
    <x v="32"/>
    <x v="75"/>
    <x v="254"/>
    <x v="52"/>
    <x v="49"/>
    <x v="0"/>
  </r>
  <r>
    <x v="0"/>
    <x v="34"/>
    <x v="34"/>
    <x v="22"/>
    <x v="22"/>
    <x v="22"/>
    <x v="16"/>
    <x v="114"/>
    <x v="32"/>
    <x v="75"/>
    <x v="254"/>
    <x v="52"/>
    <x v="49"/>
    <x v="0"/>
  </r>
  <r>
    <x v="0"/>
    <x v="34"/>
    <x v="34"/>
    <x v="105"/>
    <x v="104"/>
    <x v="105"/>
    <x v="16"/>
    <x v="114"/>
    <x v="32"/>
    <x v="75"/>
    <x v="254"/>
    <x v="52"/>
    <x v="49"/>
    <x v="0"/>
  </r>
  <r>
    <x v="0"/>
    <x v="34"/>
    <x v="34"/>
    <x v="61"/>
    <x v="61"/>
    <x v="61"/>
    <x v="16"/>
    <x v="114"/>
    <x v="32"/>
    <x v="63"/>
    <x v="68"/>
    <x v="52"/>
    <x v="49"/>
    <x v="0"/>
  </r>
  <r>
    <x v="0"/>
    <x v="34"/>
    <x v="34"/>
    <x v="77"/>
    <x v="77"/>
    <x v="77"/>
    <x v="16"/>
    <x v="114"/>
    <x v="32"/>
    <x v="63"/>
    <x v="68"/>
    <x v="38"/>
    <x v="244"/>
    <x v="0"/>
  </r>
  <r>
    <x v="0"/>
    <x v="35"/>
    <x v="35"/>
    <x v="7"/>
    <x v="7"/>
    <x v="7"/>
    <x v="0"/>
    <x v="105"/>
    <x v="248"/>
    <x v="59"/>
    <x v="344"/>
    <x v="54"/>
    <x v="246"/>
    <x v="0"/>
  </r>
  <r>
    <x v="0"/>
    <x v="35"/>
    <x v="35"/>
    <x v="2"/>
    <x v="2"/>
    <x v="2"/>
    <x v="1"/>
    <x v="58"/>
    <x v="249"/>
    <x v="59"/>
    <x v="344"/>
    <x v="52"/>
    <x v="49"/>
    <x v="0"/>
  </r>
  <r>
    <x v="0"/>
    <x v="35"/>
    <x v="35"/>
    <x v="16"/>
    <x v="16"/>
    <x v="16"/>
    <x v="2"/>
    <x v="60"/>
    <x v="250"/>
    <x v="55"/>
    <x v="345"/>
    <x v="54"/>
    <x v="246"/>
    <x v="0"/>
  </r>
  <r>
    <x v="0"/>
    <x v="35"/>
    <x v="35"/>
    <x v="34"/>
    <x v="34"/>
    <x v="34"/>
    <x v="3"/>
    <x v="62"/>
    <x v="251"/>
    <x v="62"/>
    <x v="131"/>
    <x v="52"/>
    <x v="49"/>
    <x v="0"/>
  </r>
  <r>
    <x v="0"/>
    <x v="35"/>
    <x v="35"/>
    <x v="3"/>
    <x v="3"/>
    <x v="3"/>
    <x v="4"/>
    <x v="68"/>
    <x v="20"/>
    <x v="76"/>
    <x v="346"/>
    <x v="39"/>
    <x v="108"/>
    <x v="0"/>
  </r>
  <r>
    <x v="0"/>
    <x v="35"/>
    <x v="35"/>
    <x v="0"/>
    <x v="0"/>
    <x v="0"/>
    <x v="4"/>
    <x v="68"/>
    <x v="20"/>
    <x v="55"/>
    <x v="345"/>
    <x v="52"/>
    <x v="49"/>
    <x v="0"/>
  </r>
  <r>
    <x v="0"/>
    <x v="35"/>
    <x v="35"/>
    <x v="1"/>
    <x v="1"/>
    <x v="1"/>
    <x v="6"/>
    <x v="63"/>
    <x v="252"/>
    <x v="68"/>
    <x v="347"/>
    <x v="52"/>
    <x v="49"/>
    <x v="0"/>
  </r>
  <r>
    <x v="0"/>
    <x v="35"/>
    <x v="35"/>
    <x v="8"/>
    <x v="8"/>
    <x v="8"/>
    <x v="7"/>
    <x v="65"/>
    <x v="65"/>
    <x v="65"/>
    <x v="38"/>
    <x v="43"/>
    <x v="247"/>
    <x v="0"/>
  </r>
  <r>
    <x v="0"/>
    <x v="35"/>
    <x v="35"/>
    <x v="43"/>
    <x v="43"/>
    <x v="43"/>
    <x v="7"/>
    <x v="65"/>
    <x v="65"/>
    <x v="58"/>
    <x v="191"/>
    <x v="52"/>
    <x v="49"/>
    <x v="0"/>
  </r>
  <r>
    <x v="0"/>
    <x v="35"/>
    <x v="35"/>
    <x v="80"/>
    <x v="80"/>
    <x v="80"/>
    <x v="9"/>
    <x v="66"/>
    <x v="253"/>
    <x v="66"/>
    <x v="348"/>
    <x v="38"/>
    <x v="103"/>
    <x v="0"/>
  </r>
  <r>
    <x v="0"/>
    <x v="35"/>
    <x v="35"/>
    <x v="6"/>
    <x v="6"/>
    <x v="6"/>
    <x v="10"/>
    <x v="72"/>
    <x v="66"/>
    <x v="66"/>
    <x v="348"/>
    <x v="52"/>
    <x v="49"/>
    <x v="0"/>
  </r>
  <r>
    <x v="0"/>
    <x v="35"/>
    <x v="35"/>
    <x v="15"/>
    <x v="15"/>
    <x v="15"/>
    <x v="11"/>
    <x v="86"/>
    <x v="125"/>
    <x v="75"/>
    <x v="102"/>
    <x v="43"/>
    <x v="247"/>
    <x v="0"/>
  </r>
  <r>
    <x v="0"/>
    <x v="35"/>
    <x v="35"/>
    <x v="81"/>
    <x v="81"/>
    <x v="81"/>
    <x v="11"/>
    <x v="86"/>
    <x v="125"/>
    <x v="56"/>
    <x v="349"/>
    <x v="52"/>
    <x v="49"/>
    <x v="0"/>
  </r>
  <r>
    <x v="0"/>
    <x v="35"/>
    <x v="35"/>
    <x v="18"/>
    <x v="18"/>
    <x v="18"/>
    <x v="11"/>
    <x v="86"/>
    <x v="125"/>
    <x v="51"/>
    <x v="100"/>
    <x v="38"/>
    <x v="103"/>
    <x v="0"/>
  </r>
  <r>
    <x v="0"/>
    <x v="35"/>
    <x v="35"/>
    <x v="32"/>
    <x v="32"/>
    <x v="32"/>
    <x v="11"/>
    <x v="86"/>
    <x v="125"/>
    <x v="56"/>
    <x v="349"/>
    <x v="52"/>
    <x v="49"/>
    <x v="0"/>
  </r>
  <r>
    <x v="0"/>
    <x v="35"/>
    <x v="35"/>
    <x v="9"/>
    <x v="9"/>
    <x v="9"/>
    <x v="15"/>
    <x v="88"/>
    <x v="79"/>
    <x v="63"/>
    <x v="68"/>
    <x v="59"/>
    <x v="248"/>
    <x v="0"/>
  </r>
  <r>
    <x v="0"/>
    <x v="35"/>
    <x v="35"/>
    <x v="17"/>
    <x v="17"/>
    <x v="17"/>
    <x v="15"/>
    <x v="88"/>
    <x v="79"/>
    <x v="77"/>
    <x v="288"/>
    <x v="39"/>
    <x v="108"/>
    <x v="0"/>
  </r>
  <r>
    <x v="0"/>
    <x v="35"/>
    <x v="35"/>
    <x v="106"/>
    <x v="105"/>
    <x v="106"/>
    <x v="15"/>
    <x v="88"/>
    <x v="79"/>
    <x v="77"/>
    <x v="288"/>
    <x v="39"/>
    <x v="108"/>
    <x v="0"/>
  </r>
  <r>
    <x v="0"/>
    <x v="35"/>
    <x v="35"/>
    <x v="10"/>
    <x v="10"/>
    <x v="10"/>
    <x v="15"/>
    <x v="88"/>
    <x v="79"/>
    <x v="77"/>
    <x v="288"/>
    <x v="39"/>
    <x v="108"/>
    <x v="0"/>
  </r>
  <r>
    <x v="0"/>
    <x v="35"/>
    <x v="35"/>
    <x v="29"/>
    <x v="29"/>
    <x v="29"/>
    <x v="19"/>
    <x v="113"/>
    <x v="254"/>
    <x v="77"/>
    <x v="288"/>
    <x v="38"/>
    <x v="103"/>
    <x v="0"/>
  </r>
  <r>
    <x v="0"/>
    <x v="35"/>
    <x v="35"/>
    <x v="14"/>
    <x v="14"/>
    <x v="14"/>
    <x v="19"/>
    <x v="113"/>
    <x v="254"/>
    <x v="49"/>
    <x v="350"/>
    <x v="39"/>
    <x v="108"/>
    <x v="0"/>
  </r>
  <r>
    <x v="0"/>
    <x v="35"/>
    <x v="35"/>
    <x v="60"/>
    <x v="60"/>
    <x v="60"/>
    <x v="19"/>
    <x v="113"/>
    <x v="254"/>
    <x v="65"/>
    <x v="38"/>
    <x v="52"/>
    <x v="49"/>
    <x v="0"/>
  </r>
  <r>
    <x v="0"/>
    <x v="35"/>
    <x v="35"/>
    <x v="12"/>
    <x v="12"/>
    <x v="12"/>
    <x v="19"/>
    <x v="113"/>
    <x v="254"/>
    <x v="77"/>
    <x v="288"/>
    <x v="38"/>
    <x v="103"/>
    <x v="0"/>
  </r>
  <r>
    <x v="0"/>
    <x v="35"/>
    <x v="35"/>
    <x v="61"/>
    <x v="61"/>
    <x v="61"/>
    <x v="19"/>
    <x v="113"/>
    <x v="254"/>
    <x v="63"/>
    <x v="68"/>
    <x v="52"/>
    <x v="49"/>
    <x v="0"/>
  </r>
  <r>
    <x v="0"/>
    <x v="35"/>
    <x v="35"/>
    <x v="11"/>
    <x v="11"/>
    <x v="11"/>
    <x v="19"/>
    <x v="113"/>
    <x v="254"/>
    <x v="77"/>
    <x v="288"/>
    <x v="38"/>
    <x v="103"/>
    <x v="0"/>
  </r>
  <r>
    <x v="0"/>
    <x v="36"/>
    <x v="36"/>
    <x v="60"/>
    <x v="60"/>
    <x v="60"/>
    <x v="0"/>
    <x v="70"/>
    <x v="255"/>
    <x v="68"/>
    <x v="351"/>
    <x v="38"/>
    <x v="227"/>
    <x v="0"/>
  </r>
  <r>
    <x v="0"/>
    <x v="36"/>
    <x v="36"/>
    <x v="0"/>
    <x v="0"/>
    <x v="0"/>
    <x v="1"/>
    <x v="71"/>
    <x v="175"/>
    <x v="35"/>
    <x v="352"/>
    <x v="52"/>
    <x v="49"/>
    <x v="0"/>
  </r>
  <r>
    <x v="0"/>
    <x v="36"/>
    <x v="36"/>
    <x v="4"/>
    <x v="4"/>
    <x v="4"/>
    <x v="2"/>
    <x v="64"/>
    <x v="128"/>
    <x v="56"/>
    <x v="134"/>
    <x v="54"/>
    <x v="228"/>
    <x v="0"/>
  </r>
  <r>
    <x v="0"/>
    <x v="36"/>
    <x v="36"/>
    <x v="48"/>
    <x v="48"/>
    <x v="48"/>
    <x v="3"/>
    <x v="65"/>
    <x v="256"/>
    <x v="66"/>
    <x v="353"/>
    <x v="39"/>
    <x v="61"/>
    <x v="0"/>
  </r>
  <r>
    <x v="0"/>
    <x v="36"/>
    <x v="36"/>
    <x v="6"/>
    <x v="6"/>
    <x v="6"/>
    <x v="4"/>
    <x v="66"/>
    <x v="222"/>
    <x v="66"/>
    <x v="353"/>
    <x v="38"/>
    <x v="227"/>
    <x v="0"/>
  </r>
  <r>
    <x v="0"/>
    <x v="36"/>
    <x v="36"/>
    <x v="24"/>
    <x v="24"/>
    <x v="24"/>
    <x v="4"/>
    <x v="66"/>
    <x v="222"/>
    <x v="66"/>
    <x v="353"/>
    <x v="38"/>
    <x v="227"/>
    <x v="0"/>
  </r>
  <r>
    <x v="0"/>
    <x v="36"/>
    <x v="36"/>
    <x v="9"/>
    <x v="9"/>
    <x v="9"/>
    <x v="6"/>
    <x v="86"/>
    <x v="257"/>
    <x v="63"/>
    <x v="68"/>
    <x v="40"/>
    <x v="249"/>
    <x v="0"/>
  </r>
  <r>
    <x v="0"/>
    <x v="36"/>
    <x v="36"/>
    <x v="10"/>
    <x v="10"/>
    <x v="10"/>
    <x v="6"/>
    <x v="86"/>
    <x v="257"/>
    <x v="65"/>
    <x v="354"/>
    <x v="39"/>
    <x v="61"/>
    <x v="0"/>
  </r>
  <r>
    <x v="0"/>
    <x v="36"/>
    <x v="36"/>
    <x v="11"/>
    <x v="11"/>
    <x v="11"/>
    <x v="6"/>
    <x v="86"/>
    <x v="257"/>
    <x v="51"/>
    <x v="355"/>
    <x v="38"/>
    <x v="227"/>
    <x v="0"/>
  </r>
  <r>
    <x v="0"/>
    <x v="36"/>
    <x v="36"/>
    <x v="7"/>
    <x v="7"/>
    <x v="7"/>
    <x v="9"/>
    <x v="87"/>
    <x v="6"/>
    <x v="51"/>
    <x v="355"/>
    <x v="52"/>
    <x v="49"/>
    <x v="0"/>
  </r>
  <r>
    <x v="0"/>
    <x v="36"/>
    <x v="36"/>
    <x v="17"/>
    <x v="17"/>
    <x v="17"/>
    <x v="9"/>
    <x v="87"/>
    <x v="6"/>
    <x v="49"/>
    <x v="356"/>
    <x v="54"/>
    <x v="228"/>
    <x v="0"/>
  </r>
  <r>
    <x v="0"/>
    <x v="36"/>
    <x v="36"/>
    <x v="80"/>
    <x v="80"/>
    <x v="80"/>
    <x v="9"/>
    <x v="87"/>
    <x v="6"/>
    <x v="51"/>
    <x v="355"/>
    <x v="52"/>
    <x v="49"/>
    <x v="0"/>
  </r>
  <r>
    <x v="0"/>
    <x v="36"/>
    <x v="36"/>
    <x v="15"/>
    <x v="15"/>
    <x v="15"/>
    <x v="12"/>
    <x v="88"/>
    <x v="9"/>
    <x v="65"/>
    <x v="354"/>
    <x v="38"/>
    <x v="227"/>
    <x v="0"/>
  </r>
  <r>
    <x v="0"/>
    <x v="36"/>
    <x v="36"/>
    <x v="16"/>
    <x v="16"/>
    <x v="16"/>
    <x v="12"/>
    <x v="88"/>
    <x v="9"/>
    <x v="67"/>
    <x v="357"/>
    <x v="52"/>
    <x v="49"/>
    <x v="0"/>
  </r>
  <r>
    <x v="0"/>
    <x v="36"/>
    <x v="36"/>
    <x v="2"/>
    <x v="2"/>
    <x v="2"/>
    <x v="12"/>
    <x v="88"/>
    <x v="9"/>
    <x v="67"/>
    <x v="357"/>
    <x v="52"/>
    <x v="49"/>
    <x v="0"/>
  </r>
  <r>
    <x v="0"/>
    <x v="36"/>
    <x v="36"/>
    <x v="1"/>
    <x v="1"/>
    <x v="1"/>
    <x v="12"/>
    <x v="88"/>
    <x v="9"/>
    <x v="67"/>
    <x v="357"/>
    <x v="52"/>
    <x v="49"/>
    <x v="0"/>
  </r>
  <r>
    <x v="0"/>
    <x v="36"/>
    <x v="36"/>
    <x v="35"/>
    <x v="35"/>
    <x v="35"/>
    <x v="16"/>
    <x v="113"/>
    <x v="159"/>
    <x v="63"/>
    <x v="68"/>
    <x v="54"/>
    <x v="228"/>
    <x v="0"/>
  </r>
  <r>
    <x v="0"/>
    <x v="36"/>
    <x v="36"/>
    <x v="36"/>
    <x v="36"/>
    <x v="36"/>
    <x v="16"/>
    <x v="113"/>
    <x v="159"/>
    <x v="65"/>
    <x v="354"/>
    <x v="52"/>
    <x v="49"/>
    <x v="0"/>
  </r>
  <r>
    <x v="0"/>
    <x v="36"/>
    <x v="36"/>
    <x v="18"/>
    <x v="18"/>
    <x v="18"/>
    <x v="16"/>
    <x v="113"/>
    <x v="159"/>
    <x v="77"/>
    <x v="358"/>
    <x v="38"/>
    <x v="227"/>
    <x v="0"/>
  </r>
  <r>
    <x v="0"/>
    <x v="36"/>
    <x v="36"/>
    <x v="34"/>
    <x v="34"/>
    <x v="34"/>
    <x v="16"/>
    <x v="113"/>
    <x v="159"/>
    <x v="77"/>
    <x v="358"/>
    <x v="38"/>
    <x v="227"/>
    <x v="0"/>
  </r>
  <r>
    <x v="0"/>
    <x v="36"/>
    <x v="36"/>
    <x v="43"/>
    <x v="43"/>
    <x v="43"/>
    <x v="16"/>
    <x v="113"/>
    <x v="159"/>
    <x v="65"/>
    <x v="354"/>
    <x v="52"/>
    <x v="49"/>
    <x v="0"/>
  </r>
  <r>
    <x v="0"/>
    <x v="36"/>
    <x v="36"/>
    <x v="107"/>
    <x v="106"/>
    <x v="107"/>
    <x v="16"/>
    <x v="113"/>
    <x v="159"/>
    <x v="65"/>
    <x v="354"/>
    <x v="52"/>
    <x v="49"/>
    <x v="0"/>
  </r>
  <r>
    <x v="0"/>
    <x v="37"/>
    <x v="37"/>
    <x v="2"/>
    <x v="2"/>
    <x v="2"/>
    <x v="0"/>
    <x v="60"/>
    <x v="258"/>
    <x v="60"/>
    <x v="359"/>
    <x v="52"/>
    <x v="49"/>
    <x v="0"/>
  </r>
  <r>
    <x v="0"/>
    <x v="37"/>
    <x v="37"/>
    <x v="0"/>
    <x v="0"/>
    <x v="0"/>
    <x v="1"/>
    <x v="70"/>
    <x v="52"/>
    <x v="76"/>
    <x v="360"/>
    <x v="52"/>
    <x v="49"/>
    <x v="0"/>
  </r>
  <r>
    <x v="0"/>
    <x v="37"/>
    <x v="37"/>
    <x v="9"/>
    <x v="9"/>
    <x v="9"/>
    <x v="2"/>
    <x v="71"/>
    <x v="259"/>
    <x v="63"/>
    <x v="68"/>
    <x v="41"/>
    <x v="250"/>
    <x v="0"/>
  </r>
  <r>
    <x v="0"/>
    <x v="37"/>
    <x v="37"/>
    <x v="16"/>
    <x v="16"/>
    <x v="16"/>
    <x v="2"/>
    <x v="71"/>
    <x v="259"/>
    <x v="35"/>
    <x v="361"/>
    <x v="52"/>
    <x v="49"/>
    <x v="0"/>
  </r>
  <r>
    <x v="0"/>
    <x v="37"/>
    <x v="37"/>
    <x v="3"/>
    <x v="3"/>
    <x v="3"/>
    <x v="4"/>
    <x v="65"/>
    <x v="121"/>
    <x v="58"/>
    <x v="362"/>
    <x v="52"/>
    <x v="49"/>
    <x v="0"/>
  </r>
  <r>
    <x v="0"/>
    <x v="37"/>
    <x v="37"/>
    <x v="108"/>
    <x v="107"/>
    <x v="108"/>
    <x v="5"/>
    <x v="72"/>
    <x v="260"/>
    <x v="56"/>
    <x v="363"/>
    <x v="38"/>
    <x v="251"/>
    <x v="0"/>
  </r>
  <r>
    <x v="0"/>
    <x v="37"/>
    <x v="37"/>
    <x v="43"/>
    <x v="43"/>
    <x v="43"/>
    <x v="5"/>
    <x v="72"/>
    <x v="260"/>
    <x v="66"/>
    <x v="364"/>
    <x v="52"/>
    <x v="49"/>
    <x v="0"/>
  </r>
  <r>
    <x v="0"/>
    <x v="37"/>
    <x v="37"/>
    <x v="7"/>
    <x v="7"/>
    <x v="7"/>
    <x v="7"/>
    <x v="86"/>
    <x v="224"/>
    <x v="56"/>
    <x v="363"/>
    <x v="52"/>
    <x v="49"/>
    <x v="0"/>
  </r>
  <r>
    <x v="0"/>
    <x v="37"/>
    <x v="37"/>
    <x v="1"/>
    <x v="1"/>
    <x v="1"/>
    <x v="7"/>
    <x v="86"/>
    <x v="224"/>
    <x v="56"/>
    <x v="363"/>
    <x v="52"/>
    <x v="49"/>
    <x v="0"/>
  </r>
  <r>
    <x v="0"/>
    <x v="37"/>
    <x v="37"/>
    <x v="34"/>
    <x v="34"/>
    <x v="34"/>
    <x v="9"/>
    <x v="87"/>
    <x v="261"/>
    <x v="67"/>
    <x v="365"/>
    <x v="38"/>
    <x v="251"/>
    <x v="0"/>
  </r>
  <r>
    <x v="0"/>
    <x v="37"/>
    <x v="37"/>
    <x v="5"/>
    <x v="5"/>
    <x v="5"/>
    <x v="9"/>
    <x v="87"/>
    <x v="261"/>
    <x v="51"/>
    <x v="366"/>
    <x v="52"/>
    <x v="49"/>
    <x v="0"/>
  </r>
  <r>
    <x v="0"/>
    <x v="37"/>
    <x v="37"/>
    <x v="11"/>
    <x v="11"/>
    <x v="11"/>
    <x v="9"/>
    <x v="87"/>
    <x v="261"/>
    <x v="49"/>
    <x v="253"/>
    <x v="54"/>
    <x v="252"/>
    <x v="0"/>
  </r>
  <r>
    <x v="0"/>
    <x v="37"/>
    <x v="37"/>
    <x v="109"/>
    <x v="108"/>
    <x v="109"/>
    <x v="12"/>
    <x v="88"/>
    <x v="262"/>
    <x v="67"/>
    <x v="365"/>
    <x v="52"/>
    <x v="49"/>
    <x v="0"/>
  </r>
  <r>
    <x v="0"/>
    <x v="37"/>
    <x v="37"/>
    <x v="15"/>
    <x v="15"/>
    <x v="15"/>
    <x v="13"/>
    <x v="113"/>
    <x v="49"/>
    <x v="75"/>
    <x v="367"/>
    <x v="56"/>
    <x v="157"/>
    <x v="0"/>
  </r>
  <r>
    <x v="0"/>
    <x v="37"/>
    <x v="37"/>
    <x v="83"/>
    <x v="83"/>
    <x v="83"/>
    <x v="13"/>
    <x v="113"/>
    <x v="49"/>
    <x v="77"/>
    <x v="368"/>
    <x v="38"/>
    <x v="251"/>
    <x v="0"/>
  </r>
  <r>
    <x v="0"/>
    <x v="37"/>
    <x v="37"/>
    <x v="68"/>
    <x v="68"/>
    <x v="68"/>
    <x v="13"/>
    <x v="113"/>
    <x v="49"/>
    <x v="63"/>
    <x v="68"/>
    <x v="54"/>
    <x v="252"/>
    <x v="0"/>
  </r>
  <r>
    <x v="0"/>
    <x v="37"/>
    <x v="37"/>
    <x v="29"/>
    <x v="29"/>
    <x v="29"/>
    <x v="13"/>
    <x v="113"/>
    <x v="49"/>
    <x v="65"/>
    <x v="369"/>
    <x v="52"/>
    <x v="49"/>
    <x v="0"/>
  </r>
  <r>
    <x v="0"/>
    <x v="37"/>
    <x v="37"/>
    <x v="23"/>
    <x v="23"/>
    <x v="23"/>
    <x v="13"/>
    <x v="113"/>
    <x v="49"/>
    <x v="77"/>
    <x v="368"/>
    <x v="38"/>
    <x v="251"/>
    <x v="0"/>
  </r>
  <r>
    <x v="0"/>
    <x v="37"/>
    <x v="37"/>
    <x v="17"/>
    <x v="17"/>
    <x v="17"/>
    <x v="13"/>
    <x v="113"/>
    <x v="49"/>
    <x v="63"/>
    <x v="68"/>
    <x v="54"/>
    <x v="252"/>
    <x v="0"/>
  </r>
  <r>
    <x v="0"/>
    <x v="37"/>
    <x v="37"/>
    <x v="10"/>
    <x v="10"/>
    <x v="10"/>
    <x v="13"/>
    <x v="113"/>
    <x v="49"/>
    <x v="49"/>
    <x v="253"/>
    <x v="39"/>
    <x v="110"/>
    <x v="0"/>
  </r>
  <r>
    <x v="0"/>
    <x v="37"/>
    <x v="37"/>
    <x v="84"/>
    <x v="84"/>
    <x v="84"/>
    <x v="13"/>
    <x v="113"/>
    <x v="49"/>
    <x v="75"/>
    <x v="367"/>
    <x v="56"/>
    <x v="157"/>
    <x v="0"/>
  </r>
  <r>
    <x v="0"/>
    <x v="37"/>
    <x v="37"/>
    <x v="6"/>
    <x v="6"/>
    <x v="6"/>
    <x v="13"/>
    <x v="113"/>
    <x v="49"/>
    <x v="65"/>
    <x v="369"/>
    <x v="52"/>
    <x v="49"/>
    <x v="0"/>
  </r>
  <r>
    <x v="0"/>
    <x v="37"/>
    <x v="37"/>
    <x v="46"/>
    <x v="46"/>
    <x v="46"/>
    <x v="13"/>
    <x v="113"/>
    <x v="49"/>
    <x v="49"/>
    <x v="253"/>
    <x v="38"/>
    <x v="251"/>
    <x v="0"/>
  </r>
  <r>
    <x v="0"/>
    <x v="38"/>
    <x v="38"/>
    <x v="8"/>
    <x v="8"/>
    <x v="8"/>
    <x v="0"/>
    <x v="82"/>
    <x v="263"/>
    <x v="81"/>
    <x v="370"/>
    <x v="39"/>
    <x v="253"/>
    <x v="0"/>
  </r>
  <r>
    <x v="0"/>
    <x v="38"/>
    <x v="38"/>
    <x v="3"/>
    <x v="3"/>
    <x v="3"/>
    <x v="1"/>
    <x v="105"/>
    <x v="264"/>
    <x v="54"/>
    <x v="277"/>
    <x v="52"/>
    <x v="49"/>
    <x v="0"/>
  </r>
  <r>
    <x v="0"/>
    <x v="38"/>
    <x v="38"/>
    <x v="0"/>
    <x v="0"/>
    <x v="0"/>
    <x v="2"/>
    <x v="57"/>
    <x v="265"/>
    <x v="53"/>
    <x v="371"/>
    <x v="52"/>
    <x v="49"/>
    <x v="0"/>
  </r>
  <r>
    <x v="0"/>
    <x v="38"/>
    <x v="38"/>
    <x v="2"/>
    <x v="2"/>
    <x v="2"/>
    <x v="3"/>
    <x v="60"/>
    <x v="221"/>
    <x v="62"/>
    <x v="140"/>
    <x v="39"/>
    <x v="253"/>
    <x v="0"/>
  </r>
  <r>
    <x v="0"/>
    <x v="38"/>
    <x v="38"/>
    <x v="9"/>
    <x v="9"/>
    <x v="9"/>
    <x v="4"/>
    <x v="61"/>
    <x v="266"/>
    <x v="63"/>
    <x v="68"/>
    <x v="46"/>
    <x v="254"/>
    <x v="0"/>
  </r>
  <r>
    <x v="0"/>
    <x v="38"/>
    <x v="38"/>
    <x v="10"/>
    <x v="10"/>
    <x v="10"/>
    <x v="5"/>
    <x v="70"/>
    <x v="227"/>
    <x v="66"/>
    <x v="372"/>
    <x v="43"/>
    <x v="255"/>
    <x v="0"/>
  </r>
  <r>
    <x v="0"/>
    <x v="38"/>
    <x v="38"/>
    <x v="6"/>
    <x v="6"/>
    <x v="6"/>
    <x v="5"/>
    <x v="70"/>
    <x v="227"/>
    <x v="64"/>
    <x v="373"/>
    <x v="56"/>
    <x v="14"/>
    <x v="0"/>
  </r>
  <r>
    <x v="0"/>
    <x v="38"/>
    <x v="38"/>
    <x v="1"/>
    <x v="1"/>
    <x v="1"/>
    <x v="5"/>
    <x v="70"/>
    <x v="227"/>
    <x v="76"/>
    <x v="374"/>
    <x v="52"/>
    <x v="49"/>
    <x v="0"/>
  </r>
  <r>
    <x v="0"/>
    <x v="38"/>
    <x v="38"/>
    <x v="11"/>
    <x v="11"/>
    <x v="11"/>
    <x v="5"/>
    <x v="70"/>
    <x v="227"/>
    <x v="64"/>
    <x v="373"/>
    <x v="56"/>
    <x v="14"/>
    <x v="0"/>
  </r>
  <r>
    <x v="0"/>
    <x v="38"/>
    <x v="38"/>
    <x v="43"/>
    <x v="43"/>
    <x v="43"/>
    <x v="9"/>
    <x v="63"/>
    <x v="267"/>
    <x v="68"/>
    <x v="375"/>
    <x v="52"/>
    <x v="49"/>
    <x v="0"/>
  </r>
  <r>
    <x v="0"/>
    <x v="38"/>
    <x v="38"/>
    <x v="7"/>
    <x v="7"/>
    <x v="7"/>
    <x v="10"/>
    <x v="64"/>
    <x v="171"/>
    <x v="58"/>
    <x v="264"/>
    <x v="38"/>
    <x v="256"/>
    <x v="0"/>
  </r>
  <r>
    <x v="0"/>
    <x v="38"/>
    <x v="38"/>
    <x v="17"/>
    <x v="17"/>
    <x v="17"/>
    <x v="11"/>
    <x v="65"/>
    <x v="75"/>
    <x v="65"/>
    <x v="97"/>
    <x v="43"/>
    <x v="255"/>
    <x v="0"/>
  </r>
  <r>
    <x v="0"/>
    <x v="38"/>
    <x v="38"/>
    <x v="32"/>
    <x v="32"/>
    <x v="32"/>
    <x v="11"/>
    <x v="65"/>
    <x v="75"/>
    <x v="69"/>
    <x v="316"/>
    <x v="38"/>
    <x v="256"/>
    <x v="0"/>
  </r>
  <r>
    <x v="0"/>
    <x v="38"/>
    <x v="38"/>
    <x v="16"/>
    <x v="16"/>
    <x v="16"/>
    <x v="13"/>
    <x v="66"/>
    <x v="201"/>
    <x v="56"/>
    <x v="376"/>
    <x v="39"/>
    <x v="253"/>
    <x v="0"/>
  </r>
  <r>
    <x v="0"/>
    <x v="38"/>
    <x v="38"/>
    <x v="4"/>
    <x v="4"/>
    <x v="4"/>
    <x v="13"/>
    <x v="66"/>
    <x v="201"/>
    <x v="56"/>
    <x v="376"/>
    <x v="39"/>
    <x v="253"/>
    <x v="0"/>
  </r>
  <r>
    <x v="0"/>
    <x v="38"/>
    <x v="38"/>
    <x v="31"/>
    <x v="31"/>
    <x v="31"/>
    <x v="15"/>
    <x v="72"/>
    <x v="268"/>
    <x v="67"/>
    <x v="377"/>
    <x v="56"/>
    <x v="14"/>
    <x v="0"/>
  </r>
  <r>
    <x v="0"/>
    <x v="38"/>
    <x v="38"/>
    <x v="81"/>
    <x v="81"/>
    <x v="81"/>
    <x v="16"/>
    <x v="86"/>
    <x v="117"/>
    <x v="56"/>
    <x v="376"/>
    <x v="52"/>
    <x v="49"/>
    <x v="0"/>
  </r>
  <r>
    <x v="0"/>
    <x v="38"/>
    <x v="38"/>
    <x v="88"/>
    <x v="88"/>
    <x v="88"/>
    <x v="16"/>
    <x v="86"/>
    <x v="117"/>
    <x v="51"/>
    <x v="378"/>
    <x v="38"/>
    <x v="256"/>
    <x v="0"/>
  </r>
  <r>
    <x v="0"/>
    <x v="38"/>
    <x v="38"/>
    <x v="75"/>
    <x v="75"/>
    <x v="75"/>
    <x v="16"/>
    <x v="86"/>
    <x v="117"/>
    <x v="56"/>
    <x v="376"/>
    <x v="52"/>
    <x v="49"/>
    <x v="0"/>
  </r>
  <r>
    <x v="0"/>
    <x v="38"/>
    <x v="38"/>
    <x v="19"/>
    <x v="19"/>
    <x v="19"/>
    <x v="19"/>
    <x v="87"/>
    <x v="35"/>
    <x v="49"/>
    <x v="17"/>
    <x v="54"/>
    <x v="257"/>
    <x v="0"/>
  </r>
  <r>
    <x v="0"/>
    <x v="38"/>
    <x v="38"/>
    <x v="35"/>
    <x v="35"/>
    <x v="35"/>
    <x v="19"/>
    <x v="87"/>
    <x v="35"/>
    <x v="77"/>
    <x v="184"/>
    <x v="56"/>
    <x v="14"/>
    <x v="0"/>
  </r>
  <r>
    <x v="0"/>
    <x v="38"/>
    <x v="38"/>
    <x v="30"/>
    <x v="30"/>
    <x v="30"/>
    <x v="19"/>
    <x v="87"/>
    <x v="35"/>
    <x v="77"/>
    <x v="184"/>
    <x v="56"/>
    <x v="14"/>
    <x v="0"/>
  </r>
  <r>
    <x v="0"/>
    <x v="38"/>
    <x v="38"/>
    <x v="110"/>
    <x v="109"/>
    <x v="110"/>
    <x v="19"/>
    <x v="87"/>
    <x v="35"/>
    <x v="77"/>
    <x v="184"/>
    <x v="56"/>
    <x v="14"/>
    <x v="0"/>
  </r>
  <r>
    <x v="0"/>
    <x v="38"/>
    <x v="38"/>
    <x v="21"/>
    <x v="21"/>
    <x v="21"/>
    <x v="19"/>
    <x v="87"/>
    <x v="35"/>
    <x v="65"/>
    <x v="97"/>
    <x v="39"/>
    <x v="253"/>
    <x v="0"/>
  </r>
  <r>
    <x v="0"/>
    <x v="38"/>
    <x v="38"/>
    <x v="14"/>
    <x v="14"/>
    <x v="14"/>
    <x v="19"/>
    <x v="87"/>
    <x v="35"/>
    <x v="67"/>
    <x v="377"/>
    <x v="38"/>
    <x v="256"/>
    <x v="0"/>
  </r>
  <r>
    <x v="0"/>
    <x v="39"/>
    <x v="39"/>
    <x v="9"/>
    <x v="9"/>
    <x v="9"/>
    <x v="0"/>
    <x v="71"/>
    <x v="269"/>
    <x v="63"/>
    <x v="68"/>
    <x v="41"/>
    <x v="258"/>
    <x v="0"/>
  </r>
  <r>
    <x v="0"/>
    <x v="39"/>
    <x v="39"/>
    <x v="0"/>
    <x v="0"/>
    <x v="0"/>
    <x v="0"/>
    <x v="71"/>
    <x v="269"/>
    <x v="35"/>
    <x v="379"/>
    <x v="52"/>
    <x v="49"/>
    <x v="0"/>
  </r>
  <r>
    <x v="0"/>
    <x v="39"/>
    <x v="39"/>
    <x v="16"/>
    <x v="16"/>
    <x v="16"/>
    <x v="2"/>
    <x v="66"/>
    <x v="96"/>
    <x v="66"/>
    <x v="380"/>
    <x v="38"/>
    <x v="159"/>
    <x v="0"/>
  </r>
  <r>
    <x v="0"/>
    <x v="39"/>
    <x v="39"/>
    <x v="7"/>
    <x v="7"/>
    <x v="7"/>
    <x v="3"/>
    <x v="72"/>
    <x v="270"/>
    <x v="67"/>
    <x v="170"/>
    <x v="56"/>
    <x v="236"/>
    <x v="0"/>
  </r>
  <r>
    <x v="0"/>
    <x v="39"/>
    <x v="39"/>
    <x v="1"/>
    <x v="1"/>
    <x v="1"/>
    <x v="3"/>
    <x v="72"/>
    <x v="270"/>
    <x v="66"/>
    <x v="380"/>
    <x v="52"/>
    <x v="49"/>
    <x v="0"/>
  </r>
  <r>
    <x v="0"/>
    <x v="39"/>
    <x v="39"/>
    <x v="2"/>
    <x v="2"/>
    <x v="2"/>
    <x v="5"/>
    <x v="86"/>
    <x v="271"/>
    <x v="56"/>
    <x v="381"/>
    <x v="52"/>
    <x v="49"/>
    <x v="0"/>
  </r>
  <r>
    <x v="0"/>
    <x v="39"/>
    <x v="39"/>
    <x v="29"/>
    <x v="29"/>
    <x v="29"/>
    <x v="6"/>
    <x v="87"/>
    <x v="188"/>
    <x v="51"/>
    <x v="167"/>
    <x v="52"/>
    <x v="49"/>
    <x v="0"/>
  </r>
  <r>
    <x v="0"/>
    <x v="39"/>
    <x v="39"/>
    <x v="17"/>
    <x v="17"/>
    <x v="17"/>
    <x v="6"/>
    <x v="87"/>
    <x v="188"/>
    <x v="77"/>
    <x v="271"/>
    <x v="56"/>
    <x v="236"/>
    <x v="0"/>
  </r>
  <r>
    <x v="0"/>
    <x v="39"/>
    <x v="39"/>
    <x v="73"/>
    <x v="73"/>
    <x v="73"/>
    <x v="8"/>
    <x v="88"/>
    <x v="3"/>
    <x v="63"/>
    <x v="68"/>
    <x v="59"/>
    <x v="259"/>
    <x v="0"/>
  </r>
  <r>
    <x v="0"/>
    <x v="39"/>
    <x v="39"/>
    <x v="4"/>
    <x v="4"/>
    <x v="4"/>
    <x v="8"/>
    <x v="88"/>
    <x v="3"/>
    <x v="49"/>
    <x v="162"/>
    <x v="56"/>
    <x v="236"/>
    <x v="0"/>
  </r>
  <r>
    <x v="0"/>
    <x v="39"/>
    <x v="39"/>
    <x v="3"/>
    <x v="3"/>
    <x v="3"/>
    <x v="8"/>
    <x v="88"/>
    <x v="3"/>
    <x v="67"/>
    <x v="170"/>
    <x v="52"/>
    <x v="49"/>
    <x v="0"/>
  </r>
  <r>
    <x v="0"/>
    <x v="39"/>
    <x v="39"/>
    <x v="13"/>
    <x v="13"/>
    <x v="13"/>
    <x v="11"/>
    <x v="113"/>
    <x v="272"/>
    <x v="49"/>
    <x v="162"/>
    <x v="39"/>
    <x v="30"/>
    <x v="0"/>
  </r>
  <r>
    <x v="0"/>
    <x v="39"/>
    <x v="39"/>
    <x v="32"/>
    <x v="32"/>
    <x v="32"/>
    <x v="11"/>
    <x v="113"/>
    <x v="272"/>
    <x v="77"/>
    <x v="271"/>
    <x v="38"/>
    <x v="159"/>
    <x v="0"/>
  </r>
  <r>
    <x v="0"/>
    <x v="39"/>
    <x v="39"/>
    <x v="6"/>
    <x v="6"/>
    <x v="6"/>
    <x v="11"/>
    <x v="113"/>
    <x v="272"/>
    <x v="65"/>
    <x v="172"/>
    <x v="52"/>
    <x v="49"/>
    <x v="0"/>
  </r>
  <r>
    <x v="0"/>
    <x v="39"/>
    <x v="39"/>
    <x v="11"/>
    <x v="11"/>
    <x v="11"/>
    <x v="11"/>
    <x v="113"/>
    <x v="272"/>
    <x v="77"/>
    <x v="271"/>
    <x v="38"/>
    <x v="159"/>
    <x v="0"/>
  </r>
  <r>
    <x v="0"/>
    <x v="39"/>
    <x v="39"/>
    <x v="19"/>
    <x v="19"/>
    <x v="19"/>
    <x v="15"/>
    <x v="115"/>
    <x v="273"/>
    <x v="75"/>
    <x v="110"/>
    <x v="39"/>
    <x v="30"/>
    <x v="0"/>
  </r>
  <r>
    <x v="0"/>
    <x v="39"/>
    <x v="39"/>
    <x v="15"/>
    <x v="15"/>
    <x v="15"/>
    <x v="15"/>
    <x v="115"/>
    <x v="273"/>
    <x v="63"/>
    <x v="68"/>
    <x v="56"/>
    <x v="236"/>
    <x v="0"/>
  </r>
  <r>
    <x v="0"/>
    <x v="39"/>
    <x v="39"/>
    <x v="108"/>
    <x v="107"/>
    <x v="108"/>
    <x v="15"/>
    <x v="115"/>
    <x v="273"/>
    <x v="77"/>
    <x v="271"/>
    <x v="52"/>
    <x v="49"/>
    <x v="0"/>
  </r>
  <r>
    <x v="0"/>
    <x v="39"/>
    <x v="39"/>
    <x v="111"/>
    <x v="110"/>
    <x v="111"/>
    <x v="15"/>
    <x v="115"/>
    <x v="273"/>
    <x v="63"/>
    <x v="68"/>
    <x v="56"/>
    <x v="236"/>
    <x v="0"/>
  </r>
  <r>
    <x v="0"/>
    <x v="39"/>
    <x v="39"/>
    <x v="30"/>
    <x v="30"/>
    <x v="30"/>
    <x v="15"/>
    <x v="115"/>
    <x v="273"/>
    <x v="75"/>
    <x v="110"/>
    <x v="39"/>
    <x v="30"/>
    <x v="0"/>
  </r>
  <r>
    <x v="0"/>
    <x v="39"/>
    <x v="39"/>
    <x v="31"/>
    <x v="31"/>
    <x v="31"/>
    <x v="15"/>
    <x v="115"/>
    <x v="273"/>
    <x v="75"/>
    <x v="110"/>
    <x v="39"/>
    <x v="30"/>
    <x v="0"/>
  </r>
  <r>
    <x v="0"/>
    <x v="39"/>
    <x v="39"/>
    <x v="10"/>
    <x v="10"/>
    <x v="10"/>
    <x v="15"/>
    <x v="115"/>
    <x v="273"/>
    <x v="75"/>
    <x v="110"/>
    <x v="39"/>
    <x v="30"/>
    <x v="0"/>
  </r>
  <r>
    <x v="0"/>
    <x v="40"/>
    <x v="40"/>
    <x v="9"/>
    <x v="9"/>
    <x v="9"/>
    <x v="0"/>
    <x v="68"/>
    <x v="274"/>
    <x v="49"/>
    <x v="53"/>
    <x v="42"/>
    <x v="260"/>
    <x v="0"/>
  </r>
  <r>
    <x v="0"/>
    <x v="40"/>
    <x v="40"/>
    <x v="7"/>
    <x v="7"/>
    <x v="7"/>
    <x v="1"/>
    <x v="71"/>
    <x v="68"/>
    <x v="35"/>
    <x v="382"/>
    <x v="52"/>
    <x v="49"/>
    <x v="0"/>
  </r>
  <r>
    <x v="0"/>
    <x v="40"/>
    <x v="40"/>
    <x v="1"/>
    <x v="1"/>
    <x v="1"/>
    <x v="1"/>
    <x v="71"/>
    <x v="68"/>
    <x v="35"/>
    <x v="382"/>
    <x v="52"/>
    <x v="49"/>
    <x v="0"/>
  </r>
  <r>
    <x v="0"/>
    <x v="40"/>
    <x v="40"/>
    <x v="0"/>
    <x v="0"/>
    <x v="0"/>
    <x v="3"/>
    <x v="64"/>
    <x v="275"/>
    <x v="64"/>
    <x v="383"/>
    <x v="52"/>
    <x v="49"/>
    <x v="0"/>
  </r>
  <r>
    <x v="0"/>
    <x v="40"/>
    <x v="40"/>
    <x v="17"/>
    <x v="17"/>
    <x v="17"/>
    <x v="4"/>
    <x v="72"/>
    <x v="276"/>
    <x v="65"/>
    <x v="384"/>
    <x v="54"/>
    <x v="261"/>
    <x v="0"/>
  </r>
  <r>
    <x v="0"/>
    <x v="40"/>
    <x v="40"/>
    <x v="16"/>
    <x v="16"/>
    <x v="16"/>
    <x v="5"/>
    <x v="86"/>
    <x v="211"/>
    <x v="51"/>
    <x v="42"/>
    <x v="38"/>
    <x v="89"/>
    <x v="0"/>
  </r>
  <r>
    <x v="0"/>
    <x v="40"/>
    <x v="40"/>
    <x v="43"/>
    <x v="43"/>
    <x v="43"/>
    <x v="6"/>
    <x v="87"/>
    <x v="54"/>
    <x v="67"/>
    <x v="385"/>
    <x v="38"/>
    <x v="89"/>
    <x v="0"/>
  </r>
  <r>
    <x v="0"/>
    <x v="40"/>
    <x v="40"/>
    <x v="4"/>
    <x v="4"/>
    <x v="4"/>
    <x v="7"/>
    <x v="88"/>
    <x v="57"/>
    <x v="65"/>
    <x v="384"/>
    <x v="38"/>
    <x v="89"/>
    <x v="0"/>
  </r>
  <r>
    <x v="0"/>
    <x v="40"/>
    <x v="40"/>
    <x v="32"/>
    <x v="32"/>
    <x v="32"/>
    <x v="7"/>
    <x v="88"/>
    <x v="57"/>
    <x v="67"/>
    <x v="385"/>
    <x v="52"/>
    <x v="49"/>
    <x v="0"/>
  </r>
  <r>
    <x v="0"/>
    <x v="40"/>
    <x v="40"/>
    <x v="11"/>
    <x v="11"/>
    <x v="11"/>
    <x v="7"/>
    <x v="88"/>
    <x v="57"/>
    <x v="65"/>
    <x v="384"/>
    <x v="38"/>
    <x v="89"/>
    <x v="0"/>
  </r>
  <r>
    <x v="0"/>
    <x v="40"/>
    <x v="40"/>
    <x v="33"/>
    <x v="33"/>
    <x v="33"/>
    <x v="10"/>
    <x v="113"/>
    <x v="155"/>
    <x v="77"/>
    <x v="386"/>
    <x v="38"/>
    <x v="89"/>
    <x v="0"/>
  </r>
  <r>
    <x v="0"/>
    <x v="40"/>
    <x v="40"/>
    <x v="35"/>
    <x v="35"/>
    <x v="35"/>
    <x v="10"/>
    <x v="113"/>
    <x v="155"/>
    <x v="65"/>
    <x v="384"/>
    <x v="52"/>
    <x v="49"/>
    <x v="0"/>
  </r>
  <r>
    <x v="0"/>
    <x v="40"/>
    <x v="40"/>
    <x v="15"/>
    <x v="15"/>
    <x v="15"/>
    <x v="12"/>
    <x v="115"/>
    <x v="12"/>
    <x v="75"/>
    <x v="203"/>
    <x v="39"/>
    <x v="90"/>
    <x v="0"/>
  </r>
  <r>
    <x v="0"/>
    <x v="40"/>
    <x v="40"/>
    <x v="36"/>
    <x v="36"/>
    <x v="36"/>
    <x v="12"/>
    <x v="115"/>
    <x v="12"/>
    <x v="77"/>
    <x v="386"/>
    <x v="52"/>
    <x v="49"/>
    <x v="0"/>
  </r>
  <r>
    <x v="0"/>
    <x v="40"/>
    <x v="40"/>
    <x v="81"/>
    <x v="81"/>
    <x v="81"/>
    <x v="12"/>
    <x v="115"/>
    <x v="12"/>
    <x v="77"/>
    <x v="386"/>
    <x v="52"/>
    <x v="49"/>
    <x v="0"/>
  </r>
  <r>
    <x v="0"/>
    <x v="40"/>
    <x v="40"/>
    <x v="19"/>
    <x v="19"/>
    <x v="19"/>
    <x v="15"/>
    <x v="117"/>
    <x v="212"/>
    <x v="75"/>
    <x v="203"/>
    <x v="38"/>
    <x v="89"/>
    <x v="0"/>
  </r>
  <r>
    <x v="0"/>
    <x v="40"/>
    <x v="40"/>
    <x v="112"/>
    <x v="111"/>
    <x v="112"/>
    <x v="15"/>
    <x v="117"/>
    <x v="212"/>
    <x v="63"/>
    <x v="68"/>
    <x v="39"/>
    <x v="90"/>
    <x v="0"/>
  </r>
  <r>
    <x v="0"/>
    <x v="40"/>
    <x v="40"/>
    <x v="108"/>
    <x v="107"/>
    <x v="108"/>
    <x v="15"/>
    <x v="117"/>
    <x v="212"/>
    <x v="75"/>
    <x v="203"/>
    <x v="38"/>
    <x v="89"/>
    <x v="0"/>
  </r>
  <r>
    <x v="0"/>
    <x v="40"/>
    <x v="40"/>
    <x v="83"/>
    <x v="83"/>
    <x v="83"/>
    <x v="15"/>
    <x v="117"/>
    <x v="212"/>
    <x v="49"/>
    <x v="53"/>
    <x v="52"/>
    <x v="49"/>
    <x v="0"/>
  </r>
  <r>
    <x v="0"/>
    <x v="40"/>
    <x v="40"/>
    <x v="39"/>
    <x v="39"/>
    <x v="39"/>
    <x v="15"/>
    <x v="117"/>
    <x v="212"/>
    <x v="75"/>
    <x v="203"/>
    <x v="38"/>
    <x v="89"/>
    <x v="0"/>
  </r>
  <r>
    <x v="0"/>
    <x v="40"/>
    <x v="40"/>
    <x v="30"/>
    <x v="30"/>
    <x v="30"/>
    <x v="15"/>
    <x v="117"/>
    <x v="212"/>
    <x v="75"/>
    <x v="203"/>
    <x v="38"/>
    <x v="89"/>
    <x v="0"/>
  </r>
  <r>
    <x v="0"/>
    <x v="40"/>
    <x v="40"/>
    <x v="6"/>
    <x v="6"/>
    <x v="6"/>
    <x v="15"/>
    <x v="117"/>
    <x v="212"/>
    <x v="49"/>
    <x v="53"/>
    <x v="52"/>
    <x v="49"/>
    <x v="0"/>
  </r>
  <r>
    <x v="0"/>
    <x v="40"/>
    <x v="40"/>
    <x v="113"/>
    <x v="112"/>
    <x v="113"/>
    <x v="15"/>
    <x v="117"/>
    <x v="212"/>
    <x v="49"/>
    <x v="53"/>
    <x v="52"/>
    <x v="49"/>
    <x v="0"/>
  </r>
  <r>
    <x v="0"/>
    <x v="40"/>
    <x v="40"/>
    <x v="2"/>
    <x v="2"/>
    <x v="2"/>
    <x v="15"/>
    <x v="117"/>
    <x v="212"/>
    <x v="49"/>
    <x v="53"/>
    <x v="52"/>
    <x v="49"/>
    <x v="0"/>
  </r>
  <r>
    <x v="0"/>
    <x v="40"/>
    <x v="40"/>
    <x v="85"/>
    <x v="85"/>
    <x v="85"/>
    <x v="15"/>
    <x v="117"/>
    <x v="212"/>
    <x v="49"/>
    <x v="53"/>
    <x v="52"/>
    <x v="49"/>
    <x v="0"/>
  </r>
  <r>
    <x v="0"/>
    <x v="40"/>
    <x v="40"/>
    <x v="75"/>
    <x v="75"/>
    <x v="75"/>
    <x v="15"/>
    <x v="117"/>
    <x v="212"/>
    <x v="49"/>
    <x v="53"/>
    <x v="52"/>
    <x v="49"/>
    <x v="0"/>
  </r>
  <r>
    <x v="0"/>
    <x v="40"/>
    <x v="40"/>
    <x v="37"/>
    <x v="37"/>
    <x v="37"/>
    <x v="15"/>
    <x v="117"/>
    <x v="212"/>
    <x v="63"/>
    <x v="68"/>
    <x v="52"/>
    <x v="49"/>
    <x v="0"/>
  </r>
  <r>
    <x v="0"/>
    <x v="40"/>
    <x v="40"/>
    <x v="5"/>
    <x v="5"/>
    <x v="5"/>
    <x v="15"/>
    <x v="117"/>
    <x v="212"/>
    <x v="49"/>
    <x v="53"/>
    <x v="52"/>
    <x v="49"/>
    <x v="0"/>
  </r>
  <r>
    <x v="0"/>
    <x v="41"/>
    <x v="41"/>
    <x v="2"/>
    <x v="2"/>
    <x v="2"/>
    <x v="0"/>
    <x v="59"/>
    <x v="277"/>
    <x v="60"/>
    <x v="387"/>
    <x v="39"/>
    <x v="262"/>
    <x v="0"/>
  </r>
  <r>
    <x v="0"/>
    <x v="41"/>
    <x v="41"/>
    <x v="16"/>
    <x v="16"/>
    <x v="16"/>
    <x v="1"/>
    <x v="71"/>
    <x v="278"/>
    <x v="35"/>
    <x v="388"/>
    <x v="52"/>
    <x v="49"/>
    <x v="0"/>
  </r>
  <r>
    <x v="0"/>
    <x v="41"/>
    <x v="41"/>
    <x v="8"/>
    <x v="8"/>
    <x v="8"/>
    <x v="2"/>
    <x v="64"/>
    <x v="279"/>
    <x v="69"/>
    <x v="389"/>
    <x v="39"/>
    <x v="262"/>
    <x v="0"/>
  </r>
  <r>
    <x v="0"/>
    <x v="41"/>
    <x v="41"/>
    <x v="32"/>
    <x v="32"/>
    <x v="32"/>
    <x v="3"/>
    <x v="66"/>
    <x v="280"/>
    <x v="69"/>
    <x v="389"/>
    <x v="52"/>
    <x v="49"/>
    <x v="0"/>
  </r>
  <r>
    <x v="0"/>
    <x v="41"/>
    <x v="41"/>
    <x v="6"/>
    <x v="6"/>
    <x v="6"/>
    <x v="3"/>
    <x v="66"/>
    <x v="280"/>
    <x v="69"/>
    <x v="389"/>
    <x v="52"/>
    <x v="49"/>
    <x v="0"/>
  </r>
  <r>
    <x v="0"/>
    <x v="41"/>
    <x v="41"/>
    <x v="3"/>
    <x v="3"/>
    <x v="3"/>
    <x v="3"/>
    <x v="66"/>
    <x v="280"/>
    <x v="56"/>
    <x v="390"/>
    <x v="39"/>
    <x v="262"/>
    <x v="0"/>
  </r>
  <r>
    <x v="0"/>
    <x v="41"/>
    <x v="41"/>
    <x v="0"/>
    <x v="0"/>
    <x v="0"/>
    <x v="3"/>
    <x v="66"/>
    <x v="280"/>
    <x v="69"/>
    <x v="389"/>
    <x v="52"/>
    <x v="49"/>
    <x v="0"/>
  </r>
  <r>
    <x v="0"/>
    <x v="41"/>
    <x v="41"/>
    <x v="7"/>
    <x v="7"/>
    <x v="7"/>
    <x v="7"/>
    <x v="72"/>
    <x v="281"/>
    <x v="56"/>
    <x v="390"/>
    <x v="38"/>
    <x v="263"/>
    <x v="0"/>
  </r>
  <r>
    <x v="0"/>
    <x v="41"/>
    <x v="41"/>
    <x v="10"/>
    <x v="10"/>
    <x v="10"/>
    <x v="7"/>
    <x v="72"/>
    <x v="281"/>
    <x v="77"/>
    <x v="52"/>
    <x v="59"/>
    <x v="264"/>
    <x v="0"/>
  </r>
  <r>
    <x v="0"/>
    <x v="41"/>
    <x v="41"/>
    <x v="43"/>
    <x v="43"/>
    <x v="43"/>
    <x v="9"/>
    <x v="86"/>
    <x v="146"/>
    <x v="51"/>
    <x v="11"/>
    <x v="38"/>
    <x v="263"/>
    <x v="0"/>
  </r>
  <r>
    <x v="0"/>
    <x v="41"/>
    <x v="41"/>
    <x v="12"/>
    <x v="12"/>
    <x v="12"/>
    <x v="9"/>
    <x v="86"/>
    <x v="146"/>
    <x v="67"/>
    <x v="372"/>
    <x v="38"/>
    <x v="263"/>
    <x v="6"/>
  </r>
  <r>
    <x v="0"/>
    <x v="41"/>
    <x v="41"/>
    <x v="11"/>
    <x v="11"/>
    <x v="11"/>
    <x v="9"/>
    <x v="86"/>
    <x v="146"/>
    <x v="67"/>
    <x v="372"/>
    <x v="39"/>
    <x v="262"/>
    <x v="0"/>
  </r>
  <r>
    <x v="0"/>
    <x v="41"/>
    <x v="41"/>
    <x v="23"/>
    <x v="23"/>
    <x v="23"/>
    <x v="12"/>
    <x v="87"/>
    <x v="132"/>
    <x v="77"/>
    <x v="52"/>
    <x v="56"/>
    <x v="265"/>
    <x v="0"/>
  </r>
  <r>
    <x v="0"/>
    <x v="41"/>
    <x v="41"/>
    <x v="17"/>
    <x v="17"/>
    <x v="17"/>
    <x v="12"/>
    <x v="87"/>
    <x v="132"/>
    <x v="65"/>
    <x v="8"/>
    <x v="39"/>
    <x v="262"/>
    <x v="0"/>
  </r>
  <r>
    <x v="0"/>
    <x v="41"/>
    <x v="41"/>
    <x v="34"/>
    <x v="34"/>
    <x v="34"/>
    <x v="12"/>
    <x v="87"/>
    <x v="132"/>
    <x v="65"/>
    <x v="8"/>
    <x v="39"/>
    <x v="262"/>
    <x v="0"/>
  </r>
  <r>
    <x v="0"/>
    <x v="41"/>
    <x v="41"/>
    <x v="1"/>
    <x v="1"/>
    <x v="1"/>
    <x v="12"/>
    <x v="87"/>
    <x v="132"/>
    <x v="51"/>
    <x v="11"/>
    <x v="52"/>
    <x v="49"/>
    <x v="0"/>
  </r>
  <r>
    <x v="0"/>
    <x v="41"/>
    <x v="41"/>
    <x v="5"/>
    <x v="5"/>
    <x v="5"/>
    <x v="12"/>
    <x v="87"/>
    <x v="132"/>
    <x v="51"/>
    <x v="11"/>
    <x v="52"/>
    <x v="49"/>
    <x v="0"/>
  </r>
  <r>
    <x v="0"/>
    <x v="41"/>
    <x v="41"/>
    <x v="9"/>
    <x v="9"/>
    <x v="9"/>
    <x v="17"/>
    <x v="88"/>
    <x v="91"/>
    <x v="49"/>
    <x v="96"/>
    <x v="56"/>
    <x v="265"/>
    <x v="0"/>
  </r>
  <r>
    <x v="0"/>
    <x v="41"/>
    <x v="41"/>
    <x v="35"/>
    <x v="35"/>
    <x v="35"/>
    <x v="17"/>
    <x v="88"/>
    <x v="91"/>
    <x v="65"/>
    <x v="8"/>
    <x v="52"/>
    <x v="49"/>
    <x v="6"/>
  </r>
  <r>
    <x v="0"/>
    <x v="41"/>
    <x v="41"/>
    <x v="18"/>
    <x v="18"/>
    <x v="18"/>
    <x v="17"/>
    <x v="88"/>
    <x v="91"/>
    <x v="49"/>
    <x v="96"/>
    <x v="56"/>
    <x v="265"/>
    <x v="0"/>
  </r>
  <r>
    <x v="0"/>
    <x v="41"/>
    <x v="41"/>
    <x v="4"/>
    <x v="4"/>
    <x v="4"/>
    <x v="17"/>
    <x v="88"/>
    <x v="91"/>
    <x v="65"/>
    <x v="8"/>
    <x v="38"/>
    <x v="263"/>
    <x v="0"/>
  </r>
  <r>
    <x v="0"/>
    <x v="41"/>
    <x v="41"/>
    <x v="42"/>
    <x v="42"/>
    <x v="42"/>
    <x v="17"/>
    <x v="88"/>
    <x v="91"/>
    <x v="67"/>
    <x v="372"/>
    <x v="52"/>
    <x v="49"/>
    <x v="0"/>
  </r>
  <r>
    <x v="0"/>
    <x v="42"/>
    <x v="42"/>
    <x v="0"/>
    <x v="0"/>
    <x v="0"/>
    <x v="0"/>
    <x v="62"/>
    <x v="282"/>
    <x v="62"/>
    <x v="391"/>
    <x v="52"/>
    <x v="49"/>
    <x v="0"/>
  </r>
  <r>
    <x v="0"/>
    <x v="42"/>
    <x v="42"/>
    <x v="8"/>
    <x v="8"/>
    <x v="8"/>
    <x v="1"/>
    <x v="69"/>
    <x v="283"/>
    <x v="84"/>
    <x v="341"/>
    <x v="52"/>
    <x v="49"/>
    <x v="0"/>
  </r>
  <r>
    <x v="0"/>
    <x v="42"/>
    <x v="42"/>
    <x v="2"/>
    <x v="2"/>
    <x v="2"/>
    <x v="1"/>
    <x v="69"/>
    <x v="283"/>
    <x v="84"/>
    <x v="341"/>
    <x v="52"/>
    <x v="49"/>
    <x v="0"/>
  </r>
  <r>
    <x v="0"/>
    <x v="42"/>
    <x v="42"/>
    <x v="12"/>
    <x v="12"/>
    <x v="12"/>
    <x v="1"/>
    <x v="69"/>
    <x v="283"/>
    <x v="76"/>
    <x v="311"/>
    <x v="38"/>
    <x v="266"/>
    <x v="0"/>
  </r>
  <r>
    <x v="0"/>
    <x v="42"/>
    <x v="42"/>
    <x v="7"/>
    <x v="7"/>
    <x v="7"/>
    <x v="4"/>
    <x v="70"/>
    <x v="284"/>
    <x v="68"/>
    <x v="168"/>
    <x v="38"/>
    <x v="266"/>
    <x v="0"/>
  </r>
  <r>
    <x v="0"/>
    <x v="42"/>
    <x v="42"/>
    <x v="16"/>
    <x v="16"/>
    <x v="16"/>
    <x v="5"/>
    <x v="66"/>
    <x v="285"/>
    <x v="69"/>
    <x v="392"/>
    <x v="52"/>
    <x v="49"/>
    <x v="0"/>
  </r>
  <r>
    <x v="0"/>
    <x v="42"/>
    <x v="42"/>
    <x v="3"/>
    <x v="3"/>
    <x v="3"/>
    <x v="6"/>
    <x v="72"/>
    <x v="286"/>
    <x v="66"/>
    <x v="283"/>
    <x v="52"/>
    <x v="49"/>
    <x v="0"/>
  </r>
  <r>
    <x v="0"/>
    <x v="42"/>
    <x v="42"/>
    <x v="43"/>
    <x v="43"/>
    <x v="43"/>
    <x v="7"/>
    <x v="86"/>
    <x v="287"/>
    <x v="56"/>
    <x v="393"/>
    <x v="52"/>
    <x v="49"/>
    <x v="0"/>
  </r>
  <r>
    <x v="0"/>
    <x v="42"/>
    <x v="42"/>
    <x v="1"/>
    <x v="1"/>
    <x v="1"/>
    <x v="7"/>
    <x v="86"/>
    <x v="287"/>
    <x v="56"/>
    <x v="393"/>
    <x v="52"/>
    <x v="49"/>
    <x v="0"/>
  </r>
  <r>
    <x v="0"/>
    <x v="42"/>
    <x v="42"/>
    <x v="19"/>
    <x v="19"/>
    <x v="19"/>
    <x v="9"/>
    <x v="88"/>
    <x v="288"/>
    <x v="75"/>
    <x v="251"/>
    <x v="54"/>
    <x v="267"/>
    <x v="0"/>
  </r>
  <r>
    <x v="0"/>
    <x v="42"/>
    <x v="42"/>
    <x v="45"/>
    <x v="45"/>
    <x v="45"/>
    <x v="9"/>
    <x v="88"/>
    <x v="288"/>
    <x v="65"/>
    <x v="285"/>
    <x v="38"/>
    <x v="266"/>
    <x v="0"/>
  </r>
  <r>
    <x v="0"/>
    <x v="42"/>
    <x v="42"/>
    <x v="17"/>
    <x v="17"/>
    <x v="17"/>
    <x v="9"/>
    <x v="88"/>
    <x v="288"/>
    <x v="75"/>
    <x v="251"/>
    <x v="54"/>
    <x v="267"/>
    <x v="0"/>
  </r>
  <r>
    <x v="0"/>
    <x v="42"/>
    <x v="42"/>
    <x v="34"/>
    <x v="34"/>
    <x v="34"/>
    <x v="9"/>
    <x v="88"/>
    <x v="288"/>
    <x v="65"/>
    <x v="285"/>
    <x v="38"/>
    <x v="266"/>
    <x v="0"/>
  </r>
  <r>
    <x v="0"/>
    <x v="42"/>
    <x v="42"/>
    <x v="9"/>
    <x v="9"/>
    <x v="9"/>
    <x v="13"/>
    <x v="113"/>
    <x v="218"/>
    <x v="75"/>
    <x v="251"/>
    <x v="56"/>
    <x v="268"/>
    <x v="0"/>
  </r>
  <r>
    <x v="0"/>
    <x v="42"/>
    <x v="42"/>
    <x v="66"/>
    <x v="66"/>
    <x v="66"/>
    <x v="13"/>
    <x v="113"/>
    <x v="218"/>
    <x v="65"/>
    <x v="285"/>
    <x v="52"/>
    <x v="49"/>
    <x v="0"/>
  </r>
  <r>
    <x v="0"/>
    <x v="42"/>
    <x v="42"/>
    <x v="15"/>
    <x v="15"/>
    <x v="15"/>
    <x v="13"/>
    <x v="113"/>
    <x v="218"/>
    <x v="65"/>
    <x v="285"/>
    <x v="52"/>
    <x v="49"/>
    <x v="0"/>
  </r>
  <r>
    <x v="0"/>
    <x v="42"/>
    <x v="42"/>
    <x v="56"/>
    <x v="56"/>
    <x v="56"/>
    <x v="13"/>
    <x v="113"/>
    <x v="218"/>
    <x v="63"/>
    <x v="68"/>
    <x v="54"/>
    <x v="267"/>
    <x v="0"/>
  </r>
  <r>
    <x v="0"/>
    <x v="42"/>
    <x v="42"/>
    <x v="18"/>
    <x v="18"/>
    <x v="18"/>
    <x v="13"/>
    <x v="113"/>
    <x v="218"/>
    <x v="49"/>
    <x v="13"/>
    <x v="39"/>
    <x v="269"/>
    <x v="0"/>
  </r>
  <r>
    <x v="0"/>
    <x v="42"/>
    <x v="42"/>
    <x v="4"/>
    <x v="4"/>
    <x v="4"/>
    <x v="13"/>
    <x v="113"/>
    <x v="218"/>
    <x v="65"/>
    <x v="285"/>
    <x v="52"/>
    <x v="49"/>
    <x v="0"/>
  </r>
  <r>
    <x v="0"/>
    <x v="42"/>
    <x v="42"/>
    <x v="23"/>
    <x v="23"/>
    <x v="23"/>
    <x v="13"/>
    <x v="113"/>
    <x v="218"/>
    <x v="65"/>
    <x v="285"/>
    <x v="52"/>
    <x v="49"/>
    <x v="0"/>
  </r>
  <r>
    <x v="0"/>
    <x v="42"/>
    <x v="42"/>
    <x v="10"/>
    <x v="10"/>
    <x v="10"/>
    <x v="13"/>
    <x v="113"/>
    <x v="218"/>
    <x v="75"/>
    <x v="251"/>
    <x v="56"/>
    <x v="268"/>
    <x v="0"/>
  </r>
  <r>
    <x v="0"/>
    <x v="42"/>
    <x v="42"/>
    <x v="6"/>
    <x v="6"/>
    <x v="6"/>
    <x v="13"/>
    <x v="113"/>
    <x v="218"/>
    <x v="65"/>
    <x v="285"/>
    <x v="52"/>
    <x v="49"/>
    <x v="0"/>
  </r>
  <r>
    <x v="0"/>
    <x v="42"/>
    <x v="42"/>
    <x v="11"/>
    <x v="11"/>
    <x v="11"/>
    <x v="13"/>
    <x v="113"/>
    <x v="218"/>
    <x v="77"/>
    <x v="252"/>
    <x v="38"/>
    <x v="266"/>
    <x v="0"/>
  </r>
  <r>
    <x v="0"/>
    <x v="43"/>
    <x v="43"/>
    <x v="34"/>
    <x v="34"/>
    <x v="34"/>
    <x v="0"/>
    <x v="85"/>
    <x v="244"/>
    <x v="61"/>
    <x v="394"/>
    <x v="52"/>
    <x v="49"/>
    <x v="0"/>
  </r>
  <r>
    <x v="0"/>
    <x v="43"/>
    <x v="43"/>
    <x v="0"/>
    <x v="0"/>
    <x v="0"/>
    <x v="1"/>
    <x v="63"/>
    <x v="289"/>
    <x v="68"/>
    <x v="395"/>
    <x v="52"/>
    <x v="49"/>
    <x v="0"/>
  </r>
  <r>
    <x v="0"/>
    <x v="43"/>
    <x v="43"/>
    <x v="10"/>
    <x v="10"/>
    <x v="10"/>
    <x v="2"/>
    <x v="65"/>
    <x v="104"/>
    <x v="69"/>
    <x v="396"/>
    <x v="38"/>
    <x v="175"/>
    <x v="0"/>
  </r>
  <r>
    <x v="0"/>
    <x v="43"/>
    <x v="43"/>
    <x v="43"/>
    <x v="43"/>
    <x v="43"/>
    <x v="3"/>
    <x v="66"/>
    <x v="290"/>
    <x v="51"/>
    <x v="397"/>
    <x v="56"/>
    <x v="270"/>
    <x v="0"/>
  </r>
  <r>
    <x v="0"/>
    <x v="43"/>
    <x v="43"/>
    <x v="6"/>
    <x v="6"/>
    <x v="6"/>
    <x v="4"/>
    <x v="72"/>
    <x v="83"/>
    <x v="56"/>
    <x v="398"/>
    <x v="38"/>
    <x v="175"/>
    <x v="0"/>
  </r>
  <r>
    <x v="0"/>
    <x v="43"/>
    <x v="43"/>
    <x v="2"/>
    <x v="2"/>
    <x v="2"/>
    <x v="4"/>
    <x v="72"/>
    <x v="83"/>
    <x v="66"/>
    <x v="60"/>
    <x v="52"/>
    <x v="49"/>
    <x v="0"/>
  </r>
  <r>
    <x v="0"/>
    <x v="43"/>
    <x v="43"/>
    <x v="3"/>
    <x v="3"/>
    <x v="3"/>
    <x v="4"/>
    <x v="72"/>
    <x v="83"/>
    <x v="66"/>
    <x v="60"/>
    <x v="52"/>
    <x v="49"/>
    <x v="0"/>
  </r>
  <r>
    <x v="0"/>
    <x v="43"/>
    <x v="43"/>
    <x v="80"/>
    <x v="80"/>
    <x v="80"/>
    <x v="4"/>
    <x v="72"/>
    <x v="83"/>
    <x v="56"/>
    <x v="398"/>
    <x v="38"/>
    <x v="175"/>
    <x v="0"/>
  </r>
  <r>
    <x v="0"/>
    <x v="43"/>
    <x v="43"/>
    <x v="16"/>
    <x v="16"/>
    <x v="16"/>
    <x v="8"/>
    <x v="86"/>
    <x v="170"/>
    <x v="56"/>
    <x v="398"/>
    <x v="52"/>
    <x v="49"/>
    <x v="0"/>
  </r>
  <r>
    <x v="0"/>
    <x v="43"/>
    <x v="43"/>
    <x v="7"/>
    <x v="7"/>
    <x v="7"/>
    <x v="8"/>
    <x v="86"/>
    <x v="170"/>
    <x v="56"/>
    <x v="398"/>
    <x v="52"/>
    <x v="49"/>
    <x v="0"/>
  </r>
  <r>
    <x v="0"/>
    <x v="43"/>
    <x v="43"/>
    <x v="17"/>
    <x v="17"/>
    <x v="17"/>
    <x v="8"/>
    <x v="86"/>
    <x v="170"/>
    <x v="51"/>
    <x v="397"/>
    <x v="38"/>
    <x v="175"/>
    <x v="0"/>
  </r>
  <r>
    <x v="0"/>
    <x v="43"/>
    <x v="43"/>
    <x v="37"/>
    <x v="37"/>
    <x v="37"/>
    <x v="8"/>
    <x v="86"/>
    <x v="170"/>
    <x v="49"/>
    <x v="30"/>
    <x v="39"/>
    <x v="271"/>
    <x v="7"/>
  </r>
  <r>
    <x v="0"/>
    <x v="43"/>
    <x v="43"/>
    <x v="1"/>
    <x v="1"/>
    <x v="1"/>
    <x v="12"/>
    <x v="87"/>
    <x v="108"/>
    <x v="51"/>
    <x v="397"/>
    <x v="52"/>
    <x v="49"/>
    <x v="0"/>
  </r>
  <r>
    <x v="0"/>
    <x v="43"/>
    <x v="43"/>
    <x v="5"/>
    <x v="5"/>
    <x v="5"/>
    <x v="12"/>
    <x v="87"/>
    <x v="108"/>
    <x v="51"/>
    <x v="397"/>
    <x v="52"/>
    <x v="49"/>
    <x v="0"/>
  </r>
  <r>
    <x v="0"/>
    <x v="43"/>
    <x v="43"/>
    <x v="83"/>
    <x v="83"/>
    <x v="83"/>
    <x v="14"/>
    <x v="88"/>
    <x v="291"/>
    <x v="49"/>
    <x v="30"/>
    <x v="56"/>
    <x v="270"/>
    <x v="0"/>
  </r>
  <r>
    <x v="0"/>
    <x v="43"/>
    <x v="43"/>
    <x v="4"/>
    <x v="4"/>
    <x v="4"/>
    <x v="14"/>
    <x v="88"/>
    <x v="291"/>
    <x v="67"/>
    <x v="399"/>
    <x v="52"/>
    <x v="49"/>
    <x v="0"/>
  </r>
  <r>
    <x v="0"/>
    <x v="43"/>
    <x v="43"/>
    <x v="11"/>
    <x v="11"/>
    <x v="11"/>
    <x v="14"/>
    <x v="88"/>
    <x v="291"/>
    <x v="49"/>
    <x v="30"/>
    <x v="56"/>
    <x v="270"/>
    <x v="0"/>
  </r>
  <r>
    <x v="0"/>
    <x v="43"/>
    <x v="43"/>
    <x v="31"/>
    <x v="31"/>
    <x v="31"/>
    <x v="17"/>
    <x v="113"/>
    <x v="77"/>
    <x v="49"/>
    <x v="30"/>
    <x v="39"/>
    <x v="271"/>
    <x v="0"/>
  </r>
  <r>
    <x v="0"/>
    <x v="43"/>
    <x v="43"/>
    <x v="29"/>
    <x v="29"/>
    <x v="29"/>
    <x v="17"/>
    <x v="113"/>
    <x v="77"/>
    <x v="65"/>
    <x v="400"/>
    <x v="52"/>
    <x v="49"/>
    <x v="0"/>
  </r>
  <r>
    <x v="0"/>
    <x v="43"/>
    <x v="43"/>
    <x v="15"/>
    <x v="15"/>
    <x v="15"/>
    <x v="19"/>
    <x v="115"/>
    <x v="292"/>
    <x v="75"/>
    <x v="291"/>
    <x v="39"/>
    <x v="271"/>
    <x v="0"/>
  </r>
  <r>
    <x v="0"/>
    <x v="43"/>
    <x v="43"/>
    <x v="48"/>
    <x v="48"/>
    <x v="48"/>
    <x v="19"/>
    <x v="115"/>
    <x v="292"/>
    <x v="77"/>
    <x v="401"/>
    <x v="52"/>
    <x v="49"/>
    <x v="0"/>
  </r>
  <r>
    <x v="0"/>
    <x v="43"/>
    <x v="43"/>
    <x v="81"/>
    <x v="81"/>
    <x v="81"/>
    <x v="19"/>
    <x v="115"/>
    <x v="292"/>
    <x v="77"/>
    <x v="401"/>
    <x v="52"/>
    <x v="49"/>
    <x v="0"/>
  </r>
  <r>
    <x v="0"/>
    <x v="43"/>
    <x v="43"/>
    <x v="23"/>
    <x v="23"/>
    <x v="23"/>
    <x v="19"/>
    <x v="115"/>
    <x v="292"/>
    <x v="49"/>
    <x v="30"/>
    <x v="38"/>
    <x v="175"/>
    <x v="0"/>
  </r>
  <r>
    <x v="0"/>
    <x v="43"/>
    <x v="43"/>
    <x v="84"/>
    <x v="84"/>
    <x v="84"/>
    <x v="19"/>
    <x v="115"/>
    <x v="292"/>
    <x v="75"/>
    <x v="291"/>
    <x v="39"/>
    <x v="271"/>
    <x v="0"/>
  </r>
  <r>
    <x v="0"/>
    <x v="43"/>
    <x v="43"/>
    <x v="32"/>
    <x v="32"/>
    <x v="32"/>
    <x v="19"/>
    <x v="115"/>
    <x v="292"/>
    <x v="77"/>
    <x v="401"/>
    <x v="52"/>
    <x v="4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A13FCE-0082-4329-9976-DA0F8A38A930}" name="pvt_L" cacheId="2263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05" firstHeaderRow="0" firstDataRow="1" firstDataCol="1"/>
  <pivotFields count="11">
    <pivotField showAll="0"/>
    <pivotField showAll="0"/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65">
      <pivotArea field="2" type="button" dataOnly="0" labelOnly="1" outline="0" axis="axisRow" fieldPosition="0"/>
    </format>
    <format dxfId="664">
      <pivotArea outline="0" fieldPosition="0">
        <references count="1">
          <reference field="4294967294" count="1">
            <x v="0"/>
          </reference>
        </references>
      </pivotArea>
    </format>
    <format dxfId="663">
      <pivotArea outline="0" fieldPosition="0">
        <references count="1">
          <reference field="4294967294" count="1">
            <x v="1"/>
          </reference>
        </references>
      </pivotArea>
    </format>
    <format dxfId="662">
      <pivotArea outline="0" fieldPosition="0">
        <references count="1">
          <reference field="4294967294" count="1">
            <x v="2"/>
          </reference>
        </references>
      </pivotArea>
    </format>
    <format dxfId="661">
      <pivotArea outline="0" fieldPosition="0">
        <references count="1">
          <reference field="4294967294" count="1">
            <x v="3"/>
          </reference>
        </references>
      </pivotArea>
    </format>
    <format dxfId="660">
      <pivotArea outline="0" fieldPosition="0">
        <references count="1">
          <reference field="4294967294" count="1">
            <x v="4"/>
          </reference>
        </references>
      </pivotArea>
    </format>
    <format dxfId="659">
      <pivotArea outline="0" fieldPosition="0">
        <references count="1">
          <reference field="4294967294" count="1">
            <x v="5"/>
          </reference>
        </references>
      </pivotArea>
    </format>
    <format dxfId="658">
      <pivotArea outline="0" fieldPosition="0">
        <references count="1">
          <reference field="4294967294" count="1">
            <x v="6"/>
          </reference>
        </references>
      </pivotArea>
    </format>
    <format dxfId="657">
      <pivotArea field="2" type="button" dataOnly="0" labelOnly="1" outline="0" axis="axisRow" fieldPosition="0"/>
    </format>
    <format dxfId="6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5">
      <pivotArea field="2" type="button" dataOnly="0" labelOnly="1" outline="0" axis="axisRow" fieldPosition="0"/>
    </format>
    <format dxfId="6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3">
      <pivotArea field="2" type="button" dataOnly="0" labelOnly="1" outline="0" axis="axisRow" fieldPosition="0"/>
    </format>
    <format dxfId="6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75C837-57FC-42EA-886C-AFB3A2F0D91C}" name="pvt_M" cacheId="226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0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4">
        <item x="13"/>
        <item x="4"/>
        <item x="24"/>
        <item x="19"/>
        <item x="18"/>
        <item x="16"/>
        <item x="29"/>
        <item x="27"/>
        <item x="26"/>
        <item x="28"/>
        <item x="32"/>
        <item x="30"/>
        <item x="31"/>
        <item x="22"/>
        <item x="9"/>
        <item x="15"/>
        <item x="6"/>
        <item x="2"/>
        <item x="20"/>
        <item x="21"/>
        <item x="0"/>
        <item x="1"/>
        <item x="23"/>
        <item x="5"/>
        <item x="8"/>
        <item x="7"/>
        <item x="25"/>
        <item x="11"/>
        <item x="40"/>
        <item x="34"/>
        <item x="37"/>
        <item x="35"/>
        <item x="33"/>
        <item x="42"/>
        <item x="39"/>
        <item x="38"/>
        <item x="43"/>
        <item x="36"/>
        <item x="41"/>
        <item x="14"/>
        <item x="17"/>
        <item x="10"/>
        <item x="3"/>
        <item x="12"/>
      </items>
    </pivotField>
    <pivotField axis="axisRow" showAll="0" insertBlankRow="1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55">
        <item x="48"/>
        <item x="4"/>
        <item x="9"/>
        <item x="10"/>
        <item x="16"/>
        <item x="24"/>
        <item x="34"/>
        <item x="37"/>
        <item x="35"/>
        <item x="41"/>
        <item x="31"/>
        <item x="29"/>
        <item x="49"/>
        <item x="43"/>
        <item x="36"/>
        <item x="25"/>
        <item x="50"/>
        <item x="53"/>
        <item x="51"/>
        <item x="47"/>
        <item x="52"/>
        <item x="42"/>
        <item x="33"/>
        <item x="40"/>
        <item x="19"/>
        <item x="22"/>
        <item x="20"/>
        <item x="21"/>
        <item x="13"/>
        <item x="3"/>
        <item x="6"/>
        <item x="2"/>
        <item x="38"/>
        <item x="30"/>
        <item x="17"/>
        <item x="5"/>
        <item x="46"/>
        <item x="45"/>
        <item x="11"/>
        <item x="12"/>
        <item x="18"/>
        <item x="0"/>
        <item x="26"/>
        <item x="1"/>
        <item x="23"/>
        <item x="27"/>
        <item x="8"/>
        <item x="7"/>
        <item x="15"/>
        <item x="44"/>
        <item x="14"/>
        <item x="32"/>
        <item x="54"/>
        <item x="28"/>
        <item x="39"/>
      </items>
    </pivotField>
    <pivotField showAll="0" defaultSubtotal="0">
      <items count="55">
        <item x="39"/>
        <item x="21"/>
        <item x="8"/>
        <item x="28"/>
        <item x="2"/>
        <item x="23"/>
        <item x="36"/>
        <item x="7"/>
        <item x="0"/>
        <item x="19"/>
        <item x="3"/>
        <item x="24"/>
        <item x="40"/>
        <item x="41"/>
        <item x="35"/>
        <item x="45"/>
        <item x="20"/>
        <item x="6"/>
        <item x="32"/>
        <item x="12"/>
        <item x="29"/>
        <item x="22"/>
        <item x="27"/>
        <item x="48"/>
        <item x="26"/>
        <item x="14"/>
        <item x="15"/>
        <item x="18"/>
        <item x="47"/>
        <item x="13"/>
        <item x="54"/>
        <item x="9"/>
        <item x="16"/>
        <item x="42"/>
        <item x="50"/>
        <item x="10"/>
        <item x="11"/>
        <item x="1"/>
        <item x="34"/>
        <item x="33"/>
        <item x="4"/>
        <item x="53"/>
        <item x="49"/>
        <item x="25"/>
        <item x="52"/>
        <item x="44"/>
        <item x="17"/>
        <item x="5"/>
        <item x="46"/>
        <item x="30"/>
        <item x="51"/>
        <item x="38"/>
        <item x="37"/>
        <item x="43"/>
        <item x="31"/>
      </items>
    </pivotField>
    <pivotField axis="axisRow" showAll="0" defaultSubtotal="0">
      <items count="55">
        <item x="48"/>
        <item x="4"/>
        <item x="9"/>
        <item x="10"/>
        <item x="16"/>
        <item x="24"/>
        <item x="34"/>
        <item x="37"/>
        <item x="35"/>
        <item x="41"/>
        <item x="31"/>
        <item x="29"/>
        <item x="49"/>
        <item x="43"/>
        <item x="36"/>
        <item x="25"/>
        <item x="50"/>
        <item x="53"/>
        <item x="51"/>
        <item x="47"/>
        <item x="52"/>
        <item x="42"/>
        <item x="33"/>
        <item x="40"/>
        <item x="19"/>
        <item x="22"/>
        <item x="20"/>
        <item x="21"/>
        <item x="13"/>
        <item x="3"/>
        <item x="6"/>
        <item x="2"/>
        <item x="38"/>
        <item x="30"/>
        <item x="17"/>
        <item x="5"/>
        <item x="46"/>
        <item x="45"/>
        <item x="11"/>
        <item x="12"/>
        <item x="18"/>
        <item x="0"/>
        <item x="26"/>
        <item x="1"/>
        <item x="23"/>
        <item x="27"/>
        <item x="8"/>
        <item x="7"/>
        <item x="15"/>
        <item x="44"/>
        <item x="14"/>
        <item x="32"/>
        <item x="54"/>
        <item x="28"/>
        <item x="3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1">
        <item x="153"/>
        <item x="152"/>
        <item x="155"/>
        <item x="151"/>
        <item x="154"/>
        <item x="103"/>
        <item x="78"/>
        <item x="77"/>
        <item x="68"/>
        <item x="76"/>
        <item x="67"/>
        <item x="66"/>
        <item x="75"/>
        <item x="98"/>
        <item x="74"/>
        <item x="65"/>
        <item x="64"/>
        <item x="63"/>
        <item x="73"/>
        <item x="89"/>
        <item x="62"/>
        <item x="88"/>
        <item x="72"/>
        <item x="87"/>
        <item x="61"/>
        <item x="97"/>
        <item x="86"/>
        <item x="96"/>
        <item x="85"/>
        <item x="123"/>
        <item x="71"/>
        <item x="122"/>
        <item x="102"/>
        <item x="56"/>
        <item x="60"/>
        <item x="59"/>
        <item x="84"/>
        <item x="160"/>
        <item x="117"/>
        <item x="95"/>
        <item x="133"/>
        <item x="55"/>
        <item x="116"/>
        <item x="54"/>
        <item x="143"/>
        <item x="53"/>
        <item x="134"/>
        <item x="70"/>
        <item x="121"/>
        <item x="52"/>
        <item x="100"/>
        <item x="51"/>
        <item x="101"/>
        <item x="132"/>
        <item x="94"/>
        <item x="50"/>
        <item x="135"/>
        <item x="69"/>
        <item x="147"/>
        <item x="159"/>
        <item x="99"/>
        <item x="157"/>
        <item x="93"/>
        <item x="139"/>
        <item x="49"/>
        <item x="58"/>
        <item x="83"/>
        <item x="158"/>
        <item x="110"/>
        <item x="57"/>
        <item x="142"/>
        <item x="120"/>
        <item x="138"/>
        <item x="131"/>
        <item x="109"/>
        <item x="48"/>
        <item x="47"/>
        <item x="115"/>
        <item x="46"/>
        <item x="137"/>
        <item x="150"/>
        <item x="82"/>
        <item x="108"/>
        <item x="114"/>
        <item x="119"/>
        <item x="130"/>
        <item x="113"/>
        <item x="129"/>
        <item x="136"/>
        <item x="146"/>
        <item x="118"/>
        <item x="112"/>
        <item x="145"/>
        <item x="128"/>
        <item x="81"/>
        <item x="92"/>
        <item x="144"/>
        <item x="156"/>
        <item x="45"/>
        <item x="44"/>
        <item x="149"/>
        <item x="111"/>
        <item x="141"/>
        <item x="91"/>
        <item x="90"/>
        <item x="43"/>
        <item x="107"/>
        <item x="127"/>
        <item x="140"/>
        <item x="80"/>
        <item x="79"/>
        <item x="106"/>
        <item x="126"/>
        <item x="148"/>
        <item x="42"/>
        <item x="105"/>
        <item x="39"/>
        <item x="38"/>
        <item x="104"/>
        <item x="125"/>
        <item x="37"/>
        <item x="36"/>
        <item x="41"/>
        <item x="40"/>
        <item x="35"/>
        <item x="124"/>
        <item x="34"/>
        <item x="33"/>
        <item x="32"/>
        <item x="31"/>
        <item x="30"/>
        <item x="29"/>
        <item x="28"/>
        <item x="27"/>
        <item x="19"/>
        <item x="26"/>
        <item x="25"/>
        <item x="18"/>
        <item x="17"/>
        <item x="16"/>
        <item x="24"/>
        <item x="15"/>
        <item x="14"/>
        <item x="13"/>
        <item x="23"/>
        <item x="12"/>
        <item x="22"/>
        <item x="11"/>
        <item x="10"/>
        <item x="9"/>
        <item x="8"/>
        <item x="7"/>
        <item x="21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435">
        <item x="405"/>
        <item x="400"/>
        <item x="319"/>
        <item x="426"/>
        <item x="171"/>
        <item x="106"/>
        <item x="291"/>
        <item x="387"/>
        <item x="342"/>
        <item x="211"/>
        <item x="246"/>
        <item x="170"/>
        <item x="78"/>
        <item x="334"/>
        <item x="143"/>
        <item x="394"/>
        <item x="210"/>
        <item x="353"/>
        <item x="92"/>
        <item x="64"/>
        <item x="142"/>
        <item x="234"/>
        <item x="221"/>
        <item x="52"/>
        <item x="18"/>
        <item x="157"/>
        <item x="77"/>
        <item x="105"/>
        <item x="141"/>
        <item x="268"/>
        <item x="312"/>
        <item x="91"/>
        <item x="233"/>
        <item x="306"/>
        <item x="17"/>
        <item x="16"/>
        <item x="258"/>
        <item x="198"/>
        <item x="126"/>
        <item x="187"/>
        <item x="15"/>
        <item x="140"/>
        <item x="76"/>
        <item x="186"/>
        <item x="90"/>
        <item x="63"/>
        <item x="35"/>
        <item x="380"/>
        <item x="197"/>
        <item x="156"/>
        <item x="34"/>
        <item x="116"/>
        <item x="14"/>
        <item x="51"/>
        <item x="185"/>
        <item x="415"/>
        <item x="33"/>
        <item x="89"/>
        <item x="62"/>
        <item x="245"/>
        <item x="196"/>
        <item x="50"/>
        <item x="425"/>
        <item x="169"/>
        <item x="155"/>
        <item x="139"/>
        <item x="32"/>
        <item x="49"/>
        <item x="104"/>
        <item x="284"/>
        <item x="184"/>
        <item x="434"/>
        <item x="75"/>
        <item x="138"/>
        <item x="232"/>
        <item x="88"/>
        <item x="13"/>
        <item x="220"/>
        <item x="333"/>
        <item x="257"/>
        <item x="183"/>
        <item x="48"/>
        <item x="103"/>
        <item x="300"/>
        <item x="31"/>
        <item x="168"/>
        <item x="231"/>
        <item x="154"/>
        <item x="47"/>
        <item x="209"/>
        <item x="230"/>
        <item x="424"/>
        <item x="352"/>
        <item x="256"/>
        <item x="283"/>
        <item x="102"/>
        <item x="12"/>
        <item x="208"/>
        <item x="115"/>
        <item x="87"/>
        <item x="386"/>
        <item x="46"/>
        <item x="125"/>
        <item x="341"/>
        <item x="11"/>
        <item x="255"/>
        <item x="61"/>
        <item x="373"/>
        <item x="299"/>
        <item x="137"/>
        <item x="414"/>
        <item x="325"/>
        <item x="207"/>
        <item x="10"/>
        <item x="360"/>
        <item x="30"/>
        <item x="254"/>
        <item x="423"/>
        <item x="393"/>
        <item x="153"/>
        <item x="229"/>
        <item x="290"/>
        <item x="399"/>
        <item x="351"/>
        <item x="86"/>
        <item x="74"/>
        <item x="45"/>
        <item x="60"/>
        <item x="433"/>
        <item x="85"/>
        <item x="340"/>
        <item x="219"/>
        <item x="228"/>
        <item x="413"/>
        <item x="114"/>
        <item x="136"/>
        <item x="101"/>
        <item x="9"/>
        <item x="379"/>
        <item x="182"/>
        <item x="311"/>
        <item x="135"/>
        <item x="282"/>
        <item x="167"/>
        <item x="305"/>
        <item x="324"/>
        <item x="181"/>
        <item x="244"/>
        <item x="253"/>
        <item x="385"/>
        <item x="350"/>
        <item x="124"/>
        <item x="29"/>
        <item x="44"/>
        <item x="339"/>
        <item x="412"/>
        <item x="227"/>
        <item x="43"/>
        <item x="100"/>
        <item x="28"/>
        <item x="318"/>
        <item x="134"/>
        <item x="84"/>
        <item x="218"/>
        <item x="267"/>
        <item x="152"/>
        <item x="364"/>
        <item x="42"/>
        <item x="27"/>
        <item x="99"/>
        <item x="123"/>
        <item x="73"/>
        <item x="8"/>
        <item x="7"/>
        <item x="384"/>
        <item x="206"/>
        <item x="151"/>
        <item x="180"/>
        <item x="243"/>
        <item x="411"/>
        <item x="133"/>
        <item x="179"/>
        <item x="83"/>
        <item x="178"/>
        <item x="304"/>
        <item x="113"/>
        <item x="195"/>
        <item x="398"/>
        <item x="166"/>
        <item x="6"/>
        <item x="72"/>
        <item x="194"/>
        <item x="217"/>
        <item x="332"/>
        <item x="112"/>
        <item x="150"/>
        <item x="281"/>
        <item x="26"/>
        <item x="122"/>
        <item x="226"/>
        <item x="338"/>
        <item x="5"/>
        <item x="165"/>
        <item x="132"/>
        <item x="372"/>
        <item x="193"/>
        <item x="422"/>
        <item x="25"/>
        <item x="205"/>
        <item x="252"/>
        <item x="71"/>
        <item x="98"/>
        <item x="298"/>
        <item x="266"/>
        <item x="177"/>
        <item x="410"/>
        <item x="242"/>
        <item x="432"/>
        <item x="216"/>
        <item x="24"/>
        <item x="164"/>
        <item x="97"/>
        <item x="310"/>
        <item x="121"/>
        <item x="70"/>
        <item x="192"/>
        <item x="111"/>
        <item x="280"/>
        <item x="265"/>
        <item x="149"/>
        <item x="359"/>
        <item x="331"/>
        <item x="317"/>
        <item x="23"/>
        <item x="349"/>
        <item x="297"/>
        <item x="289"/>
        <item x="309"/>
        <item x="264"/>
        <item x="41"/>
        <item x="82"/>
        <item x="378"/>
        <item x="40"/>
        <item x="59"/>
        <item x="241"/>
        <item x="58"/>
        <item x="263"/>
        <item x="409"/>
        <item x="279"/>
        <item x="57"/>
        <item x="303"/>
        <item x="4"/>
        <item x="215"/>
        <item x="421"/>
        <item x="69"/>
        <item x="296"/>
        <item x="302"/>
        <item x="358"/>
        <item x="377"/>
        <item x="371"/>
        <item x="39"/>
        <item x="240"/>
        <item x="148"/>
        <item x="262"/>
        <item x="163"/>
        <item x="176"/>
        <item x="275"/>
        <item x="81"/>
        <item x="251"/>
        <item x="239"/>
        <item x="204"/>
        <item x="288"/>
        <item x="383"/>
        <item x="175"/>
        <item x="238"/>
        <item x="131"/>
        <item x="392"/>
        <item x="22"/>
        <item x="3"/>
        <item x="203"/>
        <item x="162"/>
        <item x="272"/>
        <item x="147"/>
        <item x="420"/>
        <item x="316"/>
        <item x="323"/>
        <item x="120"/>
        <item x="130"/>
        <item x="376"/>
        <item x="21"/>
        <item x="161"/>
        <item x="191"/>
        <item x="295"/>
        <item x="308"/>
        <item x="431"/>
        <item x="278"/>
        <item x="357"/>
        <item x="348"/>
        <item x="330"/>
        <item x="419"/>
        <item x="408"/>
        <item x="146"/>
        <item x="56"/>
        <item x="404"/>
        <item x="430"/>
        <item x="329"/>
        <item x="261"/>
        <item x="225"/>
        <item x="294"/>
        <item x="145"/>
        <item x="382"/>
        <item x="174"/>
        <item x="328"/>
        <item x="2"/>
        <item x="190"/>
        <item x="287"/>
        <item x="80"/>
        <item x="293"/>
        <item x="375"/>
        <item x="391"/>
        <item x="347"/>
        <item x="322"/>
        <item x="68"/>
        <item x="38"/>
        <item x="390"/>
        <item x="119"/>
        <item x="202"/>
        <item x="224"/>
        <item x="129"/>
        <item x="189"/>
        <item x="160"/>
        <item x="429"/>
        <item x="96"/>
        <item x="260"/>
        <item x="337"/>
        <item x="370"/>
        <item x="327"/>
        <item x="110"/>
        <item x="237"/>
        <item x="201"/>
        <item x="214"/>
        <item x="389"/>
        <item x="356"/>
        <item x="346"/>
        <item x="200"/>
        <item x="336"/>
        <item x="95"/>
        <item x="374"/>
        <item x="236"/>
        <item x="109"/>
        <item x="345"/>
        <item x="367"/>
        <item x="277"/>
        <item x="55"/>
        <item x="223"/>
        <item x="20"/>
        <item x="363"/>
        <item x="67"/>
        <item x="250"/>
        <item x="397"/>
        <item x="292"/>
        <item x="428"/>
        <item x="173"/>
        <item x="418"/>
        <item x="66"/>
        <item x="213"/>
        <item x="249"/>
        <item x="54"/>
        <item x="321"/>
        <item x="199"/>
        <item x="94"/>
        <item x="1"/>
        <item x="235"/>
        <item x="19"/>
        <item x="118"/>
        <item x="286"/>
        <item x="159"/>
        <item x="0"/>
        <item x="301"/>
        <item x="396"/>
        <item x="248"/>
        <item x="407"/>
        <item x="307"/>
        <item x="93"/>
        <item x="128"/>
        <item x="144"/>
        <item x="403"/>
        <item x="366"/>
        <item x="344"/>
        <item x="53"/>
        <item x="37"/>
        <item x="108"/>
        <item x="188"/>
        <item x="417"/>
        <item x="65"/>
        <item x="315"/>
        <item x="127"/>
        <item x="212"/>
        <item x="395"/>
        <item x="79"/>
        <item x="158"/>
        <item x="314"/>
        <item x="285"/>
        <item x="276"/>
        <item x="36"/>
        <item x="313"/>
        <item x="172"/>
        <item x="259"/>
        <item x="362"/>
        <item x="107"/>
        <item x="343"/>
        <item x="271"/>
        <item x="117"/>
        <item x="416"/>
        <item x="247"/>
        <item x="320"/>
        <item x="335"/>
        <item x="402"/>
        <item x="427"/>
        <item x="326"/>
        <item x="355"/>
        <item x="401"/>
        <item x="222"/>
        <item x="369"/>
        <item x="354"/>
        <item x="381"/>
        <item x="368"/>
        <item x="361"/>
        <item x="388"/>
        <item x="365"/>
        <item x="406"/>
        <item x="274"/>
        <item x="270"/>
        <item x="269"/>
        <item x="273"/>
      </items>
    </pivotField>
    <pivotField dataField="1" showAll="0" defaultSubtotal="0">
      <items count="133">
        <item x="57"/>
        <item x="88"/>
        <item x="89"/>
        <item x="71"/>
        <item x="37"/>
        <item x="66"/>
        <item x="65"/>
        <item x="62"/>
        <item x="80"/>
        <item x="67"/>
        <item x="64"/>
        <item x="55"/>
        <item x="72"/>
        <item x="52"/>
        <item x="15"/>
        <item x="56"/>
        <item x="50"/>
        <item x="44"/>
        <item x="95"/>
        <item x="73"/>
        <item x="54"/>
        <item x="78"/>
        <item x="39"/>
        <item x="98"/>
        <item x="35"/>
        <item x="63"/>
        <item x="115"/>
        <item x="84"/>
        <item x="87"/>
        <item x="77"/>
        <item x="79"/>
        <item x="48"/>
        <item x="51"/>
        <item x="86"/>
        <item x="114"/>
        <item x="110"/>
        <item x="101"/>
        <item x="53"/>
        <item x="60"/>
        <item x="83"/>
        <item x="125"/>
        <item x="47"/>
        <item x="112"/>
        <item x="117"/>
        <item x="70"/>
        <item x="97"/>
        <item x="61"/>
        <item x="36"/>
        <item x="103"/>
        <item x="38"/>
        <item x="96"/>
        <item x="129"/>
        <item x="69"/>
        <item x="94"/>
        <item x="128"/>
        <item x="109"/>
        <item x="111"/>
        <item x="121"/>
        <item x="68"/>
        <item x="124"/>
        <item x="59"/>
        <item x="49"/>
        <item x="85"/>
        <item x="76"/>
        <item x="30"/>
        <item x="46"/>
        <item x="58"/>
        <item x="123"/>
        <item x="130"/>
        <item x="126"/>
        <item x="113"/>
        <item x="24"/>
        <item x="108"/>
        <item x="82"/>
        <item x="132"/>
        <item x="45"/>
        <item x="92"/>
        <item x="100"/>
        <item x="116"/>
        <item x="43"/>
        <item x="106"/>
        <item x="34"/>
        <item x="102"/>
        <item x="107"/>
        <item x="122"/>
        <item x="131"/>
        <item x="93"/>
        <item x="99"/>
        <item x="120"/>
        <item x="42"/>
        <item x="32"/>
        <item x="81"/>
        <item x="33"/>
        <item x="28"/>
        <item x="119"/>
        <item x="19"/>
        <item x="75"/>
        <item x="74"/>
        <item x="127"/>
        <item x="91"/>
        <item x="105"/>
        <item x="17"/>
        <item x="90"/>
        <item x="31"/>
        <item x="118"/>
        <item x="41"/>
        <item x="104"/>
        <item x="40"/>
        <item x="16"/>
        <item x="10"/>
        <item x="29"/>
        <item x="22"/>
        <item x="25"/>
        <item x="27"/>
        <item x="4"/>
        <item x="12"/>
        <item x="23"/>
        <item x="18"/>
        <item x="13"/>
        <item x="26"/>
        <item x="9"/>
        <item x="5"/>
        <item x="14"/>
        <item x="11"/>
        <item x="8"/>
        <item x="6"/>
        <item x="21"/>
        <item x="7"/>
        <item x="20"/>
        <item x="2"/>
        <item x="3"/>
        <item x="1"/>
        <item x="0"/>
      </items>
    </pivotField>
    <pivotField dataField="1" showAll="0" defaultSubtotal="0">
      <items count="458">
        <item x="57"/>
        <item x="15"/>
        <item x="279"/>
        <item x="196"/>
        <item x="154"/>
        <item x="180"/>
        <item x="224"/>
        <item x="265"/>
        <item x="255"/>
        <item x="38"/>
        <item x="153"/>
        <item x="35"/>
        <item x="396"/>
        <item x="350"/>
        <item x="380"/>
        <item x="139"/>
        <item x="448"/>
        <item x="101"/>
        <item x="322"/>
        <item x="413"/>
        <item x="456"/>
        <item x="361"/>
        <item x="266"/>
        <item x="117"/>
        <item x="97"/>
        <item x="401"/>
        <item x="19"/>
        <item x="229"/>
        <item x="36"/>
        <item x="37"/>
        <item x="280"/>
        <item x="394"/>
        <item x="169"/>
        <item x="55"/>
        <item x="348"/>
        <item x="76"/>
        <item x="211"/>
        <item x="433"/>
        <item x="192"/>
        <item x="124"/>
        <item x="296"/>
        <item x="166"/>
        <item x="52"/>
        <item x="198"/>
        <item x="17"/>
        <item x="449"/>
        <item x="30"/>
        <item x="99"/>
        <item x="323"/>
        <item x="222"/>
        <item x="56"/>
        <item x="278"/>
        <item x="83"/>
        <item x="454"/>
        <item x="116"/>
        <item x="310"/>
        <item x="50"/>
        <item x="69"/>
        <item x="24"/>
        <item x="179"/>
        <item x="122"/>
        <item x="43"/>
        <item x="168"/>
        <item x="111"/>
        <item x="94"/>
        <item x="209"/>
        <item x="16"/>
        <item x="403"/>
        <item x="305"/>
        <item x="379"/>
        <item x="197"/>
        <item x="370"/>
        <item x="234"/>
        <item x="136"/>
        <item x="114"/>
        <item x="100"/>
        <item x="178"/>
        <item x="68"/>
        <item x="34"/>
        <item x="54"/>
        <item x="10"/>
        <item x="277"/>
        <item x="212"/>
        <item x="263"/>
        <item x="96"/>
        <item x="127"/>
        <item x="330"/>
        <item x="165"/>
        <item x="245"/>
        <item x="191"/>
        <item x="146"/>
        <item x="349"/>
        <item x="409"/>
        <item x="62"/>
        <item x="244"/>
        <item x="80"/>
        <item x="150"/>
        <item x="210"/>
        <item x="311"/>
        <item x="4"/>
        <item x="110"/>
        <item x="98"/>
        <item x="12"/>
        <item x="360"/>
        <item x="231"/>
        <item x="126"/>
        <item x="254"/>
        <item x="152"/>
        <item x="189"/>
        <item x="18"/>
        <item x="32"/>
        <item x="221"/>
        <item x="82"/>
        <item x="274"/>
        <item x="193"/>
        <item x="33"/>
        <item x="256"/>
        <item x="13"/>
        <item x="149"/>
        <item x="316"/>
        <item x="297"/>
        <item x="275"/>
        <item x="241"/>
        <item x="70"/>
        <item x="115"/>
        <item x="88"/>
        <item x="28"/>
        <item x="410"/>
        <item x="184"/>
        <item x="421"/>
        <item x="47"/>
        <item x="457"/>
        <item x="235"/>
        <item x="138"/>
        <item x="329"/>
        <item x="51"/>
        <item x="206"/>
        <item x="223"/>
        <item x="66"/>
        <item x="112"/>
        <item x="357"/>
        <item x="144"/>
        <item x="262"/>
        <item x="378"/>
        <item x="129"/>
        <item x="387"/>
        <item x="252"/>
        <item x="338"/>
        <item x="81"/>
        <item x="417"/>
        <item x="293"/>
        <item x="208"/>
        <item x="319"/>
        <item x="190"/>
        <item x="402"/>
        <item x="167"/>
        <item x="106"/>
        <item x="375"/>
        <item x="92"/>
        <item x="53"/>
        <item x="9"/>
        <item x="367"/>
        <item x="128"/>
        <item x="5"/>
        <item x="195"/>
        <item x="243"/>
        <item x="217"/>
        <item x="172"/>
        <item x="151"/>
        <item x="242"/>
        <item x="232"/>
        <item x="46"/>
        <item x="447"/>
        <item x="203"/>
        <item x="290"/>
        <item x="14"/>
        <item x="393"/>
        <item x="327"/>
        <item x="64"/>
        <item x="158"/>
        <item x="318"/>
        <item x="419"/>
        <item x="204"/>
        <item x="273"/>
        <item x="134"/>
        <item x="294"/>
        <item x="412"/>
        <item x="264"/>
        <item x="77"/>
        <item x="11"/>
        <item x="113"/>
        <item x="163"/>
        <item x="395"/>
        <item x="31"/>
        <item x="194"/>
        <item x="418"/>
        <item x="48"/>
        <item x="440"/>
        <item x="164"/>
        <item x="358"/>
        <item x="321"/>
        <item x="125"/>
        <item x="90"/>
        <item x="295"/>
        <item x="162"/>
        <item x="253"/>
        <item x="67"/>
        <item x="420"/>
        <item x="93"/>
        <item x="331"/>
        <item x="411"/>
        <item x="218"/>
        <item x="79"/>
        <item x="95"/>
        <item x="455"/>
        <item x="299"/>
        <item x="148"/>
        <item x="207"/>
        <item x="441"/>
        <item x="368"/>
        <item x="137"/>
        <item x="292"/>
        <item x="8"/>
        <item x="339"/>
        <item x="355"/>
        <item x="177"/>
        <item x="233"/>
        <item x="6"/>
        <item x="272"/>
        <item x="446"/>
        <item x="147"/>
        <item x="453"/>
        <item x="188"/>
        <item x="261"/>
        <item x="276"/>
        <item x="439"/>
        <item x="309"/>
        <item x="304"/>
        <item x="49"/>
        <item x="320"/>
        <item x="109"/>
        <item x="220"/>
        <item x="369"/>
        <item x="108"/>
        <item x="359"/>
        <item x="145"/>
        <item x="91"/>
        <item x="123"/>
        <item x="107"/>
        <item x="386"/>
        <item x="240"/>
        <item x="176"/>
        <item x="438"/>
        <item x="291"/>
        <item x="251"/>
        <item x="45"/>
        <item x="186"/>
        <item x="65"/>
        <item x="230"/>
        <item x="78"/>
        <item x="391"/>
        <item x="219"/>
        <item x="356"/>
        <item x="29"/>
        <item x="175"/>
        <item x="135"/>
        <item x="161"/>
        <item x="86"/>
        <item x="7"/>
        <item x="22"/>
        <item x="315"/>
        <item x="25"/>
        <item x="27"/>
        <item x="205"/>
        <item x="377"/>
        <item x="337"/>
        <item x="63"/>
        <item x="353"/>
        <item x="428"/>
        <item x="342"/>
        <item x="23"/>
        <item x="374"/>
        <item x="250"/>
        <item x="44"/>
        <item x="284"/>
        <item x="160"/>
        <item x="270"/>
        <item x="187"/>
        <item x="303"/>
        <item x="436"/>
        <item x="42"/>
        <item x="75"/>
        <item x="366"/>
        <item x="133"/>
        <item x="269"/>
        <item x="328"/>
        <item x="432"/>
        <item x="239"/>
        <item x="426"/>
        <item x="407"/>
        <item x="400"/>
        <item x="157"/>
        <item x="215"/>
        <item x="376"/>
        <item x="183"/>
        <item x="2"/>
        <item x="385"/>
        <item x="174"/>
        <item x="308"/>
        <item x="336"/>
        <item x="185"/>
        <item x="408"/>
        <item x="26"/>
        <item x="142"/>
        <item x="431"/>
        <item x="259"/>
        <item x="104"/>
        <item x="271"/>
        <item x="306"/>
        <item x="200"/>
        <item x="288"/>
        <item x="335"/>
        <item x="89"/>
        <item x="445"/>
        <item x="392"/>
        <item x="87"/>
        <item x="347"/>
        <item x="301"/>
        <item x="437"/>
        <item x="41"/>
        <item x="317"/>
        <item x="202"/>
        <item x="73"/>
        <item x="60"/>
        <item x="173"/>
        <item x="246"/>
        <item x="120"/>
        <item x="416"/>
        <item x="332"/>
        <item x="3"/>
        <item x="159"/>
        <item x="285"/>
        <item x="143"/>
        <item x="249"/>
        <item x="171"/>
        <item x="289"/>
        <item x="227"/>
        <item x="312"/>
        <item x="302"/>
        <item x="383"/>
        <item x="326"/>
        <item x="425"/>
        <item x="121"/>
        <item x="415"/>
        <item x="105"/>
        <item x="399"/>
        <item x="373"/>
        <item x="61"/>
        <item x="228"/>
        <item x="345"/>
        <item x="452"/>
        <item x="307"/>
        <item x="248"/>
        <item x="258"/>
        <item x="354"/>
        <item x="344"/>
        <item x="363"/>
        <item x="74"/>
        <item x="201"/>
        <item x="238"/>
        <item x="384"/>
        <item x="451"/>
        <item x="314"/>
        <item x="214"/>
        <item x="346"/>
        <item x="406"/>
        <item x="132"/>
        <item x="365"/>
        <item x="435"/>
        <item x="397"/>
        <item x="156"/>
        <item x="444"/>
        <item x="216"/>
        <item x="364"/>
        <item x="405"/>
        <item x="443"/>
        <item x="398"/>
        <item x="352"/>
        <item x="287"/>
        <item x="72"/>
        <item x="59"/>
        <item x="103"/>
        <item x="247"/>
        <item x="430"/>
        <item x="300"/>
        <item x="268"/>
        <item x="260"/>
        <item x="423"/>
        <item x="341"/>
        <item x="102"/>
        <item x="237"/>
        <item x="334"/>
        <item x="71"/>
        <item x="324"/>
        <item x="213"/>
        <item x="131"/>
        <item x="155"/>
        <item x="182"/>
        <item x="325"/>
        <item x="58"/>
        <item x="1"/>
        <item x="286"/>
        <item x="0"/>
        <item x="226"/>
        <item x="199"/>
        <item x="119"/>
        <item x="40"/>
        <item x="333"/>
        <item x="21"/>
        <item x="450"/>
        <item x="313"/>
        <item x="442"/>
        <item x="298"/>
        <item x="340"/>
        <item x="170"/>
        <item x="141"/>
        <item x="85"/>
        <item x="20"/>
        <item x="382"/>
        <item x="351"/>
        <item x="118"/>
        <item x="84"/>
        <item x="140"/>
        <item x="362"/>
        <item x="39"/>
        <item x="372"/>
        <item x="390"/>
        <item x="225"/>
        <item x="429"/>
        <item x="424"/>
        <item x="130"/>
        <item x="388"/>
        <item x="267"/>
        <item x="343"/>
        <item x="422"/>
        <item x="181"/>
        <item x="427"/>
        <item x="371"/>
        <item x="257"/>
        <item x="389"/>
        <item x="404"/>
        <item x="236"/>
        <item x="414"/>
        <item x="381"/>
        <item x="434"/>
        <item x="282"/>
        <item x="281"/>
        <item x="283"/>
      </items>
    </pivotField>
    <pivotField dataField="1" showAll="0" defaultSubtotal="0">
      <items count="100">
        <item x="62"/>
        <item x="67"/>
        <item x="52"/>
        <item x="58"/>
        <item x="59"/>
        <item x="61"/>
        <item x="55"/>
        <item x="53"/>
        <item x="66"/>
        <item x="50"/>
        <item x="44"/>
        <item x="65"/>
        <item x="47"/>
        <item x="60"/>
        <item x="72"/>
        <item x="76"/>
        <item x="75"/>
        <item x="69"/>
        <item x="46"/>
        <item x="71"/>
        <item x="95"/>
        <item x="57"/>
        <item x="64"/>
        <item x="38"/>
        <item x="63"/>
        <item x="39"/>
        <item x="54"/>
        <item x="48"/>
        <item x="56"/>
        <item x="82"/>
        <item x="51"/>
        <item x="99"/>
        <item x="81"/>
        <item x="43"/>
        <item x="98"/>
        <item x="49"/>
        <item x="87"/>
        <item x="94"/>
        <item x="85"/>
        <item x="91"/>
        <item x="74"/>
        <item x="83"/>
        <item x="86"/>
        <item x="45"/>
        <item x="93"/>
        <item x="79"/>
        <item x="41"/>
        <item x="70"/>
        <item x="80"/>
        <item x="97"/>
        <item x="92"/>
        <item x="73"/>
        <item x="90"/>
        <item x="96"/>
        <item x="68"/>
        <item x="84"/>
        <item x="25"/>
        <item x="40"/>
        <item x="77"/>
        <item x="42"/>
        <item x="88"/>
        <item x="78"/>
        <item x="28"/>
        <item x="89"/>
        <item x="14"/>
        <item x="7"/>
        <item x="18"/>
        <item x="26"/>
        <item x="37"/>
        <item x="21"/>
        <item x="30"/>
        <item x="35"/>
        <item x="32"/>
        <item x="36"/>
        <item x="31"/>
        <item x="8"/>
        <item x="33"/>
        <item x="34"/>
        <item x="20"/>
        <item x="11"/>
        <item x="16"/>
        <item x="29"/>
        <item x="17"/>
        <item x="27"/>
        <item x="19"/>
        <item x="1"/>
        <item x="13"/>
        <item x="0"/>
        <item x="23"/>
        <item x="12"/>
        <item x="6"/>
        <item x="15"/>
        <item x="24"/>
        <item x="22"/>
        <item x="3"/>
        <item x="9"/>
        <item x="10"/>
        <item x="5"/>
        <item x="2"/>
        <item x="4"/>
      </items>
    </pivotField>
    <pivotField dataField="1" showAll="0" defaultSubtotal="0">
      <items count="369">
        <item x="65"/>
        <item x="79"/>
        <item x="100"/>
        <item x="183"/>
        <item x="171"/>
        <item x="102"/>
        <item x="142"/>
        <item x="73"/>
        <item x="320"/>
        <item x="105"/>
        <item x="200"/>
        <item x="121"/>
        <item x="96"/>
        <item x="144"/>
        <item x="181"/>
        <item x="342"/>
        <item x="172"/>
        <item x="281"/>
        <item x="301"/>
        <item x="229"/>
        <item x="251"/>
        <item x="14"/>
        <item x="53"/>
        <item x="207"/>
        <item x="7"/>
        <item x="51"/>
        <item x="130"/>
        <item x="270"/>
        <item x="18"/>
        <item x="166"/>
        <item x="45"/>
        <item x="26"/>
        <item x="149"/>
        <item x="188"/>
        <item x="112"/>
        <item x="245"/>
        <item x="90"/>
        <item x="167"/>
        <item x="194"/>
        <item x="201"/>
        <item x="48"/>
        <item x="129"/>
        <item x="306"/>
        <item x="83"/>
        <item x="227"/>
        <item x="357"/>
        <item x="60"/>
        <item x="8"/>
        <item x="263"/>
        <item x="159"/>
        <item x="337"/>
        <item x="175"/>
        <item x="310"/>
        <item x="346"/>
        <item x="89"/>
        <item x="199"/>
        <item x="283"/>
        <item x="74"/>
        <item x="303"/>
        <item x="29"/>
        <item x="11"/>
        <item x="114"/>
        <item x="297"/>
        <item x="143"/>
        <item x="231"/>
        <item x="81"/>
        <item x="362"/>
        <item x="155"/>
        <item x="133"/>
        <item x="177"/>
        <item x="223"/>
        <item x="61"/>
        <item x="212"/>
        <item x="173"/>
        <item x="260"/>
        <item x="47"/>
        <item x="87"/>
        <item x="276"/>
        <item x="268"/>
        <item x="240"/>
        <item x="214"/>
        <item x="16"/>
        <item x="119"/>
        <item x="68"/>
        <item x="103"/>
        <item x="330"/>
        <item x="238"/>
        <item x="148"/>
        <item x="187"/>
        <item x="110"/>
        <item x="345"/>
        <item x="250"/>
        <item x="75"/>
        <item x="170"/>
        <item x="64"/>
        <item x="17"/>
        <item x="262"/>
        <item x="99"/>
        <item x="174"/>
        <item x="243"/>
        <item x="146"/>
        <item x="39"/>
        <item x="122"/>
        <item x="19"/>
        <item x="192"/>
        <item x="351"/>
        <item x="123"/>
        <item x="234"/>
        <item x="27"/>
        <item x="1"/>
        <item x="66"/>
        <item x="137"/>
        <item x="13"/>
        <item x="88"/>
        <item x="317"/>
        <item x="230"/>
        <item x="359"/>
        <item x="40"/>
        <item x="104"/>
        <item x="56"/>
        <item x="189"/>
        <item x="208"/>
        <item x="255"/>
        <item x="151"/>
        <item x="135"/>
        <item x="38"/>
        <item x="272"/>
        <item x="184"/>
        <item x="221"/>
        <item x="315"/>
        <item x="49"/>
        <item x="21"/>
        <item x="31"/>
        <item x="36"/>
        <item x="33"/>
        <item x="0"/>
        <item x="37"/>
        <item x="131"/>
        <item x="289"/>
        <item x="147"/>
        <item x="32"/>
        <item x="134"/>
        <item x="12"/>
        <item x="158"/>
        <item x="161"/>
        <item x="54"/>
        <item x="77"/>
        <item x="25"/>
        <item x="52"/>
        <item x="185"/>
        <item x="6"/>
        <item x="34"/>
        <item x="95"/>
        <item x="298"/>
        <item x="145"/>
        <item x="213"/>
        <item x="195"/>
        <item x="205"/>
        <item x="116"/>
        <item x="165"/>
        <item x="15"/>
        <item x="132"/>
        <item x="101"/>
        <item x="153"/>
        <item x="44"/>
        <item x="80"/>
        <item x="160"/>
        <item x="248"/>
        <item x="35"/>
        <item x="69"/>
        <item x="196"/>
        <item x="209"/>
        <item x="321"/>
        <item x="264"/>
        <item x="94"/>
        <item x="50"/>
        <item x="20"/>
        <item x="249"/>
        <item x="140"/>
        <item x="169"/>
        <item x="265"/>
        <item x="305"/>
        <item x="217"/>
        <item x="186"/>
        <item x="304"/>
        <item x="198"/>
        <item x="211"/>
        <item x="327"/>
        <item x="228"/>
        <item x="136"/>
        <item x="3"/>
        <item x="117"/>
        <item x="86"/>
        <item x="72"/>
        <item x="239"/>
        <item x="258"/>
        <item x="333"/>
        <item x="323"/>
        <item x="154"/>
        <item x="197"/>
        <item x="339"/>
        <item x="178"/>
        <item x="82"/>
        <item x="109"/>
        <item x="215"/>
        <item x="125"/>
        <item x="247"/>
        <item x="9"/>
        <item x="141"/>
        <item x="58"/>
        <item x="203"/>
        <item x="168"/>
        <item x="288"/>
        <item x="259"/>
        <item x="46"/>
        <item x="282"/>
        <item x="222"/>
        <item x="277"/>
        <item x="115"/>
        <item x="366"/>
        <item x="269"/>
        <item x="164"/>
        <item x="246"/>
        <item x="10"/>
        <item x="84"/>
        <item x="294"/>
        <item x="350"/>
        <item x="291"/>
        <item x="242"/>
        <item x="127"/>
        <item x="237"/>
        <item x="42"/>
        <item x="97"/>
        <item x="343"/>
        <item x="219"/>
        <item x="30"/>
        <item x="157"/>
        <item x="225"/>
        <item x="128"/>
        <item x="358"/>
        <item x="28"/>
        <item x="85"/>
        <item x="63"/>
        <item x="156"/>
        <item x="5"/>
        <item x="274"/>
        <item x="71"/>
        <item x="180"/>
        <item x="190"/>
        <item x="322"/>
        <item x="62"/>
        <item x="113"/>
        <item x="261"/>
        <item x="98"/>
        <item x="182"/>
        <item x="210"/>
        <item x="287"/>
        <item x="348"/>
        <item x="279"/>
        <item x="299"/>
        <item x="365"/>
        <item x="336"/>
        <item x="111"/>
        <item x="275"/>
        <item x="218"/>
        <item x="206"/>
        <item x="355"/>
        <item x="92"/>
        <item x="220"/>
        <item x="120"/>
        <item x="316"/>
        <item x="364"/>
        <item x="300"/>
        <item x="23"/>
        <item x="314"/>
        <item x="332"/>
        <item x="325"/>
        <item x="309"/>
        <item x="329"/>
        <item x="236"/>
        <item x="367"/>
        <item x="24"/>
        <item x="354"/>
        <item x="107"/>
        <item x="293"/>
        <item x="363"/>
        <item x="353"/>
        <item x="22"/>
        <item x="267"/>
        <item x="244"/>
        <item x="202"/>
        <item x="162"/>
        <item x="41"/>
        <item x="241"/>
        <item x="216"/>
        <item x="78"/>
        <item x="2"/>
        <item x="331"/>
        <item x="59"/>
        <item x="93"/>
        <item x="138"/>
        <item x="4"/>
        <item x="334"/>
        <item x="318"/>
        <item x="257"/>
        <item x="176"/>
        <item x="124"/>
        <item x="43"/>
        <item x="280"/>
        <item x="349"/>
        <item x="368"/>
        <item x="106"/>
        <item x="338"/>
        <item x="232"/>
        <item x="70"/>
        <item x="163"/>
        <item x="311"/>
        <item x="308"/>
        <item x="341"/>
        <item x="179"/>
        <item x="108"/>
        <item x="126"/>
        <item x="356"/>
        <item x="76"/>
        <item x="204"/>
        <item x="286"/>
        <item x="55"/>
        <item x="67"/>
        <item x="256"/>
        <item x="312"/>
        <item x="295"/>
        <item x="235"/>
        <item x="191"/>
        <item x="57"/>
        <item x="91"/>
        <item x="292"/>
        <item x="193"/>
        <item x="284"/>
        <item x="226"/>
        <item x="278"/>
        <item x="150"/>
        <item x="319"/>
        <item x="118"/>
        <item x="224"/>
        <item x="233"/>
        <item x="302"/>
        <item x="326"/>
        <item x="361"/>
        <item x="152"/>
        <item x="335"/>
        <item x="139"/>
        <item x="328"/>
        <item x="271"/>
        <item x="253"/>
        <item x="285"/>
        <item x="296"/>
        <item x="307"/>
        <item x="340"/>
        <item x="313"/>
        <item x="360"/>
        <item x="344"/>
        <item x="273"/>
        <item x="290"/>
        <item x="266"/>
        <item x="347"/>
        <item x="252"/>
        <item x="352"/>
        <item x="324"/>
        <item x="254"/>
      </items>
    </pivotField>
    <pivotField dataField="1" showAll="0" defaultSubtotal="0">
      <items count="14">
        <item x="4"/>
        <item x="8"/>
        <item x="0"/>
        <item x="10"/>
        <item x="13"/>
        <item x="1"/>
        <item x="7"/>
        <item x="11"/>
        <item x="6"/>
        <item x="12"/>
        <item x="9"/>
        <item x="5"/>
        <item x="3"/>
        <item x="2"/>
      </items>
    </pivotField>
  </pivotFields>
  <rowFields count="3">
    <field x="2"/>
    <field x="6"/>
    <field x="5"/>
  </rowFields>
  <rowItems count="999">
    <i>
      <x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1"/>
    </i>
    <i r="1">
      <x v="5"/>
      <x v="35"/>
    </i>
    <i r="1">
      <x v="6"/>
      <x v="30"/>
    </i>
    <i r="1">
      <x v="7"/>
      <x v="47"/>
    </i>
    <i r="1">
      <x v="8"/>
      <x v="46"/>
    </i>
    <i r="1">
      <x v="9"/>
      <x v="2"/>
    </i>
    <i r="1">
      <x v="10"/>
      <x v="3"/>
    </i>
    <i r="1">
      <x v="11"/>
      <x v="38"/>
    </i>
    <i r="1">
      <x v="12"/>
      <x v="39"/>
    </i>
    <i r="1">
      <x v="13"/>
      <x v="28"/>
    </i>
    <i r="1">
      <x v="14"/>
      <x v="50"/>
    </i>
    <i r="1">
      <x v="15"/>
      <x v="48"/>
    </i>
    <i r="1">
      <x v="16"/>
      <x v="4"/>
    </i>
    <i r="1">
      <x v="17"/>
      <x v="34"/>
    </i>
    <i r="1">
      <x v="18"/>
      <x v="40"/>
    </i>
    <i r="1">
      <x v="19"/>
      <x v="24"/>
    </i>
    <i t="blank">
      <x/>
    </i>
    <i>
      <x v="1"/>
    </i>
    <i r="1">
      <x/>
      <x v="41"/>
    </i>
    <i r="1">
      <x v="1"/>
      <x v="43"/>
    </i>
    <i r="1">
      <x v="2"/>
      <x v="35"/>
    </i>
    <i r="1">
      <x v="3"/>
      <x v="31"/>
    </i>
    <i r="1">
      <x v="4"/>
      <x v="1"/>
    </i>
    <i r="1">
      <x v="5"/>
      <x v="29"/>
    </i>
    <i r="1">
      <x v="6"/>
      <x v="47"/>
    </i>
    <i r="1">
      <x v="7"/>
      <x v="38"/>
    </i>
    <i r="1">
      <x v="8"/>
      <x v="2"/>
    </i>
    <i r="1">
      <x v="9"/>
      <x v="46"/>
    </i>
    <i r="1">
      <x v="10"/>
      <x v="3"/>
    </i>
    <i r="1">
      <x v="11"/>
      <x v="30"/>
    </i>
    <i r="1">
      <x v="12"/>
      <x v="39"/>
    </i>
    <i r="1">
      <x v="13"/>
      <x v="28"/>
    </i>
    <i r="1">
      <x v="14"/>
      <x v="34"/>
    </i>
    <i r="1">
      <x v="15"/>
      <x v="26"/>
    </i>
    <i r="1">
      <x v="16"/>
      <x v="27"/>
    </i>
    <i r="1">
      <x v="17"/>
      <x v="48"/>
    </i>
    <i r="1">
      <x v="18"/>
      <x v="24"/>
    </i>
    <i r="1">
      <x v="19"/>
      <x v="25"/>
    </i>
    <i t="blank">
      <x v="1"/>
    </i>
    <i>
      <x v="2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1"/>
    </i>
    <i r="1">
      <x v="5"/>
      <x v="30"/>
    </i>
    <i r="1">
      <x v="6"/>
      <x v="47"/>
    </i>
    <i r="1">
      <x v="7"/>
      <x v="39"/>
    </i>
    <i r="1">
      <x v="8"/>
      <x v="2"/>
    </i>
    <i r="2">
      <x v="46"/>
    </i>
    <i r="2">
      <x v="50"/>
    </i>
    <i r="1">
      <x v="11"/>
      <x v="3"/>
    </i>
    <i r="1">
      <x v="12"/>
      <x v="44"/>
    </i>
    <i r="1">
      <x v="13"/>
      <x v="28"/>
    </i>
    <i r="1">
      <x v="14"/>
      <x v="35"/>
    </i>
    <i r="1">
      <x v="15"/>
      <x v="38"/>
    </i>
    <i r="1">
      <x v="16"/>
      <x v="4"/>
    </i>
    <i r="1">
      <x v="17"/>
      <x v="25"/>
    </i>
    <i r="1">
      <x v="18"/>
      <x v="5"/>
    </i>
    <i r="2">
      <x v="48"/>
    </i>
    <i t="blank">
      <x v="2"/>
    </i>
    <i>
      <x v="3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5"/>
    </i>
    <i r="1">
      <x v="5"/>
      <x v="30"/>
    </i>
    <i r="1">
      <x v="6"/>
      <x v="4"/>
    </i>
    <i r="1">
      <x v="7"/>
      <x v="47"/>
    </i>
    <i r="1">
      <x v="8"/>
      <x v="46"/>
    </i>
    <i r="1">
      <x v="9"/>
      <x v="50"/>
    </i>
    <i r="1">
      <x v="10"/>
      <x v="1"/>
    </i>
    <i r="1">
      <x v="11"/>
      <x v="2"/>
    </i>
    <i r="2">
      <x v="28"/>
    </i>
    <i r="1">
      <x v="13"/>
      <x v="15"/>
    </i>
    <i r="2">
      <x v="48"/>
    </i>
    <i r="1">
      <x v="15"/>
      <x v="3"/>
    </i>
    <i r="2">
      <x v="25"/>
    </i>
    <i r="2">
      <x v="39"/>
    </i>
    <i r="1">
      <x v="18"/>
      <x v="24"/>
    </i>
    <i r="2">
      <x v="38"/>
    </i>
    <i r="2">
      <x v="44"/>
    </i>
    <i t="blank">
      <x v="3"/>
    </i>
    <i>
      <x v="4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30"/>
    </i>
    <i r="1">
      <x v="5"/>
      <x v="1"/>
    </i>
    <i r="1">
      <x v="6"/>
      <x v="24"/>
    </i>
    <i r="1">
      <x v="7"/>
      <x v="47"/>
    </i>
    <i r="1">
      <x v="8"/>
      <x v="2"/>
    </i>
    <i r="1">
      <x v="9"/>
      <x v="38"/>
    </i>
    <i r="1">
      <x v="10"/>
      <x v="3"/>
    </i>
    <i r="2">
      <x v="35"/>
    </i>
    <i r="1">
      <x v="12"/>
      <x v="39"/>
    </i>
    <i r="2">
      <x v="46"/>
    </i>
    <i r="2">
      <x v="50"/>
    </i>
    <i r="1">
      <x v="15"/>
      <x v="4"/>
    </i>
    <i r="1">
      <x v="16"/>
      <x v="34"/>
    </i>
    <i r="2">
      <x v="42"/>
    </i>
    <i r="1">
      <x v="18"/>
      <x v="45"/>
    </i>
    <i r="1">
      <x v="19"/>
      <x v="28"/>
    </i>
    <i t="blank">
      <x v="4"/>
    </i>
    <i>
      <x v="5"/>
    </i>
    <i r="1">
      <x/>
      <x v="43"/>
    </i>
    <i r="1">
      <x v="1"/>
      <x v="41"/>
    </i>
    <i r="1">
      <x v="2"/>
      <x v="31"/>
    </i>
    <i r="1">
      <x v="3"/>
      <x v="29"/>
    </i>
    <i r="1">
      <x v="4"/>
      <x v="1"/>
    </i>
    <i r="2">
      <x v="47"/>
    </i>
    <i r="1">
      <x v="6"/>
      <x v="30"/>
    </i>
    <i r="2">
      <x v="46"/>
    </i>
    <i r="1">
      <x v="8"/>
      <x v="2"/>
    </i>
    <i r="1">
      <x v="9"/>
      <x v="38"/>
    </i>
    <i r="1">
      <x v="10"/>
      <x v="35"/>
    </i>
    <i r="1">
      <x v="11"/>
      <x v="50"/>
    </i>
    <i r="1">
      <x v="12"/>
      <x v="28"/>
    </i>
    <i r="2">
      <x v="48"/>
    </i>
    <i r="1">
      <x v="14"/>
      <x v="3"/>
    </i>
    <i r="1">
      <x v="15"/>
      <x v="39"/>
    </i>
    <i r="1">
      <x v="16"/>
      <x v="4"/>
    </i>
    <i r="1">
      <x v="17"/>
      <x v="27"/>
    </i>
    <i r="2">
      <x v="34"/>
    </i>
    <i r="1">
      <x v="19"/>
      <x v="25"/>
    </i>
    <i t="blank">
      <x v="5"/>
    </i>
    <i>
      <x v="6"/>
    </i>
    <i r="1">
      <x/>
      <x v="43"/>
    </i>
    <i r="1">
      <x v="1"/>
      <x v="41"/>
    </i>
    <i r="1">
      <x v="2"/>
      <x v="31"/>
    </i>
    <i r="1">
      <x v="3"/>
      <x v="29"/>
    </i>
    <i r="1">
      <x v="4"/>
      <x v="1"/>
    </i>
    <i r="1">
      <x v="5"/>
      <x v="2"/>
    </i>
    <i r="1">
      <x v="6"/>
      <x v="30"/>
    </i>
    <i r="1">
      <x v="7"/>
      <x v="46"/>
    </i>
    <i r="1">
      <x v="8"/>
      <x v="47"/>
    </i>
    <i r="1">
      <x v="9"/>
      <x v="3"/>
    </i>
    <i r="2">
      <x v="4"/>
    </i>
    <i r="1">
      <x v="11"/>
      <x v="40"/>
    </i>
    <i r="1">
      <x v="12"/>
      <x v="39"/>
    </i>
    <i r="2">
      <x v="50"/>
    </i>
    <i r="1">
      <x v="14"/>
      <x v="24"/>
    </i>
    <i r="1">
      <x v="15"/>
      <x v="28"/>
    </i>
    <i r="1">
      <x v="16"/>
      <x v="35"/>
    </i>
    <i r="1">
      <x v="17"/>
      <x v="38"/>
    </i>
    <i r="1">
      <x v="18"/>
      <x v="53"/>
    </i>
    <i r="1">
      <x v="19"/>
      <x v="45"/>
    </i>
    <i t="blank">
      <x v="6"/>
    </i>
    <i>
      <x v="7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1"/>
    </i>
    <i r="1">
      <x v="5"/>
      <x v="30"/>
    </i>
    <i r="1">
      <x v="6"/>
      <x v="40"/>
    </i>
    <i r="1">
      <x v="7"/>
      <x v="4"/>
    </i>
    <i r="1">
      <x v="8"/>
      <x v="39"/>
    </i>
    <i r="1">
      <x v="9"/>
      <x v="47"/>
    </i>
    <i r="1">
      <x v="10"/>
      <x v="3"/>
    </i>
    <i r="2">
      <x v="35"/>
    </i>
    <i r="2">
      <x v="48"/>
    </i>
    <i r="1">
      <x v="13"/>
      <x v="2"/>
    </i>
    <i r="2">
      <x v="50"/>
    </i>
    <i r="1">
      <x v="15"/>
      <x v="38"/>
    </i>
    <i r="2">
      <x v="46"/>
    </i>
    <i r="1">
      <x v="17"/>
      <x v="24"/>
    </i>
    <i r="1">
      <x v="18"/>
      <x v="5"/>
    </i>
    <i r="2">
      <x v="25"/>
    </i>
    <i t="blank">
      <x v="7"/>
    </i>
    <i>
      <x v="8"/>
    </i>
    <i r="1">
      <x/>
      <x v="29"/>
    </i>
    <i r="1">
      <x v="1"/>
      <x v="43"/>
    </i>
    <i r="1">
      <x v="2"/>
      <x v="41"/>
    </i>
    <i r="1">
      <x v="3"/>
      <x v="31"/>
    </i>
    <i r="1">
      <x v="4"/>
      <x v="1"/>
    </i>
    <i r="1">
      <x v="5"/>
      <x v="46"/>
    </i>
    <i r="1">
      <x v="6"/>
      <x v="47"/>
    </i>
    <i r="1">
      <x v="7"/>
      <x v="24"/>
    </i>
    <i r="1">
      <x v="8"/>
      <x v="30"/>
    </i>
    <i r="1">
      <x v="9"/>
      <x v="4"/>
    </i>
    <i r="1">
      <x v="10"/>
      <x v="5"/>
    </i>
    <i r="1">
      <x v="11"/>
      <x v="3"/>
    </i>
    <i r="1">
      <x v="12"/>
      <x v="2"/>
    </i>
    <i r="2">
      <x v="40"/>
    </i>
    <i r="2">
      <x v="50"/>
    </i>
    <i r="1">
      <x v="15"/>
      <x v="11"/>
    </i>
    <i r="2">
      <x v="27"/>
    </i>
    <i r="2">
      <x v="28"/>
    </i>
    <i r="2">
      <x v="33"/>
    </i>
    <i r="2">
      <x v="48"/>
    </i>
    <i t="blank">
      <x v="8"/>
    </i>
    <i>
      <x v="9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1"/>
    </i>
    <i r="1">
      <x v="5"/>
      <x v="30"/>
    </i>
    <i r="1">
      <x v="6"/>
      <x v="2"/>
    </i>
    <i r="1">
      <x v="7"/>
      <x v="3"/>
    </i>
    <i r="1">
      <x v="8"/>
      <x v="47"/>
    </i>
    <i r="1">
      <x v="9"/>
      <x v="46"/>
    </i>
    <i r="1">
      <x v="10"/>
      <x v="28"/>
    </i>
    <i r="2">
      <x v="35"/>
    </i>
    <i r="2">
      <x v="40"/>
    </i>
    <i r="1">
      <x v="13"/>
      <x v="50"/>
    </i>
    <i r="1">
      <x v="14"/>
      <x v="38"/>
    </i>
    <i r="2">
      <x v="39"/>
    </i>
    <i r="1">
      <x v="16"/>
      <x v="25"/>
    </i>
    <i r="1">
      <x v="17"/>
      <x v="48"/>
    </i>
    <i r="1">
      <x v="18"/>
      <x v="44"/>
    </i>
    <i r="1">
      <x v="19"/>
      <x v="27"/>
    </i>
    <i t="blank">
      <x v="9"/>
    </i>
    <i>
      <x v="10"/>
    </i>
    <i r="1">
      <x/>
      <x v="43"/>
    </i>
    <i r="1">
      <x v="1"/>
      <x v="41"/>
    </i>
    <i r="1">
      <x v="2"/>
      <x v="31"/>
    </i>
    <i r="1">
      <x v="3"/>
      <x v="1"/>
    </i>
    <i r="1">
      <x v="4"/>
      <x v="29"/>
    </i>
    <i r="1">
      <x v="5"/>
      <x v="46"/>
    </i>
    <i r="1">
      <x v="6"/>
      <x v="30"/>
    </i>
    <i r="1">
      <x v="7"/>
      <x v="2"/>
    </i>
    <i r="1">
      <x v="8"/>
      <x v="47"/>
    </i>
    <i r="1">
      <x v="9"/>
      <x v="3"/>
    </i>
    <i r="1">
      <x v="10"/>
      <x v="38"/>
    </i>
    <i r="1">
      <x v="11"/>
      <x v="28"/>
    </i>
    <i r="1">
      <x v="12"/>
      <x v="35"/>
    </i>
    <i r="2">
      <x v="50"/>
    </i>
    <i r="1">
      <x v="14"/>
      <x v="39"/>
    </i>
    <i r="1">
      <x v="15"/>
      <x v="44"/>
    </i>
    <i r="1">
      <x v="16"/>
      <x v="4"/>
    </i>
    <i r="1">
      <x v="17"/>
      <x v="48"/>
    </i>
    <i r="1">
      <x v="18"/>
      <x v="10"/>
    </i>
    <i r="1">
      <x v="19"/>
      <x v="5"/>
    </i>
    <i t="blank">
      <x v="10"/>
    </i>
    <i>
      <x v="11"/>
    </i>
    <i r="1">
      <x/>
      <x v="43"/>
    </i>
    <i r="1">
      <x v="1"/>
      <x v="31"/>
    </i>
    <i r="1">
      <x v="2"/>
      <x v="41"/>
    </i>
    <i r="1">
      <x v="3"/>
      <x v="1"/>
    </i>
    <i r="1">
      <x v="4"/>
      <x v="29"/>
    </i>
    <i r="1">
      <x v="5"/>
      <x v="30"/>
    </i>
    <i r="1">
      <x v="6"/>
      <x v="5"/>
    </i>
    <i r="1">
      <x v="7"/>
      <x v="2"/>
    </i>
    <i r="1">
      <x v="8"/>
      <x v="50"/>
    </i>
    <i r="1">
      <x v="9"/>
      <x v="3"/>
    </i>
    <i r="1">
      <x v="10"/>
      <x v="47"/>
    </i>
    <i r="1">
      <x v="11"/>
      <x v="39"/>
    </i>
    <i r="1">
      <x v="12"/>
      <x v="46"/>
    </i>
    <i r="1">
      <x v="13"/>
      <x v="38"/>
    </i>
    <i r="1">
      <x v="14"/>
      <x v="48"/>
    </i>
    <i r="1">
      <x v="15"/>
      <x v="44"/>
    </i>
    <i r="1">
      <x v="16"/>
      <x v="15"/>
    </i>
    <i r="2">
      <x v="28"/>
    </i>
    <i r="1">
      <x v="18"/>
      <x v="4"/>
    </i>
    <i r="2">
      <x v="25"/>
    </i>
    <i t="blank">
      <x v="11"/>
    </i>
    <i>
      <x v="12"/>
    </i>
    <i r="1">
      <x/>
      <x v="43"/>
    </i>
    <i r="1">
      <x v="1"/>
      <x v="41"/>
    </i>
    <i r="1">
      <x v="2"/>
      <x v="31"/>
    </i>
    <i r="1">
      <x v="3"/>
      <x v="1"/>
    </i>
    <i r="1">
      <x v="4"/>
      <x v="29"/>
    </i>
    <i r="1">
      <x v="5"/>
      <x v="30"/>
    </i>
    <i r="1">
      <x v="6"/>
      <x v="47"/>
    </i>
    <i r="1">
      <x v="7"/>
      <x v="46"/>
    </i>
    <i r="1">
      <x v="8"/>
      <x v="3"/>
    </i>
    <i r="1">
      <x v="9"/>
      <x v="2"/>
    </i>
    <i r="1">
      <x v="10"/>
      <x v="35"/>
    </i>
    <i r="1">
      <x v="11"/>
      <x v="39"/>
    </i>
    <i r="1">
      <x v="12"/>
      <x v="34"/>
    </i>
    <i r="1">
      <x v="13"/>
      <x v="28"/>
    </i>
    <i r="1">
      <x v="14"/>
      <x v="50"/>
    </i>
    <i r="1">
      <x v="15"/>
      <x v="38"/>
    </i>
    <i r="1">
      <x v="16"/>
      <x v="25"/>
    </i>
    <i r="1">
      <x v="17"/>
      <x v="4"/>
    </i>
    <i r="2">
      <x v="26"/>
    </i>
    <i r="2">
      <x v="40"/>
    </i>
    <i t="blank">
      <x v="12"/>
    </i>
    <i>
      <x v="13"/>
    </i>
    <i r="1">
      <x/>
      <x v="43"/>
    </i>
    <i r="1">
      <x v="1"/>
      <x v="31"/>
    </i>
    <i r="1">
      <x v="2"/>
      <x v="41"/>
    </i>
    <i r="1">
      <x v="3"/>
      <x v="29"/>
    </i>
    <i r="1">
      <x v="4"/>
      <x v="1"/>
    </i>
    <i r="1">
      <x v="5"/>
      <x v="30"/>
    </i>
    <i r="1">
      <x v="6"/>
      <x v="2"/>
    </i>
    <i r="1">
      <x v="7"/>
      <x v="47"/>
    </i>
    <i r="1">
      <x v="8"/>
      <x v="3"/>
    </i>
    <i r="1">
      <x v="9"/>
      <x v="46"/>
    </i>
    <i r="1">
      <x v="10"/>
      <x v="50"/>
    </i>
    <i r="1">
      <x v="11"/>
      <x v="35"/>
    </i>
    <i r="1">
      <x v="12"/>
      <x v="4"/>
    </i>
    <i r="1">
      <x v="13"/>
      <x v="24"/>
    </i>
    <i r="1">
      <x v="14"/>
      <x v="39"/>
    </i>
    <i r="1">
      <x v="15"/>
      <x v="28"/>
    </i>
    <i r="2">
      <x v="48"/>
    </i>
    <i r="1">
      <x v="17"/>
      <x v="42"/>
    </i>
    <i r="2">
      <x v="44"/>
    </i>
    <i r="2">
      <x v="51"/>
    </i>
    <i t="blank">
      <x v="13"/>
    </i>
    <i>
      <x v="14"/>
    </i>
    <i r="1">
      <x/>
      <x v="43"/>
    </i>
    <i r="1">
      <x v="1"/>
      <x v="29"/>
    </i>
    <i r="1">
      <x v="2"/>
      <x v="31"/>
    </i>
    <i r="1">
      <x v="3"/>
      <x v="41"/>
    </i>
    <i r="1">
      <x v="4"/>
      <x v="1"/>
    </i>
    <i r="1">
      <x v="5"/>
      <x v="46"/>
    </i>
    <i r="1">
      <x v="6"/>
      <x v="30"/>
    </i>
    <i r="1">
      <x v="7"/>
      <x v="47"/>
    </i>
    <i r="1">
      <x v="8"/>
      <x v="2"/>
    </i>
    <i r="2">
      <x v="50"/>
    </i>
    <i r="1">
      <x v="10"/>
      <x v="28"/>
    </i>
    <i r="1">
      <x v="11"/>
      <x v="3"/>
    </i>
    <i r="1">
      <x v="12"/>
      <x v="39"/>
    </i>
    <i r="1">
      <x v="13"/>
      <x v="44"/>
    </i>
    <i r="1">
      <x v="14"/>
      <x v="4"/>
    </i>
    <i r="1">
      <x v="15"/>
      <x v="38"/>
    </i>
    <i r="2">
      <x v="48"/>
    </i>
    <i r="1">
      <x v="17"/>
      <x v="40"/>
    </i>
    <i r="1">
      <x v="18"/>
      <x v="45"/>
    </i>
    <i r="1">
      <x v="19"/>
      <x v="35"/>
    </i>
    <i t="blank">
      <x v="14"/>
    </i>
    <i>
      <x v="15"/>
    </i>
    <i r="1">
      <x/>
      <x v="43"/>
    </i>
    <i r="1">
      <x v="1"/>
      <x v="41"/>
    </i>
    <i r="1">
      <x v="2"/>
      <x v="31"/>
    </i>
    <i r="1">
      <x v="3"/>
      <x v="29"/>
    </i>
    <i r="1">
      <x v="4"/>
      <x v="1"/>
    </i>
    <i r="1">
      <x v="5"/>
      <x v="30"/>
    </i>
    <i r="1">
      <x v="6"/>
      <x v="5"/>
    </i>
    <i r="1">
      <x v="7"/>
      <x v="46"/>
    </i>
    <i r="1">
      <x v="8"/>
      <x v="2"/>
    </i>
    <i r="2">
      <x v="47"/>
    </i>
    <i r="1">
      <x v="10"/>
      <x v="3"/>
    </i>
    <i r="2">
      <x v="22"/>
    </i>
    <i r="1">
      <x v="12"/>
      <x v="39"/>
    </i>
    <i r="1">
      <x v="13"/>
      <x v="50"/>
    </i>
    <i r="1">
      <x v="14"/>
      <x v="24"/>
    </i>
    <i r="1">
      <x v="15"/>
      <x v="48"/>
    </i>
    <i r="1">
      <x v="16"/>
      <x v="28"/>
    </i>
    <i r="2">
      <x v="38"/>
    </i>
    <i r="1">
      <x v="18"/>
      <x v="4"/>
    </i>
    <i r="1">
      <x v="19"/>
      <x v="35"/>
    </i>
    <i t="blank">
      <x v="15"/>
    </i>
    <i>
      <x v="16"/>
    </i>
    <i r="1">
      <x/>
      <x v="41"/>
    </i>
    <i r="1">
      <x v="1"/>
      <x v="43"/>
    </i>
    <i r="1">
      <x v="2"/>
      <x v="29"/>
    </i>
    <i r="1">
      <x v="3"/>
      <x v="31"/>
    </i>
    <i r="1">
      <x v="4"/>
      <x v="28"/>
    </i>
    <i r="1">
      <x v="5"/>
      <x v="35"/>
    </i>
    <i r="1">
      <x v="6"/>
      <x v="39"/>
    </i>
    <i r="1">
      <x v="7"/>
      <x v="1"/>
    </i>
    <i r="1">
      <x v="8"/>
      <x v="30"/>
    </i>
    <i r="1">
      <x v="9"/>
      <x v="3"/>
    </i>
    <i r="1">
      <x v="10"/>
      <x v="46"/>
    </i>
    <i r="1">
      <x v="11"/>
      <x v="4"/>
    </i>
    <i r="1">
      <x v="12"/>
      <x v="6"/>
    </i>
    <i r="1">
      <x v="13"/>
      <x v="47"/>
    </i>
    <i r="1">
      <x v="14"/>
      <x v="48"/>
    </i>
    <i r="1">
      <x v="15"/>
      <x v="40"/>
    </i>
    <i r="1">
      <x v="16"/>
      <x v="38"/>
    </i>
    <i r="1">
      <x v="17"/>
      <x v="2"/>
    </i>
    <i r="1">
      <x v="18"/>
      <x v="45"/>
    </i>
    <i r="1">
      <x v="19"/>
      <x v="34"/>
    </i>
    <i t="blank">
      <x v="16"/>
    </i>
    <i>
      <x v="17"/>
    </i>
    <i r="1">
      <x/>
      <x v="31"/>
    </i>
    <i r="1">
      <x v="1"/>
      <x v="43"/>
    </i>
    <i r="1">
      <x v="2"/>
      <x v="29"/>
    </i>
    <i r="1">
      <x v="3"/>
      <x v="5"/>
    </i>
    <i r="1">
      <x v="4"/>
      <x v="41"/>
    </i>
    <i r="1">
      <x v="5"/>
      <x v="1"/>
    </i>
    <i r="1">
      <x v="6"/>
      <x v="8"/>
    </i>
    <i r="1">
      <x v="7"/>
      <x v="2"/>
    </i>
    <i r="1">
      <x v="8"/>
      <x v="46"/>
    </i>
    <i r="2">
      <x v="47"/>
    </i>
    <i r="1">
      <x v="10"/>
      <x v="50"/>
    </i>
    <i r="1">
      <x v="11"/>
      <x v="30"/>
    </i>
    <i r="1">
      <x v="12"/>
      <x v="14"/>
    </i>
    <i r="1">
      <x v="13"/>
      <x v="3"/>
    </i>
    <i r="1">
      <x v="14"/>
      <x v="39"/>
    </i>
    <i r="1">
      <x v="15"/>
      <x v="4"/>
    </i>
    <i r="1">
      <x v="16"/>
      <x v="11"/>
    </i>
    <i r="1">
      <x v="17"/>
      <x v="48"/>
    </i>
    <i r="1">
      <x v="18"/>
      <x v="38"/>
    </i>
    <i r="1">
      <x v="19"/>
      <x v="25"/>
    </i>
    <i r="2">
      <x v="28"/>
    </i>
    <i t="blank">
      <x v="17"/>
    </i>
    <i>
      <x v="18"/>
    </i>
    <i r="1">
      <x/>
      <x v="43"/>
    </i>
    <i r="1">
      <x v="1"/>
      <x v="29"/>
    </i>
    <i r="1">
      <x v="2"/>
      <x v="31"/>
    </i>
    <i r="1">
      <x v="3"/>
      <x v="41"/>
    </i>
    <i r="1">
      <x v="4"/>
      <x v="1"/>
    </i>
    <i r="1">
      <x v="5"/>
      <x v="30"/>
    </i>
    <i r="1">
      <x v="6"/>
      <x v="48"/>
    </i>
    <i r="1">
      <x v="7"/>
      <x v="3"/>
    </i>
    <i r="1">
      <x v="8"/>
      <x v="47"/>
    </i>
    <i r="2">
      <x v="50"/>
    </i>
    <i r="1">
      <x v="10"/>
      <x v="39"/>
    </i>
    <i r="1">
      <x v="11"/>
      <x v="2"/>
    </i>
    <i r="1">
      <x v="12"/>
      <x v="28"/>
    </i>
    <i r="1">
      <x v="13"/>
      <x v="38"/>
    </i>
    <i r="2">
      <x v="46"/>
    </i>
    <i r="1">
      <x v="15"/>
      <x v="35"/>
    </i>
    <i r="1">
      <x v="16"/>
      <x v="40"/>
    </i>
    <i r="1">
      <x v="17"/>
      <x v="7"/>
    </i>
    <i r="2">
      <x v="24"/>
    </i>
    <i r="1">
      <x v="19"/>
      <x v="4"/>
    </i>
    <i r="2">
      <x v="25"/>
    </i>
    <i r="2">
      <x v="32"/>
    </i>
    <i r="2">
      <x v="44"/>
    </i>
    <i t="blank">
      <x v="18"/>
    </i>
    <i>
      <x v="19"/>
    </i>
    <i r="1">
      <x/>
      <x v="43"/>
    </i>
    <i r="1">
      <x v="1"/>
      <x v="41"/>
    </i>
    <i r="1">
      <x v="2"/>
      <x v="31"/>
    </i>
    <i r="1">
      <x v="3"/>
      <x v="29"/>
    </i>
    <i r="1">
      <x v="4"/>
      <x v="46"/>
    </i>
    <i r="1">
      <x v="5"/>
      <x v="1"/>
    </i>
    <i r="1">
      <x v="6"/>
      <x v="47"/>
    </i>
    <i r="1">
      <x v="7"/>
      <x v="30"/>
    </i>
    <i r="1">
      <x v="8"/>
      <x v="2"/>
    </i>
    <i r="1">
      <x v="9"/>
      <x v="3"/>
    </i>
    <i r="2">
      <x v="39"/>
    </i>
    <i r="1">
      <x v="11"/>
      <x v="38"/>
    </i>
    <i r="1">
      <x v="12"/>
      <x v="28"/>
    </i>
    <i r="1">
      <x v="13"/>
      <x v="35"/>
    </i>
    <i r="1">
      <x v="14"/>
      <x v="48"/>
    </i>
    <i r="1">
      <x v="15"/>
      <x v="34"/>
    </i>
    <i r="1">
      <x v="16"/>
      <x v="44"/>
    </i>
    <i r="2">
      <x v="50"/>
    </i>
    <i r="1">
      <x v="18"/>
      <x v="11"/>
    </i>
    <i r="2">
      <x v="42"/>
    </i>
    <i t="blank">
      <x v="19"/>
    </i>
    <i>
      <x v="20"/>
    </i>
    <i r="1">
      <x/>
      <x v="40"/>
    </i>
    <i r="1">
      <x v="1"/>
      <x v="29"/>
    </i>
    <i r="1">
      <x v="2"/>
      <x v="54"/>
    </i>
    <i r="1">
      <x v="3"/>
      <x v="4"/>
    </i>
    <i r="2">
      <x v="23"/>
    </i>
    <i r="1">
      <x v="5"/>
      <x v="5"/>
    </i>
    <i r="2">
      <x v="31"/>
    </i>
    <i r="2">
      <x v="38"/>
    </i>
    <i t="blank">
      <x v="20"/>
    </i>
    <i>
      <x v="21"/>
    </i>
    <i r="1">
      <x/>
      <x v="40"/>
    </i>
    <i r="1">
      <x v="1"/>
      <x v="48"/>
    </i>
    <i r="1">
      <x v="2"/>
      <x v="4"/>
    </i>
    <i r="1">
      <x v="3"/>
      <x v="31"/>
    </i>
    <i r="1">
      <x v="4"/>
      <x v="9"/>
    </i>
    <i r="2">
      <x v="29"/>
    </i>
    <i t="blank">
      <x v="21"/>
    </i>
    <i>
      <x v="22"/>
    </i>
    <i r="1">
      <x/>
      <x v="43"/>
    </i>
    <i r="1">
      <x v="1"/>
      <x v="41"/>
    </i>
    <i r="1">
      <x v="2"/>
      <x v="31"/>
    </i>
    <i r="1">
      <x v="3"/>
      <x v="29"/>
    </i>
    <i r="1">
      <x v="4"/>
      <x v="1"/>
    </i>
    <i r="1">
      <x v="5"/>
      <x v="30"/>
    </i>
    <i r="1">
      <x v="6"/>
      <x v="46"/>
    </i>
    <i r="1">
      <x v="7"/>
      <x v="5"/>
    </i>
    <i r="2">
      <x v="35"/>
    </i>
    <i r="1">
      <x v="9"/>
      <x v="2"/>
    </i>
    <i r="2">
      <x v="44"/>
    </i>
    <i r="2">
      <x v="50"/>
    </i>
    <i r="1">
      <x v="12"/>
      <x v="39"/>
    </i>
    <i r="1">
      <x v="13"/>
      <x v="28"/>
    </i>
    <i r="1">
      <x v="14"/>
      <x v="3"/>
    </i>
    <i r="1">
      <x v="15"/>
      <x v="4"/>
    </i>
    <i r="2">
      <x v="47"/>
    </i>
    <i r="1">
      <x v="17"/>
      <x v="38"/>
    </i>
    <i r="2">
      <x v="48"/>
    </i>
    <i r="1">
      <x v="19"/>
      <x v="7"/>
    </i>
    <i t="blank">
      <x v="22"/>
    </i>
    <i>
      <x v="23"/>
    </i>
    <i r="1">
      <x/>
      <x v="29"/>
    </i>
    <i r="1">
      <x v="1"/>
      <x v="1"/>
    </i>
    <i r="1">
      <x v="2"/>
      <x v="43"/>
    </i>
    <i r="1">
      <x v="3"/>
      <x v="31"/>
    </i>
    <i r="1">
      <x v="4"/>
      <x v="41"/>
    </i>
    <i r="1">
      <x v="5"/>
      <x v="2"/>
    </i>
    <i r="2">
      <x v="4"/>
    </i>
    <i r="1">
      <x v="7"/>
      <x v="5"/>
    </i>
    <i r="2">
      <x v="30"/>
    </i>
    <i r="1">
      <x v="9"/>
      <x v="3"/>
    </i>
    <i r="2">
      <x v="40"/>
    </i>
    <i r="2">
      <x v="50"/>
    </i>
    <i r="1">
      <x v="12"/>
      <x v="21"/>
    </i>
    <i r="1">
      <x v="13"/>
      <x v="38"/>
    </i>
    <i r="1">
      <x v="14"/>
      <x v="10"/>
    </i>
    <i r="2">
      <x v="47"/>
    </i>
    <i r="1">
      <x v="16"/>
      <x v="13"/>
    </i>
    <i r="2">
      <x v="27"/>
    </i>
    <i r="2">
      <x v="35"/>
    </i>
    <i r="2">
      <x v="46"/>
    </i>
    <i r="2">
      <x v="48"/>
    </i>
    <i r="2">
      <x v="49"/>
    </i>
    <i r="2">
      <x v="51"/>
    </i>
    <i r="2">
      <x v="53"/>
    </i>
    <i t="blank">
      <x v="23"/>
    </i>
    <i>
      <x v="24"/>
    </i>
    <i r="1">
      <x/>
      <x v="31"/>
    </i>
    <i r="1">
      <x v="1"/>
      <x v="43"/>
    </i>
    <i r="1">
      <x v="2"/>
      <x v="41"/>
    </i>
    <i r="1">
      <x v="3"/>
      <x v="29"/>
    </i>
    <i r="1">
      <x v="4"/>
      <x v="1"/>
    </i>
    <i r="1">
      <x v="5"/>
      <x v="30"/>
    </i>
    <i r="1">
      <x v="6"/>
      <x v="46"/>
    </i>
    <i r="1">
      <x v="7"/>
      <x v="2"/>
    </i>
    <i r="1">
      <x v="8"/>
      <x v="47"/>
    </i>
    <i r="1">
      <x v="9"/>
      <x v="4"/>
    </i>
    <i r="1">
      <x v="10"/>
      <x v="7"/>
    </i>
    <i r="2">
      <x v="39"/>
    </i>
    <i r="2">
      <x v="44"/>
    </i>
    <i r="1">
      <x v="13"/>
      <x v="3"/>
    </i>
    <i r="2">
      <x v="25"/>
    </i>
    <i r="2">
      <x v="38"/>
    </i>
    <i r="2">
      <x v="48"/>
    </i>
    <i r="1">
      <x v="17"/>
      <x v="5"/>
    </i>
    <i r="2">
      <x v="8"/>
    </i>
    <i r="2">
      <x v="28"/>
    </i>
    <i r="2">
      <x v="32"/>
    </i>
    <i r="2">
      <x v="35"/>
    </i>
    <i r="2">
      <x v="40"/>
    </i>
    <i t="blank">
      <x v="24"/>
    </i>
    <i>
      <x v="25"/>
    </i>
    <i r="1">
      <x/>
      <x v="31"/>
    </i>
    <i r="1">
      <x v="1"/>
      <x v="43"/>
    </i>
    <i r="1">
      <x v="2"/>
      <x v="41"/>
    </i>
    <i r="1">
      <x v="3"/>
      <x v="30"/>
    </i>
    <i r="1">
      <x v="4"/>
      <x v="1"/>
    </i>
    <i r="2">
      <x v="29"/>
    </i>
    <i r="1">
      <x v="6"/>
      <x v="2"/>
    </i>
    <i r="1">
      <x v="7"/>
      <x v="3"/>
    </i>
    <i r="2">
      <x v="50"/>
    </i>
    <i r="1">
      <x v="9"/>
      <x v="4"/>
    </i>
    <i r="1">
      <x v="10"/>
      <x v="47"/>
    </i>
    <i r="1">
      <x v="11"/>
      <x v="38"/>
    </i>
    <i r="2">
      <x v="46"/>
    </i>
    <i r="1">
      <x v="13"/>
      <x v="5"/>
    </i>
    <i r="2">
      <x v="48"/>
    </i>
    <i r="1">
      <x v="15"/>
      <x v="24"/>
    </i>
    <i r="2">
      <x v="42"/>
    </i>
    <i r="1">
      <x v="17"/>
      <x v="28"/>
    </i>
    <i r="2">
      <x v="39"/>
    </i>
    <i r="2">
      <x v="45"/>
    </i>
    <i r="2">
      <x v="53"/>
    </i>
    <i r="2">
      <x v="54"/>
    </i>
    <i t="blank">
      <x v="25"/>
    </i>
    <i>
      <x v="26"/>
    </i>
    <i r="1">
      <x/>
      <x v="29"/>
    </i>
    <i r="2">
      <x v="43"/>
    </i>
    <i r="1">
      <x v="2"/>
      <x v="31"/>
    </i>
    <i r="1">
      <x v="3"/>
      <x v="1"/>
    </i>
    <i r="1">
      <x v="4"/>
      <x v="2"/>
    </i>
    <i r="1">
      <x v="5"/>
      <x v="50"/>
    </i>
    <i r="1">
      <x v="6"/>
      <x v="48"/>
    </i>
    <i r="1">
      <x v="7"/>
      <x v="4"/>
    </i>
    <i r="1">
      <x v="8"/>
      <x v="3"/>
    </i>
    <i r="2">
      <x v="5"/>
    </i>
    <i r="2">
      <x v="41"/>
    </i>
    <i r="2">
      <x v="46"/>
    </i>
    <i r="2">
      <x v="47"/>
    </i>
    <i r="2">
      <x v="53"/>
    </i>
    <i r="1">
      <x v="14"/>
      <x v="30"/>
    </i>
    <i r="1">
      <x v="15"/>
      <x v="15"/>
    </i>
    <i r="2">
      <x v="25"/>
    </i>
    <i r="2">
      <x v="28"/>
    </i>
    <i r="2">
      <x v="38"/>
    </i>
    <i r="2">
      <x v="39"/>
    </i>
    <i t="blank">
      <x v="26"/>
    </i>
    <i>
      <x v="27"/>
    </i>
    <i r="1">
      <x/>
      <x v="31"/>
    </i>
    <i r="1">
      <x v="1"/>
      <x v="43"/>
    </i>
    <i r="1">
      <x v="2"/>
      <x v="29"/>
    </i>
    <i r="1">
      <x v="3"/>
      <x v="41"/>
    </i>
    <i r="1">
      <x v="4"/>
      <x v="30"/>
    </i>
    <i r="1">
      <x v="5"/>
      <x v="1"/>
    </i>
    <i r="2">
      <x v="50"/>
    </i>
    <i r="1">
      <x v="7"/>
      <x v="47"/>
    </i>
    <i r="1">
      <x v="8"/>
      <x v="3"/>
    </i>
    <i r="2">
      <x v="28"/>
    </i>
    <i r="1">
      <x v="10"/>
      <x v="2"/>
    </i>
    <i r="2">
      <x v="24"/>
    </i>
    <i r="2">
      <x v="48"/>
    </i>
    <i r="1">
      <x v="13"/>
      <x v="4"/>
    </i>
    <i r="2">
      <x v="5"/>
    </i>
    <i r="2">
      <x v="46"/>
    </i>
    <i r="1">
      <x v="16"/>
      <x v="25"/>
    </i>
    <i r="1">
      <x v="17"/>
      <x v="7"/>
    </i>
    <i r="2">
      <x v="26"/>
    </i>
    <i r="2">
      <x v="27"/>
    </i>
    <i r="2">
      <x v="35"/>
    </i>
    <i r="2">
      <x v="40"/>
    </i>
    <i r="2">
      <x v="44"/>
    </i>
    <i r="2">
      <x v="45"/>
    </i>
    <i r="2">
      <x v="49"/>
    </i>
    <i t="blank">
      <x v="27"/>
    </i>
    <i>
      <x v="28"/>
    </i>
    <i r="1">
      <x/>
      <x v="29"/>
    </i>
    <i r="1">
      <x v="1"/>
      <x v="43"/>
    </i>
    <i r="1">
      <x v="2"/>
      <x v="31"/>
    </i>
    <i r="1">
      <x v="3"/>
      <x v="1"/>
    </i>
    <i r="2">
      <x v="41"/>
    </i>
    <i r="1">
      <x v="5"/>
      <x v="2"/>
    </i>
    <i r="2">
      <x v="45"/>
    </i>
    <i r="1">
      <x v="7"/>
      <x v="3"/>
    </i>
    <i r="1">
      <x v="8"/>
      <x v="4"/>
    </i>
    <i r="2">
      <x v="30"/>
    </i>
    <i r="2">
      <x v="35"/>
    </i>
    <i r="2">
      <x v="46"/>
    </i>
    <i r="2">
      <x v="47"/>
    </i>
    <i r="1">
      <x v="13"/>
      <x v="39"/>
    </i>
    <i r="2">
      <x v="40"/>
    </i>
    <i r="2">
      <x v="48"/>
    </i>
    <i r="2">
      <x v="50"/>
    </i>
    <i r="1">
      <x v="17"/>
      <x v="5"/>
    </i>
    <i r="2">
      <x v="14"/>
    </i>
    <i r="2">
      <x v="24"/>
    </i>
    <i r="2">
      <x v="28"/>
    </i>
    <i r="2">
      <x v="49"/>
    </i>
    <i t="blank">
      <x v="28"/>
    </i>
    <i>
      <x v="29"/>
    </i>
    <i r="1">
      <x/>
      <x v="43"/>
    </i>
    <i r="1">
      <x v="1"/>
      <x v="29"/>
    </i>
    <i r="1">
      <x v="2"/>
      <x v="31"/>
    </i>
    <i r="1">
      <x v="3"/>
      <x v="41"/>
    </i>
    <i r="1">
      <x v="4"/>
      <x v="1"/>
    </i>
    <i r="1">
      <x v="5"/>
      <x v="30"/>
    </i>
    <i r="1">
      <x v="6"/>
      <x v="46"/>
    </i>
    <i r="1">
      <x v="7"/>
      <x v="2"/>
    </i>
    <i r="1">
      <x v="8"/>
      <x v="47"/>
    </i>
    <i r="1">
      <x v="9"/>
      <x v="3"/>
    </i>
    <i r="1">
      <x v="10"/>
      <x v="4"/>
    </i>
    <i r="2">
      <x v="39"/>
    </i>
    <i r="1">
      <x v="12"/>
      <x v="50"/>
    </i>
    <i r="1">
      <x v="13"/>
      <x v="24"/>
    </i>
    <i r="1">
      <x v="14"/>
      <x v="40"/>
    </i>
    <i r="1">
      <x v="15"/>
      <x v="7"/>
    </i>
    <i r="2">
      <x v="25"/>
    </i>
    <i r="2">
      <x v="28"/>
    </i>
    <i r="2">
      <x v="35"/>
    </i>
    <i r="2">
      <x v="37"/>
    </i>
    <i r="2">
      <x v="42"/>
    </i>
    <i t="blank">
      <x v="29"/>
    </i>
    <i>
      <x v="30"/>
    </i>
    <i r="1">
      <x/>
      <x v="41"/>
    </i>
    <i r="1">
      <x v="1"/>
      <x v="43"/>
    </i>
    <i r="1">
      <x v="2"/>
      <x v="31"/>
    </i>
    <i r="1">
      <x v="3"/>
      <x v="29"/>
    </i>
    <i r="1">
      <x v="4"/>
      <x v="1"/>
    </i>
    <i r="2">
      <x v="39"/>
    </i>
    <i r="1">
      <x v="6"/>
      <x v="2"/>
    </i>
    <i r="1">
      <x v="7"/>
      <x v="30"/>
    </i>
    <i r="2">
      <x v="40"/>
    </i>
    <i r="2">
      <x v="46"/>
    </i>
    <i r="2">
      <x v="47"/>
    </i>
    <i r="1">
      <x v="11"/>
      <x v="3"/>
    </i>
    <i r="2">
      <x v="4"/>
    </i>
    <i r="2">
      <x v="50"/>
    </i>
    <i r="1">
      <x v="14"/>
      <x v="36"/>
    </i>
    <i r="1">
      <x v="15"/>
      <x v="44"/>
    </i>
    <i r="1">
      <x v="16"/>
      <x v="51"/>
    </i>
    <i r="1">
      <x v="17"/>
      <x v="5"/>
    </i>
    <i r="2">
      <x v="24"/>
    </i>
    <i r="2">
      <x v="25"/>
    </i>
    <i r="2">
      <x v="26"/>
    </i>
    <i r="2">
      <x v="28"/>
    </i>
    <i r="2">
      <x v="48"/>
    </i>
    <i t="blank">
      <x v="30"/>
    </i>
    <i>
      <x v="31"/>
    </i>
    <i r="1">
      <x/>
      <x v="41"/>
    </i>
    <i r="1">
      <x v="1"/>
      <x v="40"/>
    </i>
    <i r="1">
      <x v="2"/>
      <x v="29"/>
    </i>
    <i r="1">
      <x v="3"/>
      <x v="43"/>
    </i>
    <i r="1">
      <x v="4"/>
      <x v="31"/>
    </i>
    <i r="1">
      <x v="5"/>
      <x v="1"/>
    </i>
    <i r="1">
      <x v="6"/>
      <x v="46"/>
    </i>
    <i r="1">
      <x v="7"/>
      <x v="30"/>
    </i>
    <i r="1">
      <x v="8"/>
      <x v="3"/>
    </i>
    <i r="1">
      <x v="9"/>
      <x v="44"/>
    </i>
    <i r="1">
      <x v="10"/>
      <x v="39"/>
    </i>
    <i r="1">
      <x v="11"/>
      <x v="4"/>
    </i>
    <i r="2">
      <x v="51"/>
    </i>
    <i r="1">
      <x v="13"/>
      <x v="2"/>
    </i>
    <i r="2">
      <x v="5"/>
    </i>
    <i r="2">
      <x v="10"/>
    </i>
    <i r="2">
      <x v="19"/>
    </i>
    <i r="2">
      <x v="32"/>
    </i>
    <i r="2">
      <x v="42"/>
    </i>
    <i r="2">
      <x v="50"/>
    </i>
    <i t="blank">
      <x v="31"/>
    </i>
    <i>
      <x v="32"/>
    </i>
    <i r="1">
      <x/>
      <x v="40"/>
    </i>
    <i r="1">
      <x v="1"/>
      <x v="41"/>
    </i>
    <i r="1">
      <x v="2"/>
      <x v="29"/>
    </i>
    <i r="1">
      <x v="3"/>
      <x v="31"/>
    </i>
    <i r="1">
      <x v="4"/>
      <x v="1"/>
    </i>
    <i r="1">
      <x v="5"/>
      <x v="43"/>
    </i>
    <i r="1">
      <x v="6"/>
      <x v="45"/>
    </i>
    <i r="1">
      <x v="7"/>
      <x v="46"/>
    </i>
    <i r="1">
      <x v="8"/>
      <x v="44"/>
    </i>
    <i r="1">
      <x v="9"/>
      <x v="2"/>
    </i>
    <i r="2">
      <x v="4"/>
    </i>
    <i r="2">
      <x v="36"/>
    </i>
    <i r="1">
      <x v="12"/>
      <x v="30"/>
    </i>
    <i r="1">
      <x v="13"/>
      <x v="3"/>
    </i>
    <i r="2">
      <x v="7"/>
    </i>
    <i r="2">
      <x v="47"/>
    </i>
    <i r="2">
      <x v="48"/>
    </i>
    <i r="1">
      <x v="17"/>
      <x v="5"/>
    </i>
    <i r="1">
      <x v="18"/>
      <x v="27"/>
    </i>
    <i r="2">
      <x v="50"/>
    </i>
    <i t="blank">
      <x v="32"/>
    </i>
    <i>
      <x v="33"/>
    </i>
    <i r="1">
      <x/>
      <x v="6"/>
    </i>
    <i r="1">
      <x v="1"/>
      <x v="29"/>
    </i>
    <i r="1">
      <x v="2"/>
      <x v="1"/>
    </i>
    <i r="1">
      <x v="3"/>
      <x v="31"/>
    </i>
    <i r="2">
      <x v="40"/>
    </i>
    <i r="1">
      <x v="5"/>
      <x v="41"/>
    </i>
    <i r="2">
      <x v="48"/>
    </i>
    <i r="1">
      <x v="7"/>
      <x v="35"/>
    </i>
    <i r="2">
      <x v="45"/>
    </i>
    <i r="2">
      <x v="47"/>
    </i>
    <i r="2">
      <x v="49"/>
    </i>
    <i r="2">
      <x v="51"/>
    </i>
    <i r="1">
      <x v="12"/>
      <x/>
    </i>
    <i r="2">
      <x v="12"/>
    </i>
    <i r="2">
      <x v="14"/>
    </i>
    <i r="2">
      <x v="16"/>
    </i>
    <i r="2">
      <x v="32"/>
    </i>
    <i r="2">
      <x v="38"/>
    </i>
    <i r="2">
      <x v="42"/>
    </i>
    <i r="2">
      <x v="43"/>
    </i>
    <i r="2">
      <x v="46"/>
    </i>
    <i t="blank">
      <x v="33"/>
    </i>
    <i>
      <x v="34"/>
    </i>
    <i r="1">
      <x/>
      <x v="29"/>
    </i>
    <i r="1">
      <x v="1"/>
      <x v="41"/>
    </i>
    <i r="1">
      <x v="2"/>
      <x v="1"/>
    </i>
    <i r="2">
      <x v="43"/>
    </i>
    <i r="1">
      <x v="4"/>
      <x v="31"/>
    </i>
    <i r="1">
      <x v="5"/>
      <x v="2"/>
    </i>
    <i r="2">
      <x v="10"/>
    </i>
    <i r="2">
      <x v="36"/>
    </i>
    <i r="1">
      <x v="8"/>
      <x v="35"/>
    </i>
    <i r="2">
      <x v="42"/>
    </i>
    <i r="1">
      <x v="10"/>
      <x v="3"/>
    </i>
    <i r="2">
      <x v="4"/>
    </i>
    <i r="2">
      <x v="5"/>
    </i>
    <i r="2">
      <x v="7"/>
    </i>
    <i r="2">
      <x v="16"/>
    </i>
    <i r="2">
      <x v="18"/>
    </i>
    <i r="2">
      <x v="24"/>
    </i>
    <i r="2">
      <x v="38"/>
    </i>
    <i r="2">
      <x v="40"/>
    </i>
    <i r="2">
      <x v="47"/>
    </i>
    <i r="2">
      <x v="48"/>
    </i>
    <i r="2">
      <x v="53"/>
    </i>
    <i t="blank">
      <x v="34"/>
    </i>
    <i>
      <x v="35"/>
    </i>
    <i r="1">
      <x/>
      <x v="41"/>
    </i>
    <i r="1">
      <x v="1"/>
      <x v="29"/>
    </i>
    <i r="1">
      <x v="2"/>
      <x v="43"/>
    </i>
    <i r="1">
      <x v="3"/>
      <x v="31"/>
    </i>
    <i r="1">
      <x v="4"/>
      <x v="40"/>
    </i>
    <i r="1">
      <x v="5"/>
      <x v="35"/>
    </i>
    <i r="1">
      <x v="6"/>
      <x v="45"/>
    </i>
    <i r="1">
      <x v="7"/>
      <x v="3"/>
    </i>
    <i r="2">
      <x v="4"/>
    </i>
    <i r="1">
      <x v="9"/>
      <x v="1"/>
    </i>
    <i r="2">
      <x v="28"/>
    </i>
    <i r="2">
      <x v="46"/>
    </i>
    <i r="1">
      <x v="12"/>
      <x v="48"/>
    </i>
    <i r="1">
      <x v="13"/>
      <x v="2"/>
    </i>
    <i r="2">
      <x v="44"/>
    </i>
    <i r="1">
      <x v="15"/>
      <x v="20"/>
    </i>
    <i r="2">
      <x v="36"/>
    </i>
    <i r="2">
      <x v="39"/>
    </i>
    <i r="1">
      <x v="18"/>
      <x v="10"/>
    </i>
    <i r="2">
      <x v="24"/>
    </i>
    <i r="2">
      <x v="30"/>
    </i>
    <i r="2">
      <x v="42"/>
    </i>
    <i r="2">
      <x v="47"/>
    </i>
    <i r="2">
      <x v="50"/>
    </i>
    <i t="blank">
      <x v="35"/>
    </i>
    <i>
      <x v="36"/>
    </i>
    <i r="1">
      <x/>
      <x v="29"/>
    </i>
    <i r="2">
      <x v="43"/>
    </i>
    <i r="1">
      <x v="2"/>
      <x v="41"/>
    </i>
    <i r="1">
      <x v="3"/>
      <x v="40"/>
    </i>
    <i r="1">
      <x v="4"/>
      <x v="31"/>
    </i>
    <i r="1">
      <x v="5"/>
      <x v="6"/>
    </i>
    <i r="1">
      <x v="6"/>
      <x v="1"/>
    </i>
    <i r="1">
      <x v="7"/>
      <x v="30"/>
    </i>
    <i r="1">
      <x v="8"/>
      <x v="44"/>
    </i>
    <i r="1">
      <x v="9"/>
      <x v="3"/>
    </i>
    <i r="2">
      <x v="38"/>
    </i>
    <i r="2">
      <x v="45"/>
    </i>
    <i r="2">
      <x v="50"/>
    </i>
    <i r="1">
      <x v="13"/>
      <x v="4"/>
    </i>
    <i r="2">
      <x v="28"/>
    </i>
    <i r="2">
      <x v="46"/>
    </i>
    <i r="2">
      <x v="48"/>
    </i>
    <i r="1">
      <x v="17"/>
      <x v="39"/>
    </i>
    <i r="1">
      <x v="18"/>
      <x v="2"/>
    </i>
    <i r="2">
      <x v="11"/>
    </i>
    <i r="2">
      <x v="25"/>
    </i>
    <i r="2">
      <x v="36"/>
    </i>
    <i t="blank">
      <x v="36"/>
    </i>
    <i>
      <x v="37"/>
    </i>
    <i r="1">
      <x/>
      <x v="41"/>
    </i>
    <i r="1">
      <x v="1"/>
      <x v="29"/>
    </i>
    <i r="1">
      <x v="2"/>
      <x v="43"/>
    </i>
    <i r="1">
      <x v="3"/>
      <x v="31"/>
    </i>
    <i r="1">
      <x v="4"/>
      <x v="4"/>
    </i>
    <i r="1">
      <x v="5"/>
      <x v="1"/>
    </i>
    <i r="1">
      <x v="6"/>
      <x v="3"/>
    </i>
    <i r="1">
      <x v="7"/>
      <x v="46"/>
    </i>
    <i r="1">
      <x v="8"/>
      <x v="40"/>
    </i>
    <i r="2">
      <x v="47"/>
    </i>
    <i r="1">
      <x v="10"/>
      <x v="28"/>
    </i>
    <i r="2">
      <x v="30"/>
    </i>
    <i r="2">
      <x v="36"/>
    </i>
    <i r="2">
      <x v="38"/>
    </i>
    <i r="2">
      <x v="50"/>
    </i>
    <i r="1">
      <x v="15"/>
      <x v="10"/>
    </i>
    <i r="1">
      <x v="16"/>
      <x v="2"/>
    </i>
    <i r="2">
      <x v="42"/>
    </i>
    <i r="1">
      <x v="18"/>
      <x v="44"/>
    </i>
    <i r="2">
      <x v="48"/>
    </i>
    <i t="blank">
      <x v="37"/>
    </i>
    <i>
      <x v="38"/>
    </i>
    <i r="1">
      <x/>
      <x v="41"/>
    </i>
    <i r="1">
      <x v="1"/>
      <x v="31"/>
    </i>
    <i r="1">
      <x v="2"/>
      <x v="43"/>
    </i>
    <i r="1">
      <x v="3"/>
      <x v="29"/>
    </i>
    <i r="1">
      <x v="4"/>
      <x v="35"/>
    </i>
    <i r="1">
      <x v="5"/>
      <x v="1"/>
    </i>
    <i r="1">
      <x v="6"/>
      <x v="24"/>
    </i>
    <i r="2">
      <x v="50"/>
    </i>
    <i r="1">
      <x v="8"/>
      <x v="30"/>
    </i>
    <i r="1">
      <x v="9"/>
      <x v="4"/>
    </i>
    <i r="2">
      <x v="28"/>
    </i>
    <i r="1">
      <x v="11"/>
      <x v="2"/>
    </i>
    <i r="1">
      <x v="12"/>
      <x v="42"/>
    </i>
    <i r="2">
      <x v="46"/>
    </i>
    <i r="1">
      <x v="14"/>
      <x v="3"/>
    </i>
    <i r="2">
      <x v="39"/>
    </i>
    <i r="1">
      <x v="16"/>
      <x v="5"/>
    </i>
    <i r="2">
      <x v="45"/>
    </i>
    <i r="1">
      <x v="18"/>
      <x v="34"/>
    </i>
    <i r="2">
      <x v="48"/>
    </i>
    <i t="blank">
      <x v="38"/>
    </i>
    <i>
      <x v="39"/>
    </i>
    <i r="1">
      <x/>
      <x v="41"/>
    </i>
    <i r="1">
      <x v="1"/>
      <x v="1"/>
    </i>
    <i r="2">
      <x v="29"/>
    </i>
    <i r="2">
      <x v="43"/>
    </i>
    <i r="1">
      <x v="4"/>
      <x v="31"/>
    </i>
    <i r="1">
      <x v="5"/>
      <x v="28"/>
    </i>
    <i r="1">
      <x v="6"/>
      <x v="24"/>
    </i>
    <i r="1">
      <x v="7"/>
      <x v="30"/>
    </i>
    <i r="1">
      <x v="8"/>
      <x v="3"/>
    </i>
    <i r="2">
      <x v="5"/>
    </i>
    <i r="2">
      <x v="10"/>
    </i>
    <i r="2">
      <x v="45"/>
    </i>
    <i r="2">
      <x v="48"/>
    </i>
    <i r="2">
      <x v="50"/>
    </i>
    <i r="1">
      <x v="14"/>
      <x v="4"/>
    </i>
    <i r="2">
      <x v="20"/>
    </i>
    <i r="2">
      <x v="39"/>
    </i>
    <i r="2">
      <x v="40"/>
    </i>
    <i r="2">
      <x v="46"/>
    </i>
    <i r="1">
      <x v="19"/>
      <x v="14"/>
    </i>
    <i r="2">
      <x v="27"/>
    </i>
    <i r="2">
      <x v="42"/>
    </i>
    <i r="2">
      <x v="51"/>
    </i>
    <i t="blank">
      <x v="39"/>
    </i>
    <i>
      <x v="40"/>
    </i>
    <i r="1">
      <x/>
      <x v="29"/>
    </i>
    <i r="1">
      <x v="1"/>
      <x v="1"/>
    </i>
    <i r="2">
      <x v="43"/>
    </i>
    <i r="1">
      <x v="3"/>
      <x v="41"/>
    </i>
    <i r="1">
      <x v="4"/>
      <x v="31"/>
    </i>
    <i r="1">
      <x v="5"/>
      <x v="4"/>
    </i>
    <i r="1">
      <x v="6"/>
      <x v="30"/>
    </i>
    <i r="1">
      <x v="7"/>
      <x v="46"/>
    </i>
    <i r="2">
      <x v="50"/>
    </i>
    <i r="1">
      <x v="9"/>
      <x v="2"/>
    </i>
    <i r="2">
      <x v="3"/>
    </i>
    <i r="1">
      <x v="11"/>
      <x v="11"/>
    </i>
    <i r="2">
      <x v="24"/>
    </i>
    <i r="2">
      <x v="39"/>
    </i>
    <i r="2">
      <x v="40"/>
    </i>
    <i r="2">
      <x v="42"/>
    </i>
    <i r="2">
      <x v="47"/>
    </i>
    <i r="1">
      <x v="17"/>
      <x v="5"/>
    </i>
    <i r="2">
      <x v="8"/>
    </i>
    <i r="2">
      <x v="14"/>
    </i>
    <i r="2">
      <x v="17"/>
    </i>
    <i r="2">
      <x v="20"/>
    </i>
    <i r="2">
      <x v="22"/>
    </i>
    <i r="2">
      <x v="25"/>
    </i>
    <i r="2">
      <x v="26"/>
    </i>
    <i r="2">
      <x v="28"/>
    </i>
    <i r="2">
      <x v="34"/>
    </i>
    <i r="2">
      <x v="35"/>
    </i>
    <i r="2">
      <x v="38"/>
    </i>
    <i r="2">
      <x v="45"/>
    </i>
    <i r="2">
      <x v="48"/>
    </i>
    <i r="2">
      <x v="52"/>
    </i>
    <i r="2">
      <x v="53"/>
    </i>
    <i t="blank">
      <x v="40"/>
    </i>
    <i>
      <x v="41"/>
    </i>
    <i r="1">
      <x/>
      <x v="41"/>
    </i>
    <i r="1">
      <x v="1"/>
      <x v="29"/>
    </i>
    <i r="1">
      <x v="2"/>
      <x v="31"/>
    </i>
    <i r="1">
      <x v="3"/>
      <x v="43"/>
    </i>
    <i r="1">
      <x v="4"/>
      <x v="46"/>
    </i>
    <i r="1">
      <x v="5"/>
      <x v="35"/>
    </i>
    <i r="1">
      <x v="6"/>
      <x v="1"/>
    </i>
    <i r="2">
      <x v="30"/>
    </i>
    <i r="1">
      <x v="8"/>
      <x v="4"/>
    </i>
    <i r="1">
      <x v="9"/>
      <x v="2"/>
    </i>
    <i r="1">
      <x v="10"/>
      <x v="3"/>
    </i>
    <i r="1">
      <x v="11"/>
      <x v="40"/>
    </i>
    <i r="2">
      <x v="47"/>
    </i>
    <i r="2">
      <x v="50"/>
    </i>
    <i r="1">
      <x v="14"/>
      <x v="28"/>
    </i>
    <i r="1">
      <x v="15"/>
      <x v="24"/>
    </i>
    <i r="2">
      <x v="39"/>
    </i>
    <i r="2">
      <x v="45"/>
    </i>
    <i r="1">
      <x v="18"/>
      <x v="5"/>
    </i>
    <i r="2">
      <x v="27"/>
    </i>
    <i r="2">
      <x v="38"/>
    </i>
    <i r="2">
      <x v="44"/>
    </i>
    <i r="2">
      <x v="49"/>
    </i>
    <i t="blank">
      <x v="41"/>
    </i>
    <i>
      <x v="42"/>
    </i>
    <i r="1">
      <x/>
      <x v="41"/>
    </i>
    <i r="1">
      <x v="1"/>
      <x v="29"/>
    </i>
    <i r="1">
      <x v="2"/>
      <x v="43"/>
    </i>
    <i r="1">
      <x v="3"/>
      <x v="46"/>
    </i>
    <i r="1">
      <x v="4"/>
      <x v="31"/>
    </i>
    <i r="1">
      <x v="5"/>
      <x v="35"/>
    </i>
    <i r="1">
      <x v="6"/>
      <x v="1"/>
    </i>
    <i r="1">
      <x v="7"/>
      <x v="3"/>
    </i>
    <i r="1">
      <x v="8"/>
      <x v="2"/>
    </i>
    <i r="1">
      <x v="9"/>
      <x v="30"/>
    </i>
    <i r="1">
      <x v="10"/>
      <x v="40"/>
    </i>
    <i r="1">
      <x v="11"/>
      <x v="24"/>
    </i>
    <i r="1">
      <x v="12"/>
      <x v="5"/>
    </i>
    <i r="2">
      <x v="39"/>
    </i>
    <i r="2">
      <x v="47"/>
    </i>
    <i r="1">
      <x v="15"/>
      <x v="38"/>
    </i>
    <i r="2">
      <x v="45"/>
    </i>
    <i r="2">
      <x v="48"/>
    </i>
    <i r="2">
      <x v="50"/>
    </i>
    <i r="1">
      <x v="19"/>
      <x v="28"/>
    </i>
    <i r="2">
      <x v="36"/>
    </i>
    <i r="2">
      <x v="42"/>
    </i>
    <i r="2">
      <x v="44"/>
    </i>
    <i r="2">
      <x v="51"/>
    </i>
    <i t="blank">
      <x v="42"/>
    </i>
    <i>
      <x v="43"/>
    </i>
    <i r="1">
      <x/>
      <x v="41"/>
    </i>
    <i r="1">
      <x v="1"/>
      <x v="31"/>
    </i>
    <i r="1">
      <x v="2"/>
      <x v="43"/>
    </i>
    <i r="1">
      <x v="3"/>
      <x v="29"/>
    </i>
    <i r="1">
      <x v="4"/>
      <x v="40"/>
    </i>
    <i r="1">
      <x v="5"/>
      <x v="45"/>
    </i>
    <i r="1">
      <x v="6"/>
      <x v="46"/>
    </i>
    <i r="1">
      <x v="7"/>
      <x v="4"/>
    </i>
    <i r="2">
      <x v="30"/>
    </i>
    <i r="1">
      <x v="9"/>
      <x v="1"/>
    </i>
    <i r="2">
      <x v="47"/>
    </i>
    <i r="1">
      <x v="11"/>
      <x v="3"/>
    </i>
    <i r="2">
      <x v="28"/>
    </i>
    <i r="1">
      <x v="13"/>
      <x v="24"/>
    </i>
    <i r="2">
      <x v="38"/>
    </i>
    <i r="2">
      <x v="44"/>
    </i>
    <i r="2">
      <x v="50"/>
    </i>
    <i r="1">
      <x v="17"/>
      <x v="2"/>
    </i>
    <i r="2">
      <x v="36"/>
    </i>
    <i r="2">
      <x v="39"/>
    </i>
    <i t="blank">
      <x v="4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49">
      <pivotArea field="2" type="button" dataOnly="0" labelOnly="1" outline="0" axis="axisRow" fieldPosition="0"/>
    </format>
    <format dxfId="648">
      <pivotArea outline="0" fieldPosition="0">
        <references count="1">
          <reference field="4294967294" count="1">
            <x v="0"/>
          </reference>
        </references>
      </pivotArea>
    </format>
    <format dxfId="647">
      <pivotArea outline="0" fieldPosition="0">
        <references count="1">
          <reference field="4294967294" count="1">
            <x v="1"/>
          </reference>
        </references>
      </pivotArea>
    </format>
    <format dxfId="646">
      <pivotArea outline="0" fieldPosition="0">
        <references count="1">
          <reference field="4294967294" count="1">
            <x v="2"/>
          </reference>
        </references>
      </pivotArea>
    </format>
    <format dxfId="645">
      <pivotArea outline="0" fieldPosition="0">
        <references count="1">
          <reference field="4294967294" count="1">
            <x v="3"/>
          </reference>
        </references>
      </pivotArea>
    </format>
    <format dxfId="644">
      <pivotArea outline="0" fieldPosition="0">
        <references count="1">
          <reference field="4294967294" count="1">
            <x v="4"/>
          </reference>
        </references>
      </pivotArea>
    </format>
    <format dxfId="643">
      <pivotArea outline="0" fieldPosition="0">
        <references count="1">
          <reference field="4294967294" count="1">
            <x v="5"/>
          </reference>
        </references>
      </pivotArea>
    </format>
    <format dxfId="642">
      <pivotArea outline="0" fieldPosition="0">
        <references count="1">
          <reference field="4294967294" count="1">
            <x v="6"/>
          </reference>
        </references>
      </pivotArea>
    </format>
    <format dxfId="641">
      <pivotArea field="2" type="button" dataOnly="0" labelOnly="1" outline="0" axis="axisRow" fieldPosition="0"/>
    </format>
    <format dxfId="6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9">
      <pivotArea field="2" type="button" dataOnly="0" labelOnly="1" outline="0" axis="axisRow" fieldPosition="0"/>
    </format>
    <format dxfId="6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7">
      <pivotArea field="2" type="button" dataOnly="0" labelOnly="1" outline="0" axis="axisRow" fieldPosition="0"/>
    </format>
    <format dxfId="6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3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D1848C-5349-4050-9521-825B41452906}" name="pvt_S" cacheId="226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7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4">
        <item x="13"/>
        <item x="4"/>
        <item x="24"/>
        <item x="19"/>
        <item x="18"/>
        <item x="16"/>
        <item x="29"/>
        <item x="27"/>
        <item x="26"/>
        <item x="28"/>
        <item x="32"/>
        <item x="30"/>
        <item x="31"/>
        <item x="22"/>
        <item x="9"/>
        <item x="15"/>
        <item x="6"/>
        <item x="2"/>
        <item x="20"/>
        <item x="21"/>
        <item x="0"/>
        <item x="1"/>
        <item x="23"/>
        <item x="5"/>
        <item x="8"/>
        <item x="7"/>
        <item x="25"/>
        <item x="11"/>
        <item x="40"/>
        <item x="34"/>
        <item x="37"/>
        <item x="35"/>
        <item x="33"/>
        <item x="42"/>
        <item x="39"/>
        <item x="38"/>
        <item x="43"/>
        <item x="36"/>
        <item x="41"/>
        <item x="14"/>
        <item x="17"/>
        <item x="10"/>
        <item x="3"/>
        <item x="12"/>
      </items>
    </pivotField>
    <pivotField axis="axisRow" showAll="0" insertBlankRow="1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114">
        <item x="90"/>
        <item x="73"/>
        <item x="9"/>
        <item x="19"/>
        <item x="33"/>
        <item x="99"/>
        <item x="66"/>
        <item x="112"/>
        <item x="79"/>
        <item x="70"/>
        <item x="71"/>
        <item x="15"/>
        <item x="45"/>
        <item x="26"/>
        <item x="54"/>
        <item x="63"/>
        <item x="108"/>
        <item x="67"/>
        <item x="35"/>
        <item x="55"/>
        <item x="83"/>
        <item x="38"/>
        <item x="56"/>
        <item x="25"/>
        <item x="78"/>
        <item x="48"/>
        <item x="52"/>
        <item x="87"/>
        <item x="49"/>
        <item x="72"/>
        <item x="64"/>
        <item x="100"/>
        <item x="68"/>
        <item x="39"/>
        <item x="91"/>
        <item x="92"/>
        <item x="27"/>
        <item x="101"/>
        <item x="93"/>
        <item x="102"/>
        <item x="111"/>
        <item x="65"/>
        <item x="47"/>
        <item x="57"/>
        <item x="58"/>
        <item x="30"/>
        <item x="31"/>
        <item x="40"/>
        <item x="29"/>
        <item x="36"/>
        <item x="28"/>
        <item x="110"/>
        <item x="81"/>
        <item x="16"/>
        <item x="18"/>
        <item x="7"/>
        <item x="4"/>
        <item x="23"/>
        <item x="50"/>
        <item x="88"/>
        <item x="13"/>
        <item x="44"/>
        <item x="17"/>
        <item x="106"/>
        <item x="86"/>
        <item x="10"/>
        <item x="94"/>
        <item x="41"/>
        <item x="20"/>
        <item x="21"/>
        <item x="8"/>
        <item x="98"/>
        <item x="84"/>
        <item x="103"/>
        <item x="82"/>
        <item x="74"/>
        <item x="109"/>
        <item x="95"/>
        <item x="104"/>
        <item x="59"/>
        <item x="14"/>
        <item x="34"/>
        <item x="60"/>
        <item x="32"/>
        <item x="6"/>
        <item x="113"/>
        <item x="2"/>
        <item x="3"/>
        <item x="43"/>
        <item x="85"/>
        <item x="75"/>
        <item x="46"/>
        <item x="22"/>
        <item x="1"/>
        <item x="0"/>
        <item x="69"/>
        <item x="107"/>
        <item x="24"/>
        <item x="80"/>
        <item x="37"/>
        <item x="42"/>
        <item x="12"/>
        <item x="105"/>
        <item x="5"/>
        <item x="61"/>
        <item x="62"/>
        <item x="51"/>
        <item x="89"/>
        <item x="11"/>
        <item x="76"/>
        <item x="96"/>
        <item x="97"/>
        <item x="77"/>
        <item x="53"/>
      </items>
    </pivotField>
    <pivotField showAll="0" defaultSubtotal="0">
      <items count="113">
        <item x="88"/>
        <item x="112"/>
        <item x="102"/>
        <item x="86"/>
        <item x="68"/>
        <item x="85"/>
        <item x="7"/>
        <item x="58"/>
        <item x="80"/>
        <item x="97"/>
        <item x="71"/>
        <item x="83"/>
        <item x="59"/>
        <item x="106"/>
        <item x="87"/>
        <item x="111"/>
        <item x="3"/>
        <item x="35"/>
        <item x="13"/>
        <item x="110"/>
        <item x="69"/>
        <item x="73"/>
        <item x="89"/>
        <item x="57"/>
        <item x="65"/>
        <item x="50"/>
        <item x="18"/>
        <item x="36"/>
        <item x="42"/>
        <item x="45"/>
        <item x="100"/>
        <item x="60"/>
        <item x="23"/>
        <item x="76"/>
        <item x="43"/>
        <item x="12"/>
        <item x="103"/>
        <item x="72"/>
        <item x="39"/>
        <item x="99"/>
        <item x="19"/>
        <item x="74"/>
        <item x="108"/>
        <item x="79"/>
        <item x="90"/>
        <item x="98"/>
        <item x="78"/>
        <item x="104"/>
        <item x="61"/>
        <item x="75"/>
        <item x="82"/>
        <item x="4"/>
        <item x="11"/>
        <item x="84"/>
        <item x="37"/>
        <item x="16"/>
        <item x="2"/>
        <item x="56"/>
        <item x="49"/>
        <item x="53"/>
        <item x="105"/>
        <item x="51"/>
        <item x="93"/>
        <item x="92"/>
        <item x="48"/>
        <item x="32"/>
        <item x="109"/>
        <item x="31"/>
        <item x="26"/>
        <item x="38"/>
        <item x="67"/>
        <item x="52"/>
        <item x="6"/>
        <item x="22"/>
        <item x="81"/>
        <item x="47"/>
        <item x="40"/>
        <item x="77"/>
        <item x="10"/>
        <item x="24"/>
        <item x="8"/>
        <item x="66"/>
        <item x="25"/>
        <item x="95"/>
        <item x="63"/>
        <item x="94"/>
        <item x="27"/>
        <item x="15"/>
        <item x="91"/>
        <item x="70"/>
        <item x="14"/>
        <item x="9"/>
        <item x="107"/>
        <item x="55"/>
        <item x="17"/>
        <item x="44"/>
        <item x="30"/>
        <item x="46"/>
        <item x="0"/>
        <item x="96"/>
        <item x="20"/>
        <item x="21"/>
        <item x="29"/>
        <item x="41"/>
        <item x="101"/>
        <item x="64"/>
        <item x="33"/>
        <item x="28"/>
        <item x="54"/>
        <item x="1"/>
        <item x="34"/>
        <item x="5"/>
        <item x="62"/>
      </items>
    </pivotField>
    <pivotField axis="axisRow" showAll="0" defaultSubtotal="0">
      <items count="114">
        <item x="90"/>
        <item x="73"/>
        <item x="9"/>
        <item x="19"/>
        <item x="33"/>
        <item x="99"/>
        <item x="66"/>
        <item x="112"/>
        <item x="79"/>
        <item x="70"/>
        <item x="71"/>
        <item x="15"/>
        <item x="45"/>
        <item x="26"/>
        <item x="54"/>
        <item x="63"/>
        <item x="108"/>
        <item x="67"/>
        <item x="35"/>
        <item x="55"/>
        <item x="83"/>
        <item x="38"/>
        <item x="56"/>
        <item x="25"/>
        <item x="78"/>
        <item x="48"/>
        <item x="52"/>
        <item x="87"/>
        <item x="49"/>
        <item x="72"/>
        <item x="64"/>
        <item x="100"/>
        <item x="68"/>
        <item x="39"/>
        <item x="91"/>
        <item x="92"/>
        <item x="27"/>
        <item x="101"/>
        <item x="93"/>
        <item x="102"/>
        <item x="111"/>
        <item x="65"/>
        <item x="47"/>
        <item x="57"/>
        <item x="58"/>
        <item x="30"/>
        <item x="31"/>
        <item x="40"/>
        <item x="29"/>
        <item x="36"/>
        <item x="28"/>
        <item x="110"/>
        <item x="81"/>
        <item x="16"/>
        <item x="18"/>
        <item x="7"/>
        <item x="4"/>
        <item x="23"/>
        <item x="50"/>
        <item x="88"/>
        <item x="13"/>
        <item x="44"/>
        <item x="17"/>
        <item x="106"/>
        <item x="86"/>
        <item x="10"/>
        <item x="94"/>
        <item x="41"/>
        <item x="20"/>
        <item x="21"/>
        <item x="8"/>
        <item x="98"/>
        <item x="84"/>
        <item x="103"/>
        <item x="82"/>
        <item x="74"/>
        <item x="109"/>
        <item x="95"/>
        <item x="104"/>
        <item x="59"/>
        <item x="14"/>
        <item x="34"/>
        <item x="60"/>
        <item x="32"/>
        <item x="6"/>
        <item x="113"/>
        <item x="2"/>
        <item x="3"/>
        <item x="43"/>
        <item x="85"/>
        <item x="75"/>
        <item x="46"/>
        <item x="22"/>
        <item x="1"/>
        <item x="0"/>
        <item x="69"/>
        <item x="107"/>
        <item x="24"/>
        <item x="80"/>
        <item x="37"/>
        <item x="42"/>
        <item x="12"/>
        <item x="105"/>
        <item x="5"/>
        <item x="61"/>
        <item x="62"/>
        <item x="51"/>
        <item x="89"/>
        <item x="11"/>
        <item x="76"/>
        <item x="96"/>
        <item x="97"/>
        <item x="77"/>
        <item x="5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8">
        <item x="114"/>
        <item x="117"/>
        <item x="115"/>
        <item x="113"/>
        <item x="88"/>
        <item x="87"/>
        <item x="86"/>
        <item x="72"/>
        <item x="66"/>
        <item x="65"/>
        <item x="64"/>
        <item x="71"/>
        <item x="63"/>
        <item x="70"/>
        <item x="69"/>
        <item x="68"/>
        <item x="85"/>
        <item x="62"/>
        <item x="61"/>
        <item x="60"/>
        <item x="67"/>
        <item x="59"/>
        <item x="58"/>
        <item x="57"/>
        <item x="84"/>
        <item x="83"/>
        <item x="105"/>
        <item x="82"/>
        <item x="77"/>
        <item x="76"/>
        <item x="56"/>
        <item x="75"/>
        <item x="81"/>
        <item x="55"/>
        <item x="104"/>
        <item x="54"/>
        <item x="53"/>
        <item x="95"/>
        <item x="52"/>
        <item x="51"/>
        <item x="50"/>
        <item x="49"/>
        <item x="80"/>
        <item x="103"/>
        <item x="102"/>
        <item x="110"/>
        <item x="101"/>
        <item x="94"/>
        <item x="79"/>
        <item x="97"/>
        <item x="93"/>
        <item x="100"/>
        <item x="92"/>
        <item x="48"/>
        <item x="106"/>
        <item x="74"/>
        <item x="47"/>
        <item x="109"/>
        <item x="112"/>
        <item x="91"/>
        <item x="90"/>
        <item x="78"/>
        <item x="96"/>
        <item x="46"/>
        <item x="116"/>
        <item x="45"/>
        <item x="44"/>
        <item x="43"/>
        <item x="42"/>
        <item x="108"/>
        <item x="99"/>
        <item x="41"/>
        <item x="73"/>
        <item x="107"/>
        <item x="111"/>
        <item x="89"/>
        <item x="40"/>
        <item x="98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19"/>
        <item x="18"/>
        <item x="17"/>
        <item x="16"/>
        <item x="15"/>
        <item x="14"/>
        <item x="13"/>
        <item x="21"/>
        <item x="12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93">
        <item x="254"/>
        <item x="151"/>
        <item x="292"/>
        <item x="80"/>
        <item x="212"/>
        <item x="179"/>
        <item x="173"/>
        <item x="36"/>
        <item x="231"/>
        <item x="18"/>
        <item x="51"/>
        <item x="35"/>
        <item x="110"/>
        <item x="17"/>
        <item x="178"/>
        <item x="79"/>
        <item x="60"/>
        <item x="119"/>
        <item x="34"/>
        <item x="142"/>
        <item x="209"/>
        <item x="50"/>
        <item x="118"/>
        <item x="16"/>
        <item x="15"/>
        <item x="94"/>
        <item x="14"/>
        <item x="33"/>
        <item x="218"/>
        <item x="78"/>
        <item x="13"/>
        <item x="117"/>
        <item x="126"/>
        <item x="93"/>
        <item x="49"/>
        <item x="150"/>
        <item x="77"/>
        <item x="191"/>
        <item x="273"/>
        <item x="92"/>
        <item x="48"/>
        <item x="32"/>
        <item x="59"/>
        <item x="47"/>
        <item x="141"/>
        <item x="159"/>
        <item x="149"/>
        <item x="46"/>
        <item x="140"/>
        <item x="31"/>
        <item x="268"/>
        <item x="45"/>
        <item x="116"/>
        <item x="91"/>
        <item x="165"/>
        <item x="76"/>
        <item x="67"/>
        <item x="12"/>
        <item x="148"/>
        <item x="109"/>
        <item x="30"/>
        <item x="288"/>
        <item x="29"/>
        <item x="133"/>
        <item x="125"/>
        <item x="205"/>
        <item x="190"/>
        <item x="101"/>
        <item x="262"/>
        <item x="201"/>
        <item x="58"/>
        <item x="291"/>
        <item x="28"/>
        <item x="115"/>
        <item x="172"/>
        <item x="90"/>
        <item x="11"/>
        <item x="114"/>
        <item x="189"/>
        <item x="158"/>
        <item x="124"/>
        <item x="10"/>
        <item x="89"/>
        <item x="9"/>
        <item x="27"/>
        <item x="132"/>
        <item x="272"/>
        <item x="66"/>
        <item x="75"/>
        <item x="157"/>
        <item x="139"/>
        <item x="26"/>
        <item x="147"/>
        <item x="237"/>
        <item x="138"/>
        <item x="74"/>
        <item x="88"/>
        <item x="204"/>
        <item x="156"/>
        <item x="100"/>
        <item x="73"/>
        <item x="261"/>
        <item x="87"/>
        <item x="108"/>
        <item x="44"/>
        <item x="171"/>
        <item x="72"/>
        <item x="184"/>
        <item x="155"/>
        <item x="253"/>
        <item x="137"/>
        <item x="208"/>
        <item x="217"/>
        <item x="146"/>
        <item x="8"/>
        <item x="113"/>
        <item x="7"/>
        <item x="6"/>
        <item x="5"/>
        <item x="4"/>
        <item x="241"/>
        <item x="86"/>
        <item x="287"/>
        <item x="123"/>
        <item x="25"/>
        <item x="131"/>
        <item x="85"/>
        <item x="3"/>
        <item x="24"/>
        <item x="99"/>
        <item x="65"/>
        <item x="224"/>
        <item x="23"/>
        <item x="145"/>
        <item x="84"/>
        <item x="170"/>
        <item x="71"/>
        <item x="22"/>
        <item x="234"/>
        <item x="136"/>
        <item x="207"/>
        <item x="267"/>
        <item x="281"/>
        <item x="200"/>
        <item x="240"/>
        <item x="2"/>
        <item x="64"/>
        <item x="164"/>
        <item x="257"/>
        <item x="286"/>
        <item x="216"/>
        <item x="43"/>
        <item x="21"/>
        <item x="57"/>
        <item x="227"/>
        <item x="1"/>
        <item x="183"/>
        <item x="260"/>
        <item x="42"/>
        <item x="107"/>
        <item x="83"/>
        <item x="206"/>
        <item x="41"/>
        <item x="233"/>
        <item x="280"/>
        <item x="188"/>
        <item x="112"/>
        <item x="223"/>
        <item x="182"/>
        <item x="98"/>
        <item x="135"/>
        <item x="40"/>
        <item x="163"/>
        <item x="56"/>
        <item x="285"/>
        <item x="246"/>
        <item x="154"/>
        <item x="106"/>
        <item x="39"/>
        <item x="177"/>
        <item x="162"/>
        <item x="194"/>
        <item x="55"/>
        <item x="252"/>
        <item x="122"/>
        <item x="187"/>
        <item x="144"/>
        <item x="290"/>
        <item x="169"/>
        <item x="232"/>
        <item x="54"/>
        <item x="97"/>
        <item x="105"/>
        <item x="161"/>
        <item x="271"/>
        <item x="130"/>
        <item x="63"/>
        <item x="222"/>
        <item x="168"/>
        <item x="230"/>
        <item x="153"/>
        <item x="121"/>
        <item x="279"/>
        <item x="104"/>
        <item x="62"/>
        <item x="38"/>
        <item x="129"/>
        <item x="82"/>
        <item x="186"/>
        <item x="266"/>
        <item x="61"/>
        <item x="103"/>
        <item x="256"/>
        <item x="211"/>
        <item x="278"/>
        <item x="70"/>
        <item x="270"/>
        <item x="20"/>
        <item x="221"/>
        <item x="199"/>
        <item x="176"/>
        <item x="69"/>
        <item x="215"/>
        <item x="102"/>
        <item x="181"/>
        <item x="239"/>
        <item x="226"/>
        <item x="128"/>
        <item x="259"/>
        <item x="53"/>
        <item x="96"/>
        <item x="276"/>
        <item x="251"/>
        <item x="220"/>
        <item x="203"/>
        <item x="245"/>
        <item x="175"/>
        <item x="289"/>
        <item x="284"/>
        <item x="265"/>
        <item x="19"/>
        <item x="202"/>
        <item x="236"/>
        <item x="198"/>
        <item x="250"/>
        <item x="52"/>
        <item x="210"/>
        <item x="283"/>
        <item x="81"/>
        <item x="229"/>
        <item x="167"/>
        <item x="0"/>
        <item x="264"/>
        <item x="111"/>
        <item x="255"/>
        <item x="174"/>
        <item x="214"/>
        <item x="219"/>
        <item x="263"/>
        <item x="37"/>
        <item x="249"/>
        <item x="166"/>
        <item x="120"/>
        <item x="269"/>
        <item x="213"/>
        <item x="127"/>
        <item x="225"/>
        <item x="247"/>
        <item x="275"/>
        <item x="282"/>
        <item x="244"/>
        <item x="160"/>
        <item x="134"/>
        <item x="143"/>
        <item x="152"/>
        <item x="68"/>
        <item x="248"/>
        <item x="180"/>
        <item x="185"/>
        <item x="95"/>
        <item x="258"/>
        <item x="277"/>
        <item x="243"/>
        <item x="235"/>
        <item x="274"/>
        <item x="228"/>
        <item x="197"/>
        <item x="238"/>
        <item x="196"/>
        <item x="193"/>
        <item x="242"/>
        <item x="192"/>
        <item x="195"/>
      </items>
    </pivotField>
    <pivotField dataField="1" showAll="0" defaultSubtotal="0">
      <items count="102">
        <item x="63"/>
        <item x="75"/>
        <item x="49"/>
        <item x="77"/>
        <item x="65"/>
        <item x="67"/>
        <item x="51"/>
        <item x="56"/>
        <item x="66"/>
        <item x="69"/>
        <item x="58"/>
        <item x="64"/>
        <item x="35"/>
        <item x="68"/>
        <item x="76"/>
        <item x="84"/>
        <item x="55"/>
        <item x="61"/>
        <item x="62"/>
        <item x="36"/>
        <item x="60"/>
        <item x="52"/>
        <item x="50"/>
        <item x="59"/>
        <item x="53"/>
        <item x="81"/>
        <item x="57"/>
        <item x="54"/>
        <item x="92"/>
        <item x="88"/>
        <item x="83"/>
        <item x="74"/>
        <item x="82"/>
        <item x="72"/>
        <item x="34"/>
        <item x="87"/>
        <item x="37"/>
        <item x="73"/>
        <item x="79"/>
        <item x="80"/>
        <item x="48"/>
        <item x="94"/>
        <item x="98"/>
        <item x="93"/>
        <item x="91"/>
        <item x="46"/>
        <item x="89"/>
        <item x="95"/>
        <item x="99"/>
        <item x="47"/>
        <item x="9"/>
        <item x="71"/>
        <item x="101"/>
        <item x="97"/>
        <item x="44"/>
        <item x="43"/>
        <item x="78"/>
        <item x="45"/>
        <item x="86"/>
        <item x="32"/>
        <item x="42"/>
        <item x="30"/>
        <item x="41"/>
        <item x="19"/>
        <item x="29"/>
        <item x="96"/>
        <item x="70"/>
        <item x="40"/>
        <item x="38"/>
        <item x="100"/>
        <item x="85"/>
        <item x="39"/>
        <item x="31"/>
        <item x="17"/>
        <item x="33"/>
        <item x="90"/>
        <item x="26"/>
        <item x="28"/>
        <item x="14"/>
        <item x="15"/>
        <item x="13"/>
        <item x="27"/>
        <item x="21"/>
        <item x="25"/>
        <item x="23"/>
        <item x="24"/>
        <item x="18"/>
        <item x="22"/>
        <item x="8"/>
        <item x="16"/>
        <item x="10"/>
        <item x="12"/>
        <item x="4"/>
        <item x="11"/>
        <item x="20"/>
        <item x="7"/>
        <item x="6"/>
        <item x="5"/>
        <item x="3"/>
        <item x="2"/>
        <item x="1"/>
        <item x="0"/>
      </items>
    </pivotField>
    <pivotField dataField="1" showAll="0" defaultSubtotal="0">
      <items count="402">
        <item x="68"/>
        <item x="142"/>
        <item x="98"/>
        <item x="49"/>
        <item x="235"/>
        <item x="35"/>
        <item x="189"/>
        <item x="226"/>
        <item x="258"/>
        <item x="9"/>
        <item x="36"/>
        <item x="244"/>
        <item x="155"/>
        <item x="19"/>
        <item x="102"/>
        <item x="182"/>
        <item x="177"/>
        <item x="199"/>
        <item x="51"/>
        <item x="150"/>
        <item x="137"/>
        <item x="71"/>
        <item x="251"/>
        <item x="34"/>
        <item x="296"/>
        <item x="37"/>
        <item x="367"/>
        <item x="82"/>
        <item x="291"/>
        <item x="127"/>
        <item x="17"/>
        <item x="275"/>
        <item x="214"/>
        <item x="273"/>
        <item x="57"/>
        <item x="350"/>
        <item x="234"/>
        <item x="319"/>
        <item x="203"/>
        <item x="14"/>
        <item x="15"/>
        <item x="128"/>
        <item x="165"/>
        <item x="70"/>
        <item x="184"/>
        <item x="148"/>
        <item x="13"/>
        <item x="110"/>
        <item x="96"/>
        <item x="32"/>
        <item x="193"/>
        <item x="149"/>
        <item x="236"/>
        <item x="253"/>
        <item x="85"/>
        <item x="30"/>
        <item x="288"/>
        <item x="55"/>
        <item x="73"/>
        <item x="175"/>
        <item x="312"/>
        <item x="223"/>
        <item x="29"/>
        <item x="97"/>
        <item x="195"/>
        <item x="356"/>
        <item x="284"/>
        <item x="152"/>
        <item x="257"/>
        <item x="329"/>
        <item x="133"/>
        <item x="117"/>
        <item x="86"/>
        <item x="171"/>
        <item x="67"/>
        <item x="227"/>
        <item x="252"/>
        <item x="196"/>
        <item x="204"/>
        <item x="113"/>
        <item x="52"/>
        <item x="38"/>
        <item x="302"/>
        <item x="160"/>
        <item x="222"/>
        <item x="377"/>
        <item x="50"/>
        <item x="18"/>
        <item x="317"/>
        <item x="368"/>
        <item x="59"/>
        <item x="225"/>
        <item x="81"/>
        <item x="401"/>
        <item x="194"/>
        <item x="290"/>
        <item x="53"/>
        <item x="115"/>
        <item x="101"/>
        <item x="322"/>
        <item x="211"/>
        <item x="125"/>
        <item x="163"/>
        <item x="56"/>
        <item x="114"/>
        <item x="72"/>
        <item x="378"/>
        <item x="198"/>
        <item x="54"/>
        <item x="80"/>
        <item x="358"/>
        <item x="285"/>
        <item x="338"/>
        <item x="162"/>
        <item x="116"/>
        <item x="8"/>
        <item x="318"/>
        <item x="151"/>
        <item x="16"/>
        <item x="270"/>
        <item x="256"/>
        <item x="31"/>
        <item x="192"/>
        <item x="206"/>
        <item x="99"/>
        <item x="161"/>
        <item x="369"/>
        <item x="176"/>
        <item x="376"/>
        <item x="33"/>
        <item x="400"/>
        <item x="216"/>
        <item x="100"/>
        <item x="300"/>
        <item x="274"/>
        <item x="164"/>
        <item x="188"/>
        <item x="62"/>
        <item x="26"/>
        <item x="323"/>
        <item x="93"/>
        <item x="242"/>
        <item x="221"/>
        <item x="255"/>
        <item x="343"/>
        <item x="10"/>
        <item x="307"/>
        <item x="83"/>
        <item x="372"/>
        <item x="269"/>
        <item x="197"/>
        <item x="28"/>
        <item x="147"/>
        <item x="386"/>
        <item x="69"/>
        <item x="354"/>
        <item x="281"/>
        <item x="337"/>
        <item x="224"/>
        <item x="349"/>
        <item x="249"/>
        <item x="12"/>
        <item x="213"/>
        <item x="126"/>
        <item x="365"/>
        <item x="190"/>
        <item x="272"/>
        <item x="205"/>
        <item x="78"/>
        <item x="399"/>
        <item x="316"/>
        <item x="146"/>
        <item x="48"/>
        <item x="112"/>
        <item x="92"/>
        <item x="141"/>
        <item x="4"/>
        <item x="271"/>
        <item x="245"/>
        <item x="11"/>
        <item x="123"/>
        <item x="348"/>
        <item x="254"/>
        <item x="84"/>
        <item x="143"/>
        <item x="107"/>
        <item x="264"/>
        <item x="215"/>
        <item x="135"/>
        <item x="268"/>
        <item x="233"/>
        <item x="7"/>
        <item x="357"/>
        <item x="279"/>
        <item x="366"/>
        <item x="185"/>
        <item x="124"/>
        <item x="397"/>
        <item x="111"/>
        <item x="159"/>
        <item x="174"/>
        <item x="95"/>
        <item x="289"/>
        <item x="393"/>
        <item x="384"/>
        <item x="144"/>
        <item x="373"/>
        <item x="46"/>
        <item x="390"/>
        <item x="145"/>
        <item x="324"/>
        <item x="27"/>
        <item x="243"/>
        <item x="79"/>
        <item x="315"/>
        <item x="250"/>
        <item x="267"/>
        <item x="158"/>
        <item x="183"/>
        <item x="335"/>
        <item x="109"/>
        <item x="66"/>
        <item x="173"/>
        <item x="191"/>
        <item x="6"/>
        <item x="309"/>
        <item x="363"/>
        <item x="180"/>
        <item x="21"/>
        <item x="47"/>
        <item x="355"/>
        <item x="94"/>
        <item x="398"/>
        <item x="283"/>
        <item x="220"/>
        <item x="172"/>
        <item x="64"/>
        <item x="108"/>
        <item x="202"/>
        <item x="328"/>
        <item x="212"/>
        <item x="375"/>
        <item x="136"/>
        <item x="293"/>
        <item x="104"/>
        <item x="232"/>
        <item x="90"/>
        <item x="334"/>
        <item x="5"/>
        <item x="239"/>
        <item x="187"/>
        <item x="25"/>
        <item x="65"/>
        <item x="122"/>
        <item x="209"/>
        <item x="385"/>
        <item x="44"/>
        <item x="364"/>
        <item x="336"/>
        <item x="374"/>
        <item x="392"/>
        <item x="77"/>
        <item x="60"/>
        <item x="241"/>
        <item x="389"/>
        <item x="134"/>
        <item x="282"/>
        <item x="43"/>
        <item x="3"/>
        <item x="157"/>
        <item x="333"/>
        <item x="91"/>
        <item x="201"/>
        <item x="63"/>
        <item x="2"/>
        <item x="45"/>
        <item x="105"/>
        <item x="154"/>
        <item x="229"/>
        <item x="181"/>
        <item x="106"/>
        <item x="342"/>
        <item x="347"/>
        <item x="170"/>
        <item x="306"/>
        <item x="76"/>
        <item x="130"/>
        <item x="396"/>
        <item x="156"/>
        <item x="231"/>
        <item x="240"/>
        <item x="287"/>
        <item x="295"/>
        <item x="42"/>
        <item x="353"/>
        <item x="278"/>
        <item x="314"/>
        <item x="23"/>
        <item x="346"/>
        <item x="301"/>
        <item x="169"/>
        <item x="61"/>
        <item x="1"/>
        <item x="24"/>
        <item x="362"/>
        <item x="332"/>
        <item x="75"/>
        <item x="22"/>
        <item x="140"/>
        <item x="41"/>
        <item x="121"/>
        <item x="230"/>
        <item x="210"/>
        <item x="280"/>
        <item x="132"/>
        <item x="167"/>
        <item x="139"/>
        <item x="388"/>
        <item x="313"/>
        <item x="345"/>
        <item x="308"/>
        <item x="74"/>
        <item x="294"/>
        <item x="286"/>
        <item x="120"/>
        <item x="168"/>
        <item x="208"/>
        <item x="321"/>
        <item x="361"/>
        <item x="248"/>
        <item x="219"/>
        <item x="305"/>
        <item x="266"/>
        <item x="119"/>
        <item x="327"/>
        <item x="40"/>
        <item x="131"/>
        <item x="299"/>
        <item x="311"/>
        <item x="381"/>
        <item x="89"/>
        <item x="247"/>
        <item x="331"/>
        <item x="395"/>
        <item x="179"/>
        <item x="88"/>
        <item x="341"/>
        <item x="326"/>
        <item x="304"/>
        <item x="371"/>
        <item x="360"/>
        <item x="352"/>
        <item x="276"/>
        <item x="370"/>
        <item x="380"/>
        <item x="265"/>
        <item x="103"/>
        <item x="228"/>
        <item x="298"/>
        <item x="238"/>
        <item x="351"/>
        <item x="58"/>
        <item x="277"/>
        <item x="129"/>
        <item x="344"/>
        <item x="391"/>
        <item x="320"/>
        <item x="303"/>
        <item x="292"/>
        <item x="218"/>
        <item x="263"/>
        <item x="383"/>
        <item x="394"/>
        <item x="39"/>
        <item x="0"/>
        <item x="297"/>
        <item x="387"/>
        <item x="153"/>
        <item x="166"/>
        <item x="382"/>
        <item x="20"/>
        <item x="217"/>
        <item x="138"/>
        <item x="325"/>
        <item x="359"/>
        <item x="186"/>
        <item x="200"/>
        <item x="87"/>
        <item x="207"/>
        <item x="379"/>
        <item x="118"/>
        <item x="178"/>
        <item x="340"/>
        <item x="237"/>
        <item x="246"/>
        <item x="330"/>
        <item x="310"/>
        <item x="262"/>
        <item x="260"/>
        <item x="339"/>
        <item x="259"/>
        <item x="261"/>
      </items>
    </pivotField>
    <pivotField dataField="1" showAll="0" defaultSubtotal="0">
      <items count="71">
        <item x="52"/>
        <item x="38"/>
        <item x="39"/>
        <item x="56"/>
        <item x="54"/>
        <item x="59"/>
        <item x="43"/>
        <item x="40"/>
        <item x="58"/>
        <item x="60"/>
        <item x="37"/>
        <item x="57"/>
        <item x="41"/>
        <item x="55"/>
        <item x="42"/>
        <item x="63"/>
        <item x="44"/>
        <item x="62"/>
        <item x="48"/>
        <item x="46"/>
        <item x="49"/>
        <item x="51"/>
        <item x="61"/>
        <item x="64"/>
        <item x="53"/>
        <item x="25"/>
        <item x="50"/>
        <item x="66"/>
        <item x="68"/>
        <item x="70"/>
        <item x="67"/>
        <item x="69"/>
        <item x="65"/>
        <item x="47"/>
        <item x="1"/>
        <item x="45"/>
        <item x="24"/>
        <item x="23"/>
        <item x="3"/>
        <item x="22"/>
        <item x="28"/>
        <item x="20"/>
        <item x="36"/>
        <item x="5"/>
        <item x="26"/>
        <item x="32"/>
        <item x="29"/>
        <item x="2"/>
        <item x="16"/>
        <item x="12"/>
        <item x="0"/>
        <item x="35"/>
        <item x="11"/>
        <item x="27"/>
        <item x="33"/>
        <item x="18"/>
        <item x="6"/>
        <item x="30"/>
        <item x="31"/>
        <item x="34"/>
        <item x="10"/>
        <item x="7"/>
        <item x="21"/>
        <item x="4"/>
        <item x="14"/>
        <item x="13"/>
        <item x="15"/>
        <item x="17"/>
        <item x="19"/>
        <item x="8"/>
        <item x="9"/>
      </items>
    </pivotField>
    <pivotField dataField="1" showAll="0" defaultSubtotal="0">
      <items count="272">
        <item x="49"/>
        <item x="128"/>
        <item x="39"/>
        <item x="101"/>
        <item x="185"/>
        <item x="160"/>
        <item x="134"/>
        <item x="66"/>
        <item x="1"/>
        <item x="40"/>
        <item x="80"/>
        <item x="112"/>
        <item x="149"/>
        <item x="105"/>
        <item x="24"/>
        <item x="3"/>
        <item x="121"/>
        <item x="136"/>
        <item x="70"/>
        <item x="100"/>
        <item x="52"/>
        <item x="81"/>
        <item x="113"/>
        <item x="60"/>
        <item x="5"/>
        <item x="170"/>
        <item x="23"/>
        <item x="69"/>
        <item x="150"/>
        <item x="42"/>
        <item x="2"/>
        <item x="22"/>
        <item x="94"/>
        <item x="83"/>
        <item x="118"/>
        <item x="141"/>
        <item x="15"/>
        <item x="256"/>
        <item x="12"/>
        <item x="130"/>
        <item x="209"/>
        <item x="225"/>
        <item x="0"/>
        <item x="21"/>
        <item x="27"/>
        <item x="11"/>
        <item x="55"/>
        <item x="19"/>
        <item x="77"/>
        <item x="106"/>
        <item x="17"/>
        <item x="6"/>
        <item x="38"/>
        <item x="103"/>
        <item x="37"/>
        <item x="171"/>
        <item x="92"/>
        <item x="79"/>
        <item x="114"/>
        <item x="144"/>
        <item x="159"/>
        <item x="25"/>
        <item x="227"/>
        <item x="172"/>
        <item x="263"/>
        <item x="54"/>
        <item x="188"/>
        <item x="199"/>
        <item x="31"/>
        <item x="251"/>
        <item x="142"/>
        <item x="232"/>
        <item x="41"/>
        <item x="253"/>
        <item x="28"/>
        <item x="75"/>
        <item x="161"/>
        <item x="145"/>
        <item x="211"/>
        <item x="65"/>
        <item x="222"/>
        <item x="175"/>
        <item x="87"/>
        <item x="10"/>
        <item x="7"/>
        <item x="116"/>
        <item x="104"/>
        <item x="183"/>
        <item x="67"/>
        <item x="266"/>
        <item x="123"/>
        <item x="137"/>
        <item x="163"/>
        <item x="51"/>
        <item x="196"/>
        <item x="46"/>
        <item x="176"/>
        <item x="117"/>
        <item x="203"/>
        <item x="184"/>
        <item x="36"/>
        <item x="44"/>
        <item x="135"/>
        <item x="99"/>
        <item x="47"/>
        <item x="4"/>
        <item x="26"/>
        <item x="108"/>
        <item x="237"/>
        <item x="165"/>
        <item x="120"/>
        <item x="153"/>
        <item x="140"/>
        <item x="89"/>
        <item x="32"/>
        <item x="14"/>
        <item x="13"/>
        <item x="191"/>
        <item x="33"/>
        <item x="68"/>
        <item x="197"/>
        <item x="85"/>
        <item x="35"/>
        <item x="186"/>
        <item x="224"/>
        <item x="29"/>
        <item x="132"/>
        <item x="76"/>
        <item x="30"/>
        <item x="16"/>
        <item x="18"/>
        <item x="34"/>
        <item x="107"/>
        <item x="179"/>
        <item x="61"/>
        <item x="72"/>
        <item x="190"/>
        <item x="133"/>
        <item x="262"/>
        <item x="88"/>
        <item x="58"/>
        <item x="158"/>
        <item x="129"/>
        <item x="195"/>
        <item x="48"/>
        <item x="127"/>
        <item x="109"/>
        <item x="110"/>
        <item x="234"/>
        <item x="205"/>
        <item x="257"/>
        <item x="181"/>
        <item x="71"/>
        <item x="84"/>
        <item x="146"/>
        <item x="214"/>
        <item x="115"/>
        <item x="63"/>
        <item x="8"/>
        <item x="226"/>
        <item x="125"/>
        <item x="56"/>
        <item x="173"/>
        <item x="271"/>
        <item x="143"/>
        <item x="201"/>
        <item x="219"/>
        <item x="119"/>
        <item x="164"/>
        <item x="189"/>
        <item x="152"/>
        <item x="180"/>
        <item x="74"/>
        <item x="269"/>
        <item x="174"/>
        <item x="86"/>
        <item x="126"/>
        <item x="45"/>
        <item x="138"/>
        <item x="187"/>
        <item x="59"/>
        <item x="236"/>
        <item x="93"/>
        <item x="182"/>
        <item x="204"/>
        <item x="210"/>
        <item x="78"/>
        <item x="151"/>
        <item x="244"/>
        <item x="167"/>
        <item x="265"/>
        <item x="95"/>
        <item x="73"/>
        <item x="43"/>
        <item x="246"/>
        <item x="239"/>
        <item x="157"/>
        <item x="90"/>
        <item x="255"/>
        <item x="9"/>
        <item x="162"/>
        <item x="154"/>
        <item x="215"/>
        <item x="198"/>
        <item x="64"/>
        <item x="20"/>
        <item x="238"/>
        <item x="270"/>
        <item x="206"/>
        <item x="147"/>
        <item x="82"/>
        <item x="221"/>
        <item x="218"/>
        <item x="57"/>
        <item x="168"/>
        <item x="200"/>
        <item x="268"/>
        <item x="228"/>
        <item x="248"/>
        <item x="131"/>
        <item x="102"/>
        <item x="148"/>
        <item x="177"/>
        <item x="252"/>
        <item x="235"/>
        <item x="156"/>
        <item x="53"/>
        <item x="124"/>
        <item x="155"/>
        <item x="212"/>
        <item x="98"/>
        <item x="259"/>
        <item x="247"/>
        <item x="169"/>
        <item x="230"/>
        <item x="91"/>
        <item x="208"/>
        <item x="264"/>
        <item x="139"/>
        <item x="97"/>
        <item x="267"/>
        <item x="231"/>
        <item x="62"/>
        <item x="241"/>
        <item x="229"/>
        <item x="245"/>
        <item x="178"/>
        <item x="207"/>
        <item x="261"/>
        <item x="111"/>
        <item x="96"/>
        <item x="249"/>
        <item x="213"/>
        <item x="223"/>
        <item x="122"/>
        <item x="217"/>
        <item x="50"/>
        <item x="220"/>
        <item x="233"/>
        <item x="216"/>
        <item x="166"/>
        <item x="243"/>
        <item x="202"/>
        <item x="254"/>
        <item x="258"/>
        <item x="242"/>
        <item x="193"/>
        <item x="250"/>
        <item x="260"/>
        <item x="240"/>
        <item x="192"/>
        <item x="194"/>
      </items>
    </pivotField>
    <pivotField dataField="1" showAll="0" defaultSubtotal="0">
      <items count="8">
        <item x="0"/>
        <item x="6"/>
        <item x="5"/>
        <item x="7"/>
        <item x="2"/>
        <item x="4"/>
        <item x="3"/>
        <item x="1"/>
      </items>
    </pivotField>
  </pivotFields>
  <rowFields count="3">
    <field x="2"/>
    <field x="6"/>
    <field x="5"/>
  </rowFields>
  <rowItems count="1076">
    <i>
      <x/>
    </i>
    <i r="1">
      <x/>
      <x v="94"/>
    </i>
    <i r="1">
      <x v="1"/>
      <x v="93"/>
    </i>
    <i r="1">
      <x v="2"/>
      <x v="86"/>
    </i>
    <i r="1">
      <x v="3"/>
      <x v="87"/>
    </i>
    <i r="1">
      <x v="4"/>
      <x v="56"/>
    </i>
    <i r="1">
      <x v="5"/>
      <x v="103"/>
    </i>
    <i r="1">
      <x v="6"/>
      <x v="84"/>
    </i>
    <i r="1">
      <x v="7"/>
      <x v="55"/>
    </i>
    <i r="1">
      <x v="8"/>
      <x v="70"/>
    </i>
    <i r="1">
      <x v="9"/>
      <x v="2"/>
    </i>
    <i r="1">
      <x v="10"/>
      <x v="65"/>
    </i>
    <i r="1">
      <x v="11"/>
      <x v="108"/>
    </i>
    <i r="1">
      <x v="12"/>
      <x v="101"/>
    </i>
    <i r="1">
      <x v="13"/>
      <x v="60"/>
    </i>
    <i r="1">
      <x v="14"/>
      <x v="80"/>
    </i>
    <i r="1">
      <x v="15"/>
      <x v="11"/>
    </i>
    <i r="1">
      <x v="16"/>
      <x v="53"/>
    </i>
    <i r="1">
      <x v="17"/>
      <x v="62"/>
    </i>
    <i r="1">
      <x v="18"/>
      <x v="54"/>
    </i>
    <i r="1">
      <x v="19"/>
      <x v="3"/>
    </i>
    <i t="blank">
      <x/>
    </i>
    <i>
      <x v="1"/>
    </i>
    <i r="1">
      <x/>
      <x v="94"/>
    </i>
    <i r="1">
      <x v="1"/>
      <x v="70"/>
    </i>
    <i r="1">
      <x v="2"/>
      <x v="86"/>
    </i>
    <i r="1">
      <x v="3"/>
      <x v="103"/>
    </i>
    <i r="1">
      <x v="4"/>
      <x v="87"/>
    </i>
    <i r="1">
      <x v="5"/>
      <x v="93"/>
    </i>
    <i r="1">
      <x v="6"/>
      <x v="84"/>
    </i>
    <i r="1">
      <x v="7"/>
      <x v="56"/>
    </i>
    <i r="1">
      <x v="8"/>
      <x v="101"/>
    </i>
    <i r="1">
      <x v="9"/>
      <x v="65"/>
    </i>
    <i r="1">
      <x v="10"/>
      <x v="68"/>
    </i>
    <i r="1">
      <x v="11"/>
      <x v="80"/>
    </i>
    <i r="1">
      <x v="12"/>
      <x v="55"/>
    </i>
    <i r="1">
      <x v="13"/>
      <x v="60"/>
    </i>
    <i r="1">
      <x v="14"/>
      <x v="108"/>
    </i>
    <i r="1">
      <x v="15"/>
      <x v="69"/>
    </i>
    <i r="1">
      <x v="16"/>
      <x v="2"/>
    </i>
    <i r="1">
      <x v="17"/>
      <x v="3"/>
    </i>
    <i r="1">
      <x v="18"/>
      <x v="11"/>
    </i>
    <i r="1">
      <x v="19"/>
      <x v="92"/>
    </i>
    <i t="blank">
      <x v="1"/>
    </i>
    <i>
      <x v="2"/>
    </i>
    <i r="1">
      <x/>
      <x v="94"/>
    </i>
    <i r="1">
      <x v="1"/>
      <x v="87"/>
    </i>
    <i r="1">
      <x v="2"/>
      <x v="93"/>
    </i>
    <i r="1">
      <x v="3"/>
      <x v="84"/>
    </i>
    <i r="1">
      <x v="4"/>
      <x v="108"/>
    </i>
    <i r="1">
      <x v="5"/>
      <x v="56"/>
    </i>
    <i r="1">
      <x v="6"/>
      <x v="86"/>
    </i>
    <i r="1">
      <x v="7"/>
      <x v="65"/>
    </i>
    <i r="2">
      <x v="103"/>
    </i>
    <i r="1">
      <x v="9"/>
      <x v="55"/>
    </i>
    <i r="1">
      <x v="10"/>
      <x v="2"/>
    </i>
    <i r="1">
      <x v="11"/>
      <x v="57"/>
    </i>
    <i r="1">
      <x v="12"/>
      <x v="3"/>
    </i>
    <i r="2">
      <x v="80"/>
    </i>
    <i r="1">
      <x v="14"/>
      <x v="54"/>
    </i>
    <i r="1">
      <x v="15"/>
      <x v="101"/>
    </i>
    <i r="1">
      <x v="16"/>
      <x v="60"/>
    </i>
    <i r="1">
      <x v="17"/>
      <x v="11"/>
    </i>
    <i r="2">
      <x v="97"/>
    </i>
    <i r="1">
      <x v="19"/>
      <x v="70"/>
    </i>
    <i t="blank">
      <x v="2"/>
    </i>
    <i>
      <x v="3"/>
    </i>
    <i r="1">
      <x/>
      <x v="94"/>
    </i>
    <i r="1">
      <x v="1"/>
      <x v="23"/>
    </i>
    <i r="1">
      <x v="2"/>
      <x v="65"/>
    </i>
    <i r="2">
      <x v="86"/>
    </i>
    <i r="1">
      <x v="4"/>
      <x v="13"/>
    </i>
    <i r="1">
      <x v="5"/>
      <x v="56"/>
    </i>
    <i r="1">
      <x v="6"/>
      <x v="87"/>
    </i>
    <i r="2">
      <x v="93"/>
    </i>
    <i r="1">
      <x v="8"/>
      <x v="55"/>
    </i>
    <i r="1">
      <x v="9"/>
      <x v="103"/>
    </i>
    <i r="2">
      <x v="108"/>
    </i>
    <i r="1">
      <x v="11"/>
      <x v="57"/>
    </i>
    <i r="1">
      <x v="12"/>
      <x v="36"/>
    </i>
    <i r="2">
      <x v="84"/>
    </i>
    <i r="1">
      <x v="14"/>
      <x v="50"/>
    </i>
    <i r="2">
      <x v="60"/>
    </i>
    <i r="2">
      <x v="62"/>
    </i>
    <i r="1">
      <x v="17"/>
      <x v="48"/>
    </i>
    <i r="2">
      <x v="54"/>
    </i>
    <i r="2">
      <x v="92"/>
    </i>
    <i t="blank">
      <x v="3"/>
    </i>
    <i>
      <x v="4"/>
    </i>
    <i r="1">
      <x/>
      <x v="93"/>
    </i>
    <i r="1">
      <x v="1"/>
      <x v="87"/>
    </i>
    <i r="1">
      <x v="2"/>
      <x v="94"/>
    </i>
    <i r="1">
      <x v="3"/>
      <x v="56"/>
    </i>
    <i r="1">
      <x v="4"/>
      <x v="55"/>
    </i>
    <i r="2">
      <x v="103"/>
    </i>
    <i r="1">
      <x v="6"/>
      <x v="60"/>
    </i>
    <i r="2">
      <x v="84"/>
    </i>
    <i r="1">
      <x v="8"/>
      <x v="2"/>
    </i>
    <i r="2">
      <x v="45"/>
    </i>
    <i r="1">
      <x v="10"/>
      <x v="57"/>
    </i>
    <i r="1">
      <x v="11"/>
      <x v="54"/>
    </i>
    <i r="2">
      <x v="62"/>
    </i>
    <i r="2">
      <x v="70"/>
    </i>
    <i r="2">
      <x v="108"/>
    </i>
    <i r="1">
      <x v="15"/>
      <x v="92"/>
    </i>
    <i r="1">
      <x v="16"/>
      <x v="11"/>
    </i>
    <i r="2">
      <x v="86"/>
    </i>
    <i r="1">
      <x v="18"/>
      <x v="46"/>
    </i>
    <i r="2">
      <x v="65"/>
    </i>
    <i r="2">
      <x v="83"/>
    </i>
    <i t="blank">
      <x v="4"/>
    </i>
    <i>
      <x v="5"/>
    </i>
    <i r="1">
      <x/>
      <x v="94"/>
    </i>
    <i r="1">
      <x v="1"/>
      <x v="87"/>
    </i>
    <i r="1">
      <x v="2"/>
      <x v="103"/>
    </i>
    <i r="1">
      <x v="3"/>
      <x v="84"/>
    </i>
    <i r="2">
      <x v="93"/>
    </i>
    <i r="1">
      <x v="5"/>
      <x v="55"/>
    </i>
    <i r="1">
      <x v="6"/>
      <x v="56"/>
    </i>
    <i r="2">
      <x v="108"/>
    </i>
    <i r="1">
      <x v="8"/>
      <x v="101"/>
    </i>
    <i r="1">
      <x v="9"/>
      <x v="86"/>
    </i>
    <i r="1">
      <x v="10"/>
      <x v="60"/>
    </i>
    <i r="2">
      <x v="70"/>
    </i>
    <i r="1">
      <x v="12"/>
      <x v="2"/>
    </i>
    <i r="1">
      <x v="13"/>
      <x v="65"/>
    </i>
    <i r="1">
      <x v="14"/>
      <x v="54"/>
    </i>
    <i r="2">
      <x v="92"/>
    </i>
    <i r="1">
      <x v="16"/>
      <x v="62"/>
    </i>
    <i r="1">
      <x v="17"/>
      <x v="4"/>
    </i>
    <i r="2">
      <x v="68"/>
    </i>
    <i r="1">
      <x v="19"/>
      <x v="11"/>
    </i>
    <i t="blank">
      <x v="5"/>
    </i>
    <i>
      <x v="6"/>
    </i>
    <i r="1">
      <x/>
      <x v="94"/>
    </i>
    <i r="1">
      <x v="1"/>
      <x v="55"/>
    </i>
    <i r="1">
      <x v="2"/>
      <x v="86"/>
    </i>
    <i r="1">
      <x v="3"/>
      <x v="93"/>
    </i>
    <i r="1">
      <x v="4"/>
      <x v="56"/>
    </i>
    <i r="1">
      <x v="5"/>
      <x v="87"/>
    </i>
    <i r="1">
      <x v="6"/>
      <x v="103"/>
    </i>
    <i r="1">
      <x v="7"/>
      <x v="62"/>
    </i>
    <i r="1">
      <x v="8"/>
      <x v="101"/>
    </i>
    <i r="2">
      <x v="108"/>
    </i>
    <i r="1">
      <x v="10"/>
      <x v="84"/>
    </i>
    <i r="1">
      <x v="11"/>
      <x v="11"/>
    </i>
    <i r="2">
      <x v="65"/>
    </i>
    <i r="1">
      <x v="13"/>
      <x v="54"/>
    </i>
    <i r="1">
      <x v="14"/>
      <x v="53"/>
    </i>
    <i r="2">
      <x v="81"/>
    </i>
    <i r="1">
      <x v="16"/>
      <x v="2"/>
    </i>
    <i r="2">
      <x v="3"/>
    </i>
    <i r="2">
      <x v="70"/>
    </i>
    <i r="1">
      <x v="19"/>
      <x v="45"/>
    </i>
    <i t="blank">
      <x v="6"/>
    </i>
    <i>
      <x v="7"/>
    </i>
    <i r="1">
      <x/>
      <x v="94"/>
    </i>
    <i r="1">
      <x v="1"/>
      <x v="86"/>
    </i>
    <i r="1">
      <x v="2"/>
      <x v="87"/>
    </i>
    <i r="1">
      <x v="3"/>
      <x v="93"/>
    </i>
    <i r="1">
      <x v="4"/>
      <x v="81"/>
    </i>
    <i r="1">
      <x v="5"/>
      <x v="55"/>
    </i>
    <i r="2">
      <x v="56"/>
    </i>
    <i r="1">
      <x v="7"/>
      <x v="62"/>
    </i>
    <i r="1">
      <x v="8"/>
      <x v="2"/>
    </i>
    <i r="2">
      <x v="65"/>
    </i>
    <i r="1">
      <x v="10"/>
      <x v="108"/>
    </i>
    <i r="1">
      <x v="11"/>
      <x v="54"/>
    </i>
    <i r="2">
      <x v="84"/>
    </i>
    <i r="2">
      <x v="103"/>
    </i>
    <i r="1">
      <x v="14"/>
      <x v="57"/>
    </i>
    <i r="2">
      <x v="80"/>
    </i>
    <i r="1">
      <x v="16"/>
      <x v="11"/>
    </i>
    <i r="2">
      <x v="18"/>
    </i>
    <i r="2">
      <x v="49"/>
    </i>
    <i r="2">
      <x v="101"/>
    </i>
    <i t="blank">
      <x v="7"/>
    </i>
    <i>
      <x v="8"/>
    </i>
    <i r="1">
      <x/>
      <x v="94"/>
    </i>
    <i r="1">
      <x v="1"/>
      <x v="55"/>
    </i>
    <i r="1">
      <x v="2"/>
      <x v="93"/>
    </i>
    <i r="1">
      <x v="3"/>
      <x v="2"/>
    </i>
    <i r="2">
      <x v="62"/>
    </i>
    <i r="1">
      <x v="5"/>
      <x v="53"/>
    </i>
    <i r="1">
      <x v="6"/>
      <x v="54"/>
    </i>
    <i r="1">
      <x v="7"/>
      <x v="45"/>
    </i>
    <i r="2">
      <x v="103"/>
    </i>
    <i r="1">
      <x v="9"/>
      <x v="99"/>
    </i>
    <i r="1">
      <x v="10"/>
      <x v="84"/>
    </i>
    <i r="2">
      <x v="86"/>
    </i>
    <i r="1">
      <x v="12"/>
      <x v="57"/>
    </i>
    <i r="1">
      <x v="13"/>
      <x v="87"/>
    </i>
    <i r="2">
      <x v="108"/>
    </i>
    <i r="1">
      <x v="15"/>
      <x v="21"/>
    </i>
    <i r="1">
      <x v="16"/>
      <x v="3"/>
    </i>
    <i r="2">
      <x v="4"/>
    </i>
    <i r="2">
      <x v="11"/>
    </i>
    <i r="2">
      <x v="33"/>
    </i>
    <i r="2">
      <x v="47"/>
    </i>
    <i r="2">
      <x v="49"/>
    </i>
    <i r="2">
      <x v="65"/>
    </i>
    <i r="2">
      <x v="67"/>
    </i>
    <i r="2">
      <x v="81"/>
    </i>
    <i r="2">
      <x v="100"/>
    </i>
    <i t="blank">
      <x v="8"/>
    </i>
    <i>
      <x v="9"/>
    </i>
    <i r="1">
      <x/>
      <x v="94"/>
    </i>
    <i r="1">
      <x v="1"/>
      <x v="87"/>
    </i>
    <i r="1">
      <x v="2"/>
      <x v="86"/>
    </i>
    <i r="1">
      <x v="3"/>
      <x v="93"/>
    </i>
    <i r="1">
      <x v="4"/>
      <x v="56"/>
    </i>
    <i r="1">
      <x v="5"/>
      <x v="2"/>
    </i>
    <i r="1">
      <x v="6"/>
      <x v="55"/>
    </i>
    <i r="2">
      <x v="84"/>
    </i>
    <i r="1">
      <x v="8"/>
      <x v="65"/>
    </i>
    <i r="2">
      <x v="103"/>
    </i>
    <i r="1">
      <x v="10"/>
      <x v="108"/>
    </i>
    <i r="1">
      <x v="11"/>
      <x v="81"/>
    </i>
    <i r="1">
      <x v="12"/>
      <x v="11"/>
    </i>
    <i r="1">
      <x v="13"/>
      <x v="53"/>
    </i>
    <i r="1">
      <x v="14"/>
      <x v="60"/>
    </i>
    <i r="1">
      <x v="15"/>
      <x v="4"/>
    </i>
    <i r="2">
      <x v="62"/>
    </i>
    <i r="1">
      <x v="17"/>
      <x v="101"/>
    </i>
    <i r="1">
      <x v="18"/>
      <x v="83"/>
    </i>
    <i r="1">
      <x v="19"/>
      <x v="70"/>
    </i>
    <i t="blank">
      <x v="9"/>
    </i>
    <i>
      <x v="10"/>
    </i>
    <i r="1">
      <x/>
      <x v="94"/>
    </i>
    <i r="1">
      <x v="1"/>
      <x v="56"/>
    </i>
    <i r="1">
      <x v="2"/>
      <x v="2"/>
    </i>
    <i r="1">
      <x v="3"/>
      <x v="93"/>
    </i>
    <i r="1">
      <x v="4"/>
      <x v="103"/>
    </i>
    <i r="1">
      <x v="5"/>
      <x v="101"/>
    </i>
    <i r="1">
      <x v="6"/>
      <x v="84"/>
    </i>
    <i r="1">
      <x v="7"/>
      <x v="108"/>
    </i>
    <i r="1">
      <x v="8"/>
      <x v="4"/>
    </i>
    <i r="1">
      <x v="9"/>
      <x v="99"/>
    </i>
    <i r="1">
      <x v="10"/>
      <x v="55"/>
    </i>
    <i r="1">
      <x v="11"/>
      <x v="11"/>
    </i>
    <i r="2">
      <x v="53"/>
    </i>
    <i r="2">
      <x v="65"/>
    </i>
    <i r="2">
      <x v="97"/>
    </i>
    <i r="1">
      <x v="15"/>
      <x v="80"/>
    </i>
    <i r="2">
      <x v="83"/>
    </i>
    <i r="2">
      <x v="86"/>
    </i>
    <i r="1">
      <x v="18"/>
      <x v="50"/>
    </i>
    <i r="2">
      <x v="62"/>
    </i>
    <i r="2">
      <x v="70"/>
    </i>
    <i r="2">
      <x v="88"/>
    </i>
    <i r="2">
      <x v="100"/>
    </i>
    <i t="blank">
      <x v="10"/>
    </i>
    <i>
      <x v="11"/>
    </i>
    <i r="1">
      <x/>
      <x v="94"/>
    </i>
    <i r="1">
      <x v="1"/>
      <x v="56"/>
    </i>
    <i r="1">
      <x v="2"/>
      <x v="2"/>
    </i>
    <i r="2">
      <x v="93"/>
    </i>
    <i r="1">
      <x v="4"/>
      <x v="23"/>
    </i>
    <i r="2">
      <x v="108"/>
    </i>
    <i r="1">
      <x v="6"/>
      <x v="62"/>
    </i>
    <i r="1">
      <x v="7"/>
      <x v="55"/>
    </i>
    <i r="1">
      <x v="8"/>
      <x v="103"/>
    </i>
    <i r="1">
      <x v="9"/>
      <x v="84"/>
    </i>
    <i r="1">
      <x v="10"/>
      <x v="83"/>
    </i>
    <i r="1">
      <x v="11"/>
      <x v="61"/>
    </i>
    <i r="1">
      <x v="12"/>
      <x v="11"/>
    </i>
    <i r="2">
      <x v="65"/>
    </i>
    <i r="1">
      <x v="14"/>
      <x v="60"/>
    </i>
    <i r="1">
      <x v="15"/>
      <x v="92"/>
    </i>
    <i r="1">
      <x v="16"/>
      <x v="3"/>
    </i>
    <i r="2">
      <x v="87"/>
    </i>
    <i r="1">
      <x v="18"/>
      <x v="57"/>
    </i>
    <i r="2">
      <x v="80"/>
    </i>
    <i t="blank">
      <x v="11"/>
    </i>
    <i>
      <x v="12"/>
    </i>
    <i r="1">
      <x/>
      <x v="94"/>
    </i>
    <i r="1">
      <x v="1"/>
      <x v="93"/>
    </i>
    <i r="1">
      <x v="2"/>
      <x v="56"/>
    </i>
    <i r="1">
      <x v="3"/>
      <x v="103"/>
    </i>
    <i r="1">
      <x v="4"/>
      <x v="2"/>
    </i>
    <i r="1">
      <x v="5"/>
      <x v="84"/>
    </i>
    <i r="1">
      <x v="6"/>
      <x v="55"/>
    </i>
    <i r="1">
      <x v="7"/>
      <x v="86"/>
    </i>
    <i r="1">
      <x v="8"/>
      <x v="108"/>
    </i>
    <i r="1">
      <x v="9"/>
      <x v="60"/>
    </i>
    <i r="1">
      <x v="10"/>
      <x v="70"/>
    </i>
    <i r="1">
      <x v="11"/>
      <x v="11"/>
    </i>
    <i r="2">
      <x v="87"/>
    </i>
    <i r="1">
      <x v="13"/>
      <x v="62"/>
    </i>
    <i r="1">
      <x v="14"/>
      <x v="65"/>
    </i>
    <i r="2">
      <x v="80"/>
    </i>
    <i r="2">
      <x v="101"/>
    </i>
    <i r="1">
      <x v="17"/>
      <x v="54"/>
    </i>
    <i r="1">
      <x v="18"/>
      <x v="12"/>
    </i>
    <i r="1">
      <x v="19"/>
      <x v="3"/>
    </i>
    <i t="blank">
      <x v="12"/>
    </i>
    <i>
      <x v="13"/>
    </i>
    <i r="1">
      <x/>
      <x v="94"/>
    </i>
    <i r="1">
      <x v="1"/>
      <x v="65"/>
    </i>
    <i r="1">
      <x v="2"/>
      <x v="108"/>
    </i>
    <i r="1">
      <x v="3"/>
      <x v="56"/>
    </i>
    <i r="1">
      <x v="4"/>
      <x v="2"/>
    </i>
    <i r="2">
      <x v="55"/>
    </i>
    <i r="2">
      <x v="93"/>
    </i>
    <i r="2">
      <x v="103"/>
    </i>
    <i r="1">
      <x v="8"/>
      <x v="86"/>
    </i>
    <i r="1">
      <x v="9"/>
      <x v="101"/>
    </i>
    <i r="1">
      <x v="10"/>
      <x v="53"/>
    </i>
    <i r="2">
      <x v="60"/>
    </i>
    <i r="1">
      <x v="12"/>
      <x v="4"/>
    </i>
    <i r="2">
      <x v="11"/>
    </i>
    <i r="2">
      <x v="70"/>
    </i>
    <i r="1">
      <x v="15"/>
      <x v="84"/>
    </i>
    <i r="2">
      <x v="92"/>
    </i>
    <i r="1">
      <x v="17"/>
      <x v="57"/>
    </i>
    <i r="1">
      <x v="18"/>
      <x v="87"/>
    </i>
    <i r="1">
      <x v="19"/>
      <x v="88"/>
    </i>
    <i r="2">
      <x v="91"/>
    </i>
    <i t="blank">
      <x v="13"/>
    </i>
    <i>
      <x v="14"/>
    </i>
    <i r="1">
      <x/>
      <x v="94"/>
    </i>
    <i r="1">
      <x v="1"/>
      <x v="99"/>
    </i>
    <i r="1">
      <x v="2"/>
      <x v="55"/>
    </i>
    <i r="1">
      <x v="3"/>
      <x v="108"/>
    </i>
    <i r="1">
      <x v="4"/>
      <x v="65"/>
    </i>
    <i r="2">
      <x v="84"/>
    </i>
    <i r="1">
      <x v="6"/>
      <x v="54"/>
    </i>
    <i r="2">
      <x v="62"/>
    </i>
    <i r="1">
      <x v="8"/>
      <x v="2"/>
    </i>
    <i r="2">
      <x v="56"/>
    </i>
    <i r="1">
      <x v="10"/>
      <x v="87"/>
    </i>
    <i r="1">
      <x v="11"/>
      <x v="93"/>
    </i>
    <i r="2">
      <x v="101"/>
    </i>
    <i r="2">
      <x v="103"/>
    </i>
    <i r="1">
      <x v="14"/>
      <x v="3"/>
    </i>
    <i r="1">
      <x v="15"/>
      <x v="4"/>
    </i>
    <i r="2">
      <x v="97"/>
    </i>
    <i r="1">
      <x v="17"/>
      <x v="57"/>
    </i>
    <i r="2">
      <x v="86"/>
    </i>
    <i r="1">
      <x v="19"/>
      <x v="80"/>
    </i>
    <i t="blank">
      <x v="14"/>
    </i>
    <i>
      <x v="15"/>
    </i>
    <i r="1">
      <x/>
      <x v="94"/>
    </i>
    <i r="1">
      <x v="1"/>
      <x v="93"/>
    </i>
    <i r="1">
      <x v="2"/>
      <x v="55"/>
    </i>
    <i r="1">
      <x v="3"/>
      <x v="87"/>
    </i>
    <i r="1">
      <x v="4"/>
      <x v="23"/>
    </i>
    <i r="1">
      <x v="5"/>
      <x v="42"/>
    </i>
    <i r="2">
      <x v="103"/>
    </i>
    <i r="1">
      <x v="7"/>
      <x v="2"/>
    </i>
    <i r="2">
      <x v="56"/>
    </i>
    <i r="2">
      <x v="84"/>
    </i>
    <i r="1">
      <x v="10"/>
      <x v="62"/>
    </i>
    <i r="2">
      <x v="108"/>
    </i>
    <i r="1">
      <x v="12"/>
      <x v="11"/>
    </i>
    <i r="2">
      <x v="65"/>
    </i>
    <i r="2">
      <x v="86"/>
    </i>
    <i r="1">
      <x v="15"/>
      <x v="53"/>
    </i>
    <i r="1">
      <x v="16"/>
      <x v="57"/>
    </i>
    <i r="2">
      <x v="101"/>
    </i>
    <i r="1">
      <x v="18"/>
      <x v="60"/>
    </i>
    <i r="2">
      <x v="80"/>
    </i>
    <i r="2">
      <x v="83"/>
    </i>
    <i t="blank">
      <x v="15"/>
    </i>
    <i>
      <x v="16"/>
    </i>
    <i r="1">
      <x/>
      <x v="86"/>
    </i>
    <i r="1">
      <x v="1"/>
      <x v="94"/>
    </i>
    <i r="1">
      <x v="2"/>
      <x v="87"/>
    </i>
    <i r="1">
      <x v="3"/>
      <x v="55"/>
    </i>
    <i r="1">
      <x v="4"/>
      <x v="84"/>
    </i>
    <i r="1">
      <x v="5"/>
      <x v="70"/>
    </i>
    <i r="1">
      <x v="6"/>
      <x v="48"/>
    </i>
    <i r="1">
      <x v="7"/>
      <x v="93"/>
    </i>
    <i r="1">
      <x v="8"/>
      <x v="53"/>
    </i>
    <i r="2">
      <x v="65"/>
    </i>
    <i r="1">
      <x v="10"/>
      <x v="80"/>
    </i>
    <i r="1">
      <x v="11"/>
      <x v="56"/>
    </i>
    <i r="1">
      <x v="12"/>
      <x v="60"/>
    </i>
    <i r="2">
      <x v="88"/>
    </i>
    <i r="1">
      <x v="14"/>
      <x v="25"/>
    </i>
    <i r="2">
      <x v="103"/>
    </i>
    <i r="1">
      <x v="16"/>
      <x v="92"/>
    </i>
    <i r="1">
      <x v="17"/>
      <x v="2"/>
    </i>
    <i r="2">
      <x v="54"/>
    </i>
    <i r="1">
      <x v="19"/>
      <x v="68"/>
    </i>
    <i t="blank">
      <x v="16"/>
    </i>
    <i>
      <x v="17"/>
    </i>
    <i r="1">
      <x/>
      <x v="23"/>
    </i>
    <i r="1">
      <x v="1"/>
      <x v="94"/>
    </i>
    <i r="1">
      <x v="2"/>
      <x v="28"/>
    </i>
    <i r="1">
      <x v="3"/>
      <x v="93"/>
    </i>
    <i r="1">
      <x v="4"/>
      <x v="55"/>
    </i>
    <i r="1">
      <x v="5"/>
      <x v="108"/>
    </i>
    <i r="1">
      <x v="6"/>
      <x v="62"/>
    </i>
    <i r="1">
      <x v="7"/>
      <x v="103"/>
    </i>
    <i r="1">
      <x v="8"/>
      <x v="2"/>
    </i>
    <i r="1">
      <x v="9"/>
      <x v="53"/>
    </i>
    <i r="1">
      <x v="10"/>
      <x v="56"/>
    </i>
    <i r="1">
      <x v="11"/>
      <x v="99"/>
    </i>
    <i r="1">
      <x v="12"/>
      <x v="54"/>
    </i>
    <i r="2">
      <x v="61"/>
    </i>
    <i r="1">
      <x v="14"/>
      <x v="58"/>
    </i>
    <i r="2">
      <x v="84"/>
    </i>
    <i r="2">
      <x v="86"/>
    </i>
    <i r="1">
      <x v="17"/>
      <x v="60"/>
    </i>
    <i r="1">
      <x v="18"/>
      <x v="3"/>
    </i>
    <i r="1">
      <x v="19"/>
      <x v="4"/>
    </i>
    <i r="2">
      <x v="65"/>
    </i>
    <i r="2">
      <x v="80"/>
    </i>
    <i r="2">
      <x v="87"/>
    </i>
    <i t="blank">
      <x v="17"/>
    </i>
    <i>
      <x v="18"/>
    </i>
    <i r="1">
      <x/>
      <x v="94"/>
    </i>
    <i r="1">
      <x v="1"/>
      <x v="93"/>
    </i>
    <i r="1">
      <x v="2"/>
      <x v="53"/>
    </i>
    <i r="1">
      <x v="3"/>
      <x v="2"/>
    </i>
    <i r="2">
      <x v="56"/>
    </i>
    <i r="1">
      <x v="5"/>
      <x v="55"/>
    </i>
    <i r="1">
      <x v="6"/>
      <x v="84"/>
    </i>
    <i r="1">
      <x v="7"/>
      <x v="108"/>
    </i>
    <i r="1">
      <x v="8"/>
      <x v="65"/>
    </i>
    <i r="2">
      <x v="87"/>
    </i>
    <i r="1">
      <x v="10"/>
      <x v="60"/>
    </i>
    <i r="2">
      <x v="61"/>
    </i>
    <i r="1">
      <x v="12"/>
      <x v="62"/>
    </i>
    <i r="2">
      <x v="86"/>
    </i>
    <i r="2">
      <x v="103"/>
    </i>
    <i r="1">
      <x v="15"/>
      <x v="54"/>
    </i>
    <i r="2">
      <x v="81"/>
    </i>
    <i r="2">
      <x v="106"/>
    </i>
    <i r="1">
      <x v="18"/>
      <x v="11"/>
    </i>
    <i r="2">
      <x v="12"/>
    </i>
    <i r="2">
      <x v="26"/>
    </i>
    <i r="2">
      <x v="101"/>
    </i>
    <i t="blank">
      <x v="18"/>
    </i>
    <i>
      <x v="19"/>
    </i>
    <i r="1">
      <x/>
      <x v="94"/>
    </i>
    <i r="1">
      <x v="1"/>
      <x v="103"/>
    </i>
    <i r="1">
      <x v="2"/>
      <x v="93"/>
    </i>
    <i r="1">
      <x v="3"/>
      <x v="101"/>
    </i>
    <i r="1">
      <x v="4"/>
      <x v="56"/>
    </i>
    <i r="1">
      <x v="5"/>
      <x v="84"/>
    </i>
    <i r="1">
      <x v="6"/>
      <x v="80"/>
    </i>
    <i r="1">
      <x v="7"/>
      <x v="55"/>
    </i>
    <i r="1">
      <x v="8"/>
      <x v="65"/>
    </i>
    <i r="1">
      <x v="9"/>
      <x v="87"/>
    </i>
    <i r="1">
      <x v="10"/>
      <x v="2"/>
    </i>
    <i r="1">
      <x v="11"/>
      <x v="54"/>
    </i>
    <i r="1">
      <x v="12"/>
      <x v="11"/>
    </i>
    <i r="1">
      <x v="13"/>
      <x v="68"/>
    </i>
    <i r="2">
      <x v="86"/>
    </i>
    <i r="1">
      <x v="15"/>
      <x v="60"/>
    </i>
    <i r="1">
      <x v="16"/>
      <x v="83"/>
    </i>
    <i r="2">
      <x v="108"/>
    </i>
    <i r="1">
      <x v="18"/>
      <x v="57"/>
    </i>
    <i r="2">
      <x v="62"/>
    </i>
    <i r="2">
      <x v="70"/>
    </i>
    <i t="blank">
      <x v="19"/>
    </i>
    <i>
      <x v="20"/>
    </i>
    <i r="1">
      <x/>
      <x v="81"/>
    </i>
    <i r="1">
      <x v="1"/>
      <x v="53"/>
    </i>
    <i r="2">
      <x v="113"/>
    </i>
    <i r="1">
      <x v="3"/>
      <x v="14"/>
    </i>
    <i r="2">
      <x v="19"/>
    </i>
    <i r="2">
      <x v="22"/>
    </i>
    <i r="2">
      <x v="43"/>
    </i>
    <i r="2">
      <x v="44"/>
    </i>
    <i r="2">
      <x v="49"/>
    </i>
    <i r="2">
      <x v="54"/>
    </i>
    <i r="2">
      <x v="55"/>
    </i>
    <i r="2">
      <x v="65"/>
    </i>
    <i r="2">
      <x v="79"/>
    </i>
    <i r="2">
      <x v="82"/>
    </i>
    <i t="blank">
      <x v="20"/>
    </i>
    <i>
      <x v="21"/>
    </i>
    <i r="1">
      <x/>
      <x v="82"/>
    </i>
    <i r="1">
      <x v="1"/>
      <x v="81"/>
    </i>
    <i r="2">
      <x v="104"/>
    </i>
    <i r="1">
      <x v="3"/>
      <x v="105"/>
    </i>
    <i r="1">
      <x v="4"/>
      <x v="13"/>
    </i>
    <i r="2">
      <x v="62"/>
    </i>
    <i r="1">
      <x v="6"/>
      <x v="14"/>
    </i>
    <i r="2">
      <x v="15"/>
    </i>
    <i r="2">
      <x v="30"/>
    </i>
    <i r="2">
      <x v="55"/>
    </i>
    <i t="blank">
      <x v="21"/>
    </i>
    <i>
      <x v="22"/>
    </i>
    <i r="1">
      <x/>
      <x v="94"/>
    </i>
    <i r="1">
      <x v="1"/>
      <x v="93"/>
    </i>
    <i r="1">
      <x v="2"/>
      <x v="55"/>
    </i>
    <i r="2">
      <x v="56"/>
    </i>
    <i r="1">
      <x v="4"/>
      <x v="86"/>
    </i>
    <i r="2">
      <x v="108"/>
    </i>
    <i r="1">
      <x v="6"/>
      <x v="70"/>
    </i>
    <i r="1">
      <x v="7"/>
      <x v="23"/>
    </i>
    <i r="1">
      <x v="8"/>
      <x v="62"/>
    </i>
    <i r="1">
      <x v="9"/>
      <x v="4"/>
    </i>
    <i r="1">
      <x v="10"/>
      <x v="84"/>
    </i>
    <i r="2">
      <x v="101"/>
    </i>
    <i r="1">
      <x v="12"/>
      <x v="65"/>
    </i>
    <i r="2">
      <x v="87"/>
    </i>
    <i r="1">
      <x v="14"/>
      <x v="2"/>
    </i>
    <i r="2">
      <x v="80"/>
    </i>
    <i r="2">
      <x v="83"/>
    </i>
    <i r="2">
      <x v="97"/>
    </i>
    <i r="1">
      <x v="18"/>
      <x v="11"/>
    </i>
    <i r="2">
      <x v="103"/>
    </i>
    <i t="blank">
      <x v="22"/>
    </i>
    <i>
      <x v="23"/>
    </i>
    <i r="1">
      <x/>
      <x v="2"/>
    </i>
    <i r="2">
      <x v="53"/>
    </i>
    <i r="1">
      <x v="2"/>
      <x v="94"/>
    </i>
    <i r="1">
      <x v="3"/>
      <x v="55"/>
    </i>
    <i r="2">
      <x v="62"/>
    </i>
    <i r="2">
      <x v="93"/>
    </i>
    <i r="1">
      <x v="6"/>
      <x v="4"/>
    </i>
    <i r="2">
      <x v="81"/>
    </i>
    <i r="2">
      <x v="108"/>
    </i>
    <i r="1">
      <x v="9"/>
      <x v="3"/>
    </i>
    <i r="2">
      <x v="56"/>
    </i>
    <i r="2">
      <x v="84"/>
    </i>
    <i r="1">
      <x v="12"/>
      <x v="41"/>
    </i>
    <i r="2">
      <x v="49"/>
    </i>
    <i r="1">
      <x v="14"/>
      <x v="6"/>
    </i>
    <i r="2">
      <x v="11"/>
    </i>
    <i r="2">
      <x v="13"/>
    </i>
    <i r="2">
      <x v="17"/>
    </i>
    <i r="2">
      <x v="22"/>
    </i>
    <i r="2">
      <x v="32"/>
    </i>
    <i r="2">
      <x v="65"/>
    </i>
    <i t="blank">
      <x v="23"/>
    </i>
    <i>
      <x v="24"/>
    </i>
    <i r="1">
      <x/>
      <x v="56"/>
    </i>
    <i r="2">
      <x v="94"/>
    </i>
    <i r="1">
      <x v="2"/>
      <x v="55"/>
    </i>
    <i r="1">
      <x v="3"/>
      <x v="2"/>
    </i>
    <i r="2">
      <x v="62"/>
    </i>
    <i r="2">
      <x v="101"/>
    </i>
    <i r="1">
      <x v="6"/>
      <x v="65"/>
    </i>
    <i r="2">
      <x v="84"/>
    </i>
    <i r="2">
      <x v="95"/>
    </i>
    <i r="1">
      <x v="9"/>
      <x v="3"/>
    </i>
    <i r="2">
      <x v="60"/>
    </i>
    <i r="2">
      <x v="93"/>
    </i>
    <i r="1">
      <x v="12"/>
      <x v="9"/>
    </i>
    <i r="2">
      <x v="103"/>
    </i>
    <i r="1">
      <x v="14"/>
      <x v="54"/>
    </i>
    <i r="1">
      <x v="15"/>
      <x v="10"/>
    </i>
    <i r="2">
      <x v="23"/>
    </i>
    <i r="2">
      <x v="26"/>
    </i>
    <i r="2">
      <x v="29"/>
    </i>
    <i r="2">
      <x v="53"/>
    </i>
    <i r="2">
      <x v="57"/>
    </i>
    <i r="2">
      <x v="61"/>
    </i>
    <i r="2">
      <x v="70"/>
    </i>
    <i r="2">
      <x v="81"/>
    </i>
    <i r="2">
      <x v="83"/>
    </i>
    <i r="2">
      <x v="88"/>
    </i>
    <i r="2">
      <x v="100"/>
    </i>
    <i t="blank">
      <x v="24"/>
    </i>
    <i>
      <x v="25"/>
    </i>
    <i r="1">
      <x/>
      <x v="94"/>
    </i>
    <i r="1">
      <x v="1"/>
      <x v="56"/>
    </i>
    <i r="1">
      <x v="2"/>
      <x v="93"/>
    </i>
    <i r="2">
      <x v="108"/>
    </i>
    <i r="1">
      <x v="4"/>
      <x v="62"/>
    </i>
    <i r="2">
      <x v="84"/>
    </i>
    <i r="1">
      <x v="6"/>
      <x v="55"/>
    </i>
    <i r="1">
      <x v="7"/>
      <x v="11"/>
    </i>
    <i r="2">
      <x v="103"/>
    </i>
    <i r="1">
      <x v="9"/>
      <x v="61"/>
    </i>
    <i r="2">
      <x v="65"/>
    </i>
    <i r="1">
      <x v="11"/>
      <x v="45"/>
    </i>
    <i r="1">
      <x v="12"/>
      <x v="1"/>
    </i>
    <i r="2">
      <x v="3"/>
    </i>
    <i r="2">
      <x v="10"/>
    </i>
    <i r="2">
      <x v="53"/>
    </i>
    <i r="2">
      <x v="57"/>
    </i>
    <i r="2">
      <x v="113"/>
    </i>
    <i r="1">
      <x v="18"/>
      <x v="2"/>
    </i>
    <i r="2">
      <x v="13"/>
    </i>
    <i r="2">
      <x v="36"/>
    </i>
    <i r="2">
      <x v="75"/>
    </i>
    <i r="2">
      <x v="79"/>
    </i>
    <i r="2">
      <x v="83"/>
    </i>
    <i r="2">
      <x v="87"/>
    </i>
    <i r="2">
      <x v="90"/>
    </i>
    <i r="2">
      <x v="101"/>
    </i>
    <i r="2">
      <x v="106"/>
    </i>
    <i r="2">
      <x v="109"/>
    </i>
    <i r="2">
      <x v="112"/>
    </i>
    <i t="blank">
      <x v="25"/>
    </i>
    <i>
      <x v="26"/>
    </i>
    <i r="1">
      <x/>
      <x v="94"/>
    </i>
    <i r="1">
      <x v="1"/>
      <x v="55"/>
    </i>
    <i r="1">
      <x v="2"/>
      <x v="108"/>
    </i>
    <i r="1">
      <x v="3"/>
      <x v="60"/>
    </i>
    <i r="2">
      <x v="93"/>
    </i>
    <i r="1">
      <x v="5"/>
      <x v="2"/>
    </i>
    <i r="2">
      <x v="105"/>
    </i>
    <i r="1">
      <x v="7"/>
      <x v="56"/>
    </i>
    <i r="1">
      <x v="8"/>
      <x v="3"/>
    </i>
    <i r="2">
      <x v="9"/>
    </i>
    <i r="2">
      <x v="24"/>
    </i>
    <i r="2">
      <x v="53"/>
    </i>
    <i r="2">
      <x v="62"/>
    </i>
    <i r="2">
      <x v="65"/>
    </i>
    <i r="2">
      <x v="84"/>
    </i>
    <i r="1">
      <x v="15"/>
      <x v="4"/>
    </i>
    <i r="2">
      <x v="8"/>
    </i>
    <i r="2">
      <x v="11"/>
    </i>
    <i r="2">
      <x v="36"/>
    </i>
    <i r="2">
      <x v="54"/>
    </i>
    <i r="2">
      <x v="80"/>
    </i>
    <i r="2">
      <x v="101"/>
    </i>
    <i r="2">
      <x v="103"/>
    </i>
    <i r="2">
      <x v="112"/>
    </i>
    <i t="blank">
      <x v="26"/>
    </i>
    <i>
      <x v="27"/>
    </i>
    <i r="1">
      <x/>
      <x v="94"/>
    </i>
    <i r="1">
      <x v="1"/>
      <x v="62"/>
    </i>
    <i r="2">
      <x v="108"/>
    </i>
    <i r="1">
      <x v="3"/>
      <x v="53"/>
    </i>
    <i r="1">
      <x v="4"/>
      <x v="65"/>
    </i>
    <i r="1">
      <x v="5"/>
      <x v="2"/>
    </i>
    <i r="2">
      <x v="55"/>
    </i>
    <i r="2">
      <x v="93"/>
    </i>
    <i r="1">
      <x v="8"/>
      <x v="11"/>
    </i>
    <i r="2">
      <x v="48"/>
    </i>
    <i r="2">
      <x v="56"/>
    </i>
    <i r="2">
      <x v="57"/>
    </i>
    <i r="2">
      <x v="103"/>
    </i>
    <i r="1">
      <x v="13"/>
      <x v="45"/>
    </i>
    <i r="2">
      <x v="54"/>
    </i>
    <i r="2">
      <x v="86"/>
    </i>
    <i r="2">
      <x v="87"/>
    </i>
    <i r="1">
      <x v="17"/>
      <x v="23"/>
    </i>
    <i r="2">
      <x v="83"/>
    </i>
    <i r="2">
      <x v="101"/>
    </i>
    <i r="2">
      <x v="105"/>
    </i>
    <i t="blank">
      <x v="27"/>
    </i>
    <i>
      <x v="28"/>
    </i>
    <i r="1">
      <x/>
      <x v="93"/>
    </i>
    <i r="1">
      <x v="1"/>
      <x v="53"/>
    </i>
    <i r="1">
      <x v="2"/>
      <x v="55"/>
    </i>
    <i r="2">
      <x v="98"/>
    </i>
    <i r="1">
      <x v="4"/>
      <x v="2"/>
    </i>
    <i r="1">
      <x v="5"/>
      <x v="84"/>
    </i>
    <i r="1">
      <x v="6"/>
      <x v="70"/>
    </i>
    <i r="2">
      <x v="94"/>
    </i>
    <i r="2">
      <x v="103"/>
    </i>
    <i r="1">
      <x v="9"/>
      <x v="6"/>
    </i>
    <i r="2">
      <x v="11"/>
    </i>
    <i r="2">
      <x v="54"/>
    </i>
    <i r="2">
      <x v="57"/>
    </i>
    <i r="2">
      <x v="60"/>
    </i>
    <i r="2">
      <x v="83"/>
    </i>
    <i r="2">
      <x v="105"/>
    </i>
    <i r="2">
      <x v="108"/>
    </i>
    <i r="1">
      <x v="17"/>
      <x v="3"/>
    </i>
    <i r="2">
      <x v="46"/>
    </i>
    <i r="2">
      <x v="52"/>
    </i>
    <i r="2">
      <x v="61"/>
    </i>
    <i r="2">
      <x v="62"/>
    </i>
    <i r="2">
      <x v="65"/>
    </i>
    <i r="2">
      <x v="81"/>
    </i>
    <i r="2">
      <x v="92"/>
    </i>
    <i r="2">
      <x v="100"/>
    </i>
    <i t="blank">
      <x v="28"/>
    </i>
    <i>
      <x v="29"/>
    </i>
    <i r="1">
      <x/>
      <x v="94"/>
    </i>
    <i r="1">
      <x v="1"/>
      <x v="56"/>
    </i>
    <i r="1">
      <x v="2"/>
      <x v="2"/>
    </i>
    <i r="2">
      <x v="93"/>
    </i>
    <i r="1">
      <x v="4"/>
      <x v="84"/>
    </i>
    <i r="2">
      <x v="99"/>
    </i>
    <i r="1">
      <x v="6"/>
      <x v="53"/>
    </i>
    <i r="2">
      <x v="65"/>
    </i>
    <i r="1">
      <x v="8"/>
      <x v="54"/>
    </i>
    <i r="2">
      <x v="55"/>
    </i>
    <i r="2">
      <x v="103"/>
    </i>
    <i r="1">
      <x v="11"/>
      <x v="57"/>
    </i>
    <i r="2">
      <x v="62"/>
    </i>
    <i r="2">
      <x v="87"/>
    </i>
    <i r="2">
      <x v="108"/>
    </i>
    <i r="1">
      <x v="15"/>
      <x v="4"/>
    </i>
    <i r="1">
      <x v="16"/>
      <x v="11"/>
    </i>
    <i r="1">
      <x v="17"/>
      <x v="3"/>
    </i>
    <i r="2">
      <x v="58"/>
    </i>
    <i r="2">
      <x v="74"/>
    </i>
    <i r="2">
      <x v="81"/>
    </i>
    <i t="blank">
      <x v="29"/>
    </i>
    <i>
      <x v="30"/>
    </i>
    <i r="1">
      <x/>
      <x v="94"/>
    </i>
    <i r="1">
      <x v="1"/>
      <x v="86"/>
    </i>
    <i r="1">
      <x v="2"/>
      <x v="55"/>
    </i>
    <i r="2">
      <x v="65"/>
    </i>
    <i r="1">
      <x v="4"/>
      <x v="81"/>
    </i>
    <i r="2">
      <x v="87"/>
    </i>
    <i r="1">
      <x v="6"/>
      <x v="80"/>
    </i>
    <i r="2">
      <x v="108"/>
    </i>
    <i r="1">
      <x v="8"/>
      <x v="2"/>
    </i>
    <i r="2">
      <x v="6"/>
    </i>
    <i r="2">
      <x v="11"/>
    </i>
    <i r="2">
      <x v="54"/>
    </i>
    <i r="2">
      <x v="84"/>
    </i>
    <i r="2">
      <x v="93"/>
    </i>
    <i r="2">
      <x v="101"/>
    </i>
    <i r="2">
      <x v="103"/>
    </i>
    <i r="1">
      <x v="16"/>
      <x v="20"/>
    </i>
    <i r="2">
      <x v="56"/>
    </i>
    <i r="2">
      <x v="62"/>
    </i>
    <i r="2">
      <x v="72"/>
    </i>
    <i r="2">
      <x v="89"/>
    </i>
    <i t="blank">
      <x v="30"/>
    </i>
    <i>
      <x v="31"/>
    </i>
    <i r="1">
      <x/>
      <x v="81"/>
    </i>
    <i r="1">
      <x v="1"/>
      <x v="94"/>
    </i>
    <i r="1">
      <x v="2"/>
      <x v="87"/>
    </i>
    <i r="1">
      <x v="3"/>
      <x v="2"/>
    </i>
    <i r="1">
      <x v="4"/>
      <x v="53"/>
    </i>
    <i r="2">
      <x v="84"/>
    </i>
    <i r="1">
      <x v="6"/>
      <x v="93"/>
    </i>
    <i r="1">
      <x v="7"/>
      <x v="55"/>
    </i>
    <i r="2">
      <x v="86"/>
    </i>
    <i r="1">
      <x v="9"/>
      <x v="56"/>
    </i>
    <i r="2">
      <x v="57"/>
    </i>
    <i r="2">
      <x v="65"/>
    </i>
    <i r="2">
      <x v="99"/>
    </i>
    <i r="1">
      <x v="13"/>
      <x v="3"/>
    </i>
    <i r="2">
      <x v="11"/>
    </i>
    <i r="2">
      <x v="62"/>
    </i>
    <i r="2">
      <x v="82"/>
    </i>
    <i r="2">
      <x v="100"/>
    </i>
    <i r="1">
      <x v="18"/>
      <x v="54"/>
    </i>
    <i r="2">
      <x v="60"/>
    </i>
    <i r="2">
      <x v="61"/>
    </i>
    <i r="2">
      <x v="64"/>
    </i>
    <i r="2">
      <x v="80"/>
    </i>
    <i r="2">
      <x v="83"/>
    </i>
    <i r="2">
      <x v="88"/>
    </i>
    <i r="2">
      <x v="97"/>
    </i>
    <i r="2">
      <x v="108"/>
    </i>
    <i r="2">
      <x v="109"/>
    </i>
    <i t="blank">
      <x v="31"/>
    </i>
    <i>
      <x v="32"/>
    </i>
    <i r="1">
      <x/>
      <x v="81"/>
    </i>
    <i r="1">
      <x v="1"/>
      <x v="82"/>
    </i>
    <i r="1">
      <x v="2"/>
      <x v="98"/>
    </i>
    <i r="1">
      <x v="3"/>
      <x v="65"/>
    </i>
    <i r="2">
      <x v="88"/>
    </i>
    <i r="1">
      <x v="5"/>
      <x v="53"/>
    </i>
    <i r="2">
      <x v="84"/>
    </i>
    <i r="2">
      <x v="86"/>
    </i>
    <i r="1">
      <x v="8"/>
      <x v="2"/>
    </i>
    <i r="1">
      <x v="9"/>
      <x v="94"/>
    </i>
    <i r="1">
      <x v="10"/>
      <x v="55"/>
    </i>
    <i r="1">
      <x v="11"/>
      <x v="54"/>
    </i>
    <i r="2">
      <x v="83"/>
    </i>
    <i r="1">
      <x v="13"/>
      <x v="4"/>
    </i>
    <i r="2">
      <x v="87"/>
    </i>
    <i r="1">
      <x v="15"/>
      <x v="62"/>
    </i>
    <i r="1">
      <x v="16"/>
      <x v="72"/>
    </i>
    <i r="2">
      <x v="93"/>
    </i>
    <i r="2">
      <x v="97"/>
    </i>
    <i r="1">
      <x v="19"/>
      <x v="27"/>
    </i>
    <i r="2">
      <x v="47"/>
    </i>
    <i r="2">
      <x v="101"/>
    </i>
    <i r="2">
      <x v="103"/>
    </i>
    <i r="2">
      <x v="108"/>
    </i>
    <i t="blank">
      <x v="32"/>
    </i>
    <i>
      <x v="33"/>
    </i>
    <i r="1">
      <x/>
      <x v="25"/>
    </i>
    <i r="1">
      <x v="1"/>
      <x v="55"/>
    </i>
    <i r="1">
      <x v="2"/>
      <x v="2"/>
    </i>
    <i r="1">
      <x v="3"/>
      <x v="81"/>
    </i>
    <i r="2">
      <x v="104"/>
    </i>
    <i r="1">
      <x v="5"/>
      <x v="52"/>
    </i>
    <i r="2">
      <x v="59"/>
    </i>
    <i r="2">
      <x v="70"/>
    </i>
    <i r="2">
      <x v="82"/>
    </i>
    <i r="2">
      <x v="84"/>
    </i>
    <i r="2">
      <x v="98"/>
    </i>
    <i r="2">
      <x v="103"/>
    </i>
    <i r="2">
      <x v="107"/>
    </i>
    <i r="1">
      <x v="13"/>
      <x/>
    </i>
    <i r="2">
      <x v="1"/>
    </i>
    <i r="2">
      <x v="3"/>
    </i>
    <i r="2">
      <x v="34"/>
    </i>
    <i r="2">
      <x v="35"/>
    </i>
    <i r="2">
      <x v="38"/>
    </i>
    <i r="2">
      <x v="53"/>
    </i>
    <i r="2">
      <x v="60"/>
    </i>
    <i r="2">
      <x v="62"/>
    </i>
    <i r="2">
      <x v="64"/>
    </i>
    <i r="2">
      <x v="66"/>
    </i>
    <i r="2">
      <x v="77"/>
    </i>
    <i r="2">
      <x v="86"/>
    </i>
    <i r="2">
      <x v="90"/>
    </i>
    <i r="2">
      <x v="94"/>
    </i>
    <i r="2">
      <x v="99"/>
    </i>
    <i r="2">
      <x v="110"/>
    </i>
    <i r="2">
      <x v="111"/>
    </i>
    <i t="blank">
      <x v="33"/>
    </i>
    <i>
      <x v="34"/>
    </i>
    <i r="1">
      <x/>
      <x v="49"/>
    </i>
    <i r="1">
      <x v="1"/>
      <x v="2"/>
    </i>
    <i r="2">
      <x v="6"/>
    </i>
    <i r="2">
      <x v="53"/>
    </i>
    <i r="2">
      <x v="55"/>
    </i>
    <i r="2">
      <x v="88"/>
    </i>
    <i r="2">
      <x v="94"/>
    </i>
    <i r="1">
      <x v="7"/>
      <x v="32"/>
    </i>
    <i r="2">
      <x v="54"/>
    </i>
    <i r="2">
      <x v="62"/>
    </i>
    <i r="2">
      <x v="70"/>
    </i>
    <i r="2">
      <x v="71"/>
    </i>
    <i r="2">
      <x v="86"/>
    </i>
    <i r="2">
      <x v="87"/>
    </i>
    <i r="2">
      <x v="90"/>
    </i>
    <i r="2">
      <x v="93"/>
    </i>
    <i r="1">
      <x v="16"/>
      <x v="3"/>
    </i>
    <i r="2">
      <x v="4"/>
    </i>
    <i r="2">
      <x v="5"/>
    </i>
    <i r="2">
      <x v="11"/>
    </i>
    <i r="2">
      <x v="20"/>
    </i>
    <i r="2">
      <x v="24"/>
    </i>
    <i r="2">
      <x v="26"/>
    </i>
    <i r="2">
      <x v="31"/>
    </i>
    <i r="2">
      <x v="37"/>
    </i>
    <i r="2">
      <x v="39"/>
    </i>
    <i r="2">
      <x v="45"/>
    </i>
    <i r="2">
      <x v="60"/>
    </i>
    <i r="2">
      <x v="61"/>
    </i>
    <i r="2">
      <x v="65"/>
    </i>
    <i r="2">
      <x v="73"/>
    </i>
    <i r="2">
      <x v="78"/>
    </i>
    <i r="2">
      <x v="81"/>
    </i>
    <i r="2">
      <x v="92"/>
    </i>
    <i r="2">
      <x v="102"/>
    </i>
    <i r="2">
      <x v="104"/>
    </i>
    <i r="2">
      <x v="112"/>
    </i>
    <i t="blank">
      <x v="34"/>
    </i>
    <i>
      <x v="35"/>
    </i>
    <i r="1">
      <x/>
      <x v="55"/>
    </i>
    <i r="1">
      <x v="1"/>
      <x v="86"/>
    </i>
    <i r="1">
      <x v="2"/>
      <x v="53"/>
    </i>
    <i r="1">
      <x v="3"/>
      <x v="81"/>
    </i>
    <i r="1">
      <x v="4"/>
      <x v="87"/>
    </i>
    <i r="2">
      <x v="94"/>
    </i>
    <i r="1">
      <x v="6"/>
      <x v="93"/>
    </i>
    <i r="1">
      <x v="7"/>
      <x v="70"/>
    </i>
    <i r="2">
      <x v="88"/>
    </i>
    <i r="1">
      <x v="9"/>
      <x v="98"/>
    </i>
    <i r="1">
      <x v="10"/>
      <x v="84"/>
    </i>
    <i r="1">
      <x v="11"/>
      <x v="11"/>
    </i>
    <i r="2">
      <x v="52"/>
    </i>
    <i r="2">
      <x v="54"/>
    </i>
    <i r="2">
      <x v="83"/>
    </i>
    <i r="1">
      <x v="15"/>
      <x v="2"/>
    </i>
    <i r="2">
      <x v="62"/>
    </i>
    <i r="2">
      <x v="63"/>
    </i>
    <i r="2">
      <x v="65"/>
    </i>
    <i r="1">
      <x v="19"/>
      <x v="48"/>
    </i>
    <i r="2">
      <x v="80"/>
    </i>
    <i r="2">
      <x v="82"/>
    </i>
    <i r="2">
      <x v="101"/>
    </i>
    <i r="2">
      <x v="104"/>
    </i>
    <i r="2">
      <x v="108"/>
    </i>
    <i t="blank">
      <x v="35"/>
    </i>
    <i>
      <x v="36"/>
    </i>
    <i r="1">
      <x/>
      <x v="82"/>
    </i>
    <i r="1">
      <x v="1"/>
      <x v="94"/>
    </i>
    <i r="1">
      <x v="2"/>
      <x v="56"/>
    </i>
    <i r="1">
      <x v="3"/>
      <x v="25"/>
    </i>
    <i r="1">
      <x v="4"/>
      <x v="84"/>
    </i>
    <i r="2">
      <x v="97"/>
    </i>
    <i r="1">
      <x v="6"/>
      <x v="2"/>
    </i>
    <i r="2">
      <x v="65"/>
    </i>
    <i r="2">
      <x v="108"/>
    </i>
    <i r="1">
      <x v="9"/>
      <x v="55"/>
    </i>
    <i r="2">
      <x v="62"/>
    </i>
    <i r="2">
      <x v="98"/>
    </i>
    <i r="1">
      <x v="12"/>
      <x v="11"/>
    </i>
    <i r="2">
      <x v="53"/>
    </i>
    <i r="2">
      <x v="86"/>
    </i>
    <i r="2">
      <x v="93"/>
    </i>
    <i r="1">
      <x v="16"/>
      <x v="18"/>
    </i>
    <i r="2">
      <x v="49"/>
    </i>
    <i r="2">
      <x v="54"/>
    </i>
    <i r="2">
      <x v="81"/>
    </i>
    <i r="2">
      <x v="88"/>
    </i>
    <i r="2">
      <x v="96"/>
    </i>
    <i t="blank">
      <x v="36"/>
    </i>
    <i>
      <x v="37"/>
    </i>
    <i r="1">
      <x/>
      <x v="86"/>
    </i>
    <i r="1">
      <x v="1"/>
      <x v="94"/>
    </i>
    <i r="1">
      <x v="2"/>
      <x v="2"/>
    </i>
    <i r="2">
      <x v="53"/>
    </i>
    <i r="1">
      <x v="4"/>
      <x v="87"/>
    </i>
    <i r="1">
      <x v="5"/>
      <x v="16"/>
    </i>
    <i r="2">
      <x v="88"/>
    </i>
    <i r="1">
      <x v="7"/>
      <x v="55"/>
    </i>
    <i r="2">
      <x v="93"/>
    </i>
    <i r="1">
      <x v="9"/>
      <x v="81"/>
    </i>
    <i r="2">
      <x v="103"/>
    </i>
    <i r="2">
      <x v="108"/>
    </i>
    <i r="1">
      <x v="12"/>
      <x v="76"/>
    </i>
    <i r="1">
      <x v="13"/>
      <x v="11"/>
    </i>
    <i r="2">
      <x v="20"/>
    </i>
    <i r="2">
      <x v="32"/>
    </i>
    <i r="2">
      <x v="48"/>
    </i>
    <i r="2">
      <x v="57"/>
    </i>
    <i r="2">
      <x v="62"/>
    </i>
    <i r="2">
      <x v="65"/>
    </i>
    <i r="2">
      <x v="72"/>
    </i>
    <i r="2">
      <x v="84"/>
    </i>
    <i r="2">
      <x v="91"/>
    </i>
    <i t="blank">
      <x v="37"/>
    </i>
    <i>
      <x v="38"/>
    </i>
    <i r="1">
      <x/>
      <x v="70"/>
    </i>
    <i r="1">
      <x v="1"/>
      <x v="87"/>
    </i>
    <i r="1">
      <x v="2"/>
      <x v="94"/>
    </i>
    <i r="1">
      <x v="3"/>
      <x v="86"/>
    </i>
    <i r="1">
      <x v="4"/>
      <x v="2"/>
    </i>
    <i r="1">
      <x v="5"/>
      <x v="65"/>
    </i>
    <i r="2">
      <x v="84"/>
    </i>
    <i r="2">
      <x v="93"/>
    </i>
    <i r="2">
      <x v="108"/>
    </i>
    <i r="1">
      <x v="9"/>
      <x v="88"/>
    </i>
    <i r="1">
      <x v="10"/>
      <x v="55"/>
    </i>
    <i r="1">
      <x v="11"/>
      <x v="62"/>
    </i>
    <i r="2">
      <x v="83"/>
    </i>
    <i r="1">
      <x v="13"/>
      <x v="53"/>
    </i>
    <i r="2">
      <x v="56"/>
    </i>
    <i r="1">
      <x v="15"/>
      <x v="46"/>
    </i>
    <i r="1">
      <x v="16"/>
      <x v="52"/>
    </i>
    <i r="2">
      <x v="59"/>
    </i>
    <i r="2">
      <x v="90"/>
    </i>
    <i r="1">
      <x v="19"/>
      <x v="3"/>
    </i>
    <i r="2">
      <x v="18"/>
    </i>
    <i r="2">
      <x v="45"/>
    </i>
    <i r="2">
      <x v="51"/>
    </i>
    <i r="2">
      <x v="69"/>
    </i>
    <i r="2">
      <x v="80"/>
    </i>
    <i t="blank">
      <x v="38"/>
    </i>
    <i>
      <x v="39"/>
    </i>
    <i r="1">
      <x/>
      <x v="2"/>
    </i>
    <i r="2">
      <x v="94"/>
    </i>
    <i r="1">
      <x v="2"/>
      <x v="53"/>
    </i>
    <i r="1">
      <x v="3"/>
      <x v="55"/>
    </i>
    <i r="2">
      <x v="93"/>
    </i>
    <i r="1">
      <x v="5"/>
      <x v="86"/>
    </i>
    <i r="1">
      <x v="6"/>
      <x v="48"/>
    </i>
    <i r="2">
      <x v="62"/>
    </i>
    <i r="1">
      <x v="8"/>
      <x v="1"/>
    </i>
    <i r="2">
      <x v="56"/>
    </i>
    <i r="2">
      <x v="87"/>
    </i>
    <i r="1">
      <x v="11"/>
      <x v="60"/>
    </i>
    <i r="2">
      <x v="83"/>
    </i>
    <i r="2">
      <x v="84"/>
    </i>
    <i r="2">
      <x v="108"/>
    </i>
    <i r="1">
      <x v="15"/>
      <x v="3"/>
    </i>
    <i r="2">
      <x v="11"/>
    </i>
    <i r="2">
      <x v="16"/>
    </i>
    <i r="2">
      <x v="40"/>
    </i>
    <i r="2">
      <x v="45"/>
    </i>
    <i r="2">
      <x v="46"/>
    </i>
    <i r="2">
      <x v="65"/>
    </i>
    <i t="blank">
      <x v="39"/>
    </i>
    <i>
      <x v="40"/>
    </i>
    <i r="1">
      <x/>
      <x v="2"/>
    </i>
    <i r="1">
      <x v="1"/>
      <x v="55"/>
    </i>
    <i r="2">
      <x v="93"/>
    </i>
    <i r="1">
      <x v="3"/>
      <x v="94"/>
    </i>
    <i r="1">
      <x v="4"/>
      <x v="62"/>
    </i>
    <i r="1">
      <x v="5"/>
      <x v="53"/>
    </i>
    <i r="1">
      <x v="6"/>
      <x v="88"/>
    </i>
    <i r="1">
      <x v="7"/>
      <x v="56"/>
    </i>
    <i r="2">
      <x v="83"/>
    </i>
    <i r="2">
      <x v="108"/>
    </i>
    <i r="1">
      <x v="10"/>
      <x v="4"/>
    </i>
    <i r="2">
      <x v="18"/>
    </i>
    <i r="1">
      <x v="12"/>
      <x v="11"/>
    </i>
    <i r="2">
      <x v="49"/>
    </i>
    <i r="2">
      <x v="52"/>
    </i>
    <i r="1">
      <x v="15"/>
      <x v="3"/>
    </i>
    <i r="2">
      <x v="7"/>
    </i>
    <i r="2">
      <x v="16"/>
    </i>
    <i r="2">
      <x v="20"/>
    </i>
    <i r="2">
      <x v="33"/>
    </i>
    <i r="2">
      <x v="45"/>
    </i>
    <i r="2">
      <x v="84"/>
    </i>
    <i r="2">
      <x v="85"/>
    </i>
    <i r="2">
      <x v="86"/>
    </i>
    <i r="2">
      <x v="89"/>
    </i>
    <i r="2">
      <x v="90"/>
    </i>
    <i r="2">
      <x v="99"/>
    </i>
    <i r="2">
      <x v="103"/>
    </i>
    <i t="blank">
      <x v="40"/>
    </i>
    <i>
      <x v="41"/>
    </i>
    <i r="1">
      <x/>
      <x v="86"/>
    </i>
    <i r="1">
      <x v="1"/>
      <x v="53"/>
    </i>
    <i r="1">
      <x v="2"/>
      <x v="70"/>
    </i>
    <i r="1">
      <x v="3"/>
      <x v="83"/>
    </i>
    <i r="2">
      <x v="84"/>
    </i>
    <i r="2">
      <x v="87"/>
    </i>
    <i r="2">
      <x v="94"/>
    </i>
    <i r="1">
      <x v="7"/>
      <x v="55"/>
    </i>
    <i r="2">
      <x v="65"/>
    </i>
    <i r="1">
      <x v="9"/>
      <x v="88"/>
    </i>
    <i r="2">
      <x v="101"/>
    </i>
    <i r="2">
      <x v="108"/>
    </i>
    <i r="1">
      <x v="12"/>
      <x v="57"/>
    </i>
    <i r="2">
      <x v="62"/>
    </i>
    <i r="2">
      <x v="81"/>
    </i>
    <i r="2">
      <x v="93"/>
    </i>
    <i r="2">
      <x v="103"/>
    </i>
    <i r="1">
      <x v="17"/>
      <x v="2"/>
    </i>
    <i r="2">
      <x v="18"/>
    </i>
    <i r="2">
      <x v="54"/>
    </i>
    <i r="2">
      <x v="56"/>
    </i>
    <i r="2">
      <x v="100"/>
    </i>
    <i t="blank">
      <x v="41"/>
    </i>
    <i>
      <x v="42"/>
    </i>
    <i r="1">
      <x/>
      <x v="94"/>
    </i>
    <i r="1">
      <x v="1"/>
      <x v="70"/>
    </i>
    <i r="2">
      <x v="86"/>
    </i>
    <i r="2">
      <x v="101"/>
    </i>
    <i r="1">
      <x v="4"/>
      <x v="55"/>
    </i>
    <i r="1">
      <x v="5"/>
      <x v="53"/>
    </i>
    <i r="1">
      <x v="6"/>
      <x v="87"/>
    </i>
    <i r="1">
      <x v="7"/>
      <x v="88"/>
    </i>
    <i r="2">
      <x v="93"/>
    </i>
    <i r="1">
      <x v="9"/>
      <x v="3"/>
    </i>
    <i r="2">
      <x v="12"/>
    </i>
    <i r="2">
      <x v="62"/>
    </i>
    <i r="2">
      <x v="81"/>
    </i>
    <i r="1">
      <x v="13"/>
      <x v="2"/>
    </i>
    <i r="2">
      <x v="6"/>
    </i>
    <i r="2">
      <x v="11"/>
    </i>
    <i r="2">
      <x v="22"/>
    </i>
    <i r="2">
      <x v="54"/>
    </i>
    <i r="2">
      <x v="56"/>
    </i>
    <i r="2">
      <x v="57"/>
    </i>
    <i r="2">
      <x v="65"/>
    </i>
    <i r="2">
      <x v="84"/>
    </i>
    <i r="2">
      <x v="108"/>
    </i>
    <i t="blank">
      <x v="42"/>
    </i>
    <i>
      <x v="43"/>
    </i>
    <i r="1">
      <x/>
      <x v="81"/>
    </i>
    <i r="1">
      <x v="1"/>
      <x v="94"/>
    </i>
    <i r="1">
      <x v="2"/>
      <x v="65"/>
    </i>
    <i r="1">
      <x v="3"/>
      <x v="88"/>
    </i>
    <i r="1">
      <x v="4"/>
      <x v="84"/>
    </i>
    <i r="2">
      <x v="86"/>
    </i>
    <i r="2">
      <x v="87"/>
    </i>
    <i r="2">
      <x v="98"/>
    </i>
    <i r="1">
      <x v="8"/>
      <x v="53"/>
    </i>
    <i r="2">
      <x v="55"/>
    </i>
    <i r="2">
      <x v="62"/>
    </i>
    <i r="2">
      <x v="99"/>
    </i>
    <i r="1">
      <x v="12"/>
      <x v="93"/>
    </i>
    <i r="2">
      <x v="103"/>
    </i>
    <i r="1">
      <x v="14"/>
      <x v="20"/>
    </i>
    <i r="2">
      <x v="56"/>
    </i>
    <i r="2">
      <x v="108"/>
    </i>
    <i r="1">
      <x v="17"/>
      <x v="46"/>
    </i>
    <i r="2">
      <x v="48"/>
    </i>
    <i r="1">
      <x v="19"/>
      <x v="11"/>
    </i>
    <i r="2">
      <x v="25"/>
    </i>
    <i r="2">
      <x v="52"/>
    </i>
    <i r="2">
      <x v="57"/>
    </i>
    <i r="2">
      <x v="72"/>
    </i>
    <i r="2">
      <x v="83"/>
    </i>
    <i t="blank">
      <x v="4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32">
      <pivotArea field="2" type="button" dataOnly="0" labelOnly="1" outline="0" axis="axisRow" fieldPosition="0"/>
    </format>
    <format dxfId="631">
      <pivotArea outline="0" fieldPosition="0">
        <references count="1">
          <reference field="4294967294" count="1">
            <x v="0"/>
          </reference>
        </references>
      </pivotArea>
    </format>
    <format dxfId="630">
      <pivotArea outline="0" fieldPosition="0">
        <references count="1">
          <reference field="4294967294" count="1">
            <x v="1"/>
          </reference>
        </references>
      </pivotArea>
    </format>
    <format dxfId="629">
      <pivotArea outline="0" fieldPosition="0">
        <references count="1">
          <reference field="4294967294" count="1">
            <x v="2"/>
          </reference>
        </references>
      </pivotArea>
    </format>
    <format dxfId="628">
      <pivotArea outline="0" fieldPosition="0">
        <references count="1">
          <reference field="4294967294" count="1">
            <x v="3"/>
          </reference>
        </references>
      </pivotArea>
    </format>
    <format dxfId="627">
      <pivotArea outline="0" fieldPosition="0">
        <references count="1">
          <reference field="4294967294" count="1">
            <x v="4"/>
          </reference>
        </references>
      </pivotArea>
    </format>
    <format dxfId="626">
      <pivotArea outline="0" fieldPosition="0">
        <references count="1">
          <reference field="4294967294" count="1">
            <x v="5"/>
          </reference>
        </references>
      </pivotArea>
    </format>
    <format dxfId="625">
      <pivotArea outline="0" fieldPosition="0">
        <references count="1">
          <reference field="4294967294" count="1">
            <x v="6"/>
          </reference>
        </references>
      </pivotArea>
    </format>
    <format dxfId="624">
      <pivotArea field="2" type="button" dataOnly="0" labelOnly="1" outline="0" axis="axisRow" fieldPosition="0"/>
    </format>
    <format dxfId="6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2">
      <pivotArea field="2" type="button" dataOnly="0" labelOnly="1" outline="0" axis="axisRow" fieldPosition="0"/>
    </format>
    <format dxfId="6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0">
      <pivotArea field="2" type="button" dataOnly="0" labelOnly="1" outline="0" axis="axisRow" fieldPosition="0"/>
    </format>
    <format dxfId="6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6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6F5C2A-A0A9-4E1C-BC0A-CAE405B49013}" name="LTBL_46000" displayName="LTBL_46000" ref="B4:I20" totalsRowCount="1">
  <autoFilter ref="B4:I19" xr:uid="{F36F5C2A-A0A9-4E1C-BC0A-CAE405B49013}"/>
  <tableColumns count="8">
    <tableColumn id="9" xr3:uid="{887C378C-AF77-4336-AE9A-04C1A6B85355}" name="産業大分類" totalsRowLabel="合計" totalsRowDxfId="615"/>
    <tableColumn id="10" xr3:uid="{60B48426-B9C2-4D79-AE33-5FE7FF04E622}" name="総数／事業所数" totalsRowFunction="custom" totalsRowDxfId="614" dataCellStyle="桁区切り" totalsRowCellStyle="桁区切り">
      <totalsRowFormula>SUM(LTBL_46000[総数／事業所数])</totalsRowFormula>
    </tableColumn>
    <tableColumn id="11" xr3:uid="{47CBDE8B-E170-4D7E-B3F4-0F73DAE2CDEE}" name="総数／構成比" dataDxfId="613"/>
    <tableColumn id="12" xr3:uid="{49FDFD6E-29A0-4CF9-8A65-701ED197614D}" name="個人／事業所数" totalsRowFunction="sum" totalsRowDxfId="612" dataCellStyle="桁区切り" totalsRowCellStyle="桁区切り"/>
    <tableColumn id="13" xr3:uid="{9C622EF4-41EF-46A5-927D-1DE31EAADA88}" name="個人／構成比" dataDxfId="611"/>
    <tableColumn id="14" xr3:uid="{795E7514-846E-4E05-BFD3-AF76B058ACA1}" name="法人／事業所数" totalsRowFunction="sum" totalsRowDxfId="610" dataCellStyle="桁区切り" totalsRowCellStyle="桁区切り"/>
    <tableColumn id="15" xr3:uid="{800BA5BC-4177-4C4A-96A7-BC0DFBBEFB83}" name="法人／構成比" dataDxfId="609"/>
    <tableColumn id="16" xr3:uid="{050F4C35-4B16-42F0-81DB-6FAB76342883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DB70B7-CF35-4D34-A7E2-64E65A514526}" name="LTBL_46204" displayName="LTBL_46204" ref="B4:I20" totalsRowCount="1">
  <autoFilter ref="B4:I19" xr:uid="{5CDB70B7-CF35-4D34-A7E2-64E65A514526}"/>
  <tableColumns count="8">
    <tableColumn id="9" xr3:uid="{6CD7B6F2-9132-4A58-85F6-F620D56E7DF3}" name="産業大分類" totalsRowLabel="合計" totalsRowDxfId="573"/>
    <tableColumn id="10" xr3:uid="{CBC8368B-4EC1-4CAE-A692-53E5C64199BE}" name="総数／事業所数" totalsRowFunction="custom" totalsRowDxfId="572" dataCellStyle="桁区切り" totalsRowCellStyle="桁区切り">
      <totalsRowFormula>SUM(LTBL_46204[総数／事業所数])</totalsRowFormula>
    </tableColumn>
    <tableColumn id="11" xr3:uid="{BC3AC2C6-6F7F-4ECA-8E15-6F5976DE0459}" name="総数／構成比" dataDxfId="571"/>
    <tableColumn id="12" xr3:uid="{20508E56-7303-4354-9E68-553E68B196AD}" name="個人／事業所数" totalsRowFunction="sum" totalsRowDxfId="570" dataCellStyle="桁区切り" totalsRowCellStyle="桁区切り"/>
    <tableColumn id="13" xr3:uid="{00837A0A-1FD0-47B5-9F30-B9978C9B0967}" name="個人／構成比" dataDxfId="569"/>
    <tableColumn id="14" xr3:uid="{D043D456-4554-43C8-AB90-8E862ED23123}" name="法人／事業所数" totalsRowFunction="sum" totalsRowDxfId="568" dataCellStyle="桁区切り" totalsRowCellStyle="桁区切り"/>
    <tableColumn id="15" xr3:uid="{78CBEB65-0FE5-4201-9662-1BB054433489}" name="法人／構成比" dataDxfId="567"/>
    <tableColumn id="16" xr3:uid="{E152888F-B2B2-48BA-A8EE-5B7A40B2FF48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6FC20628-1643-4C91-ADC9-AA7001B9E423}" name="LTBL_46523" displayName="LTBL_46523" ref="B4:I20" totalsRowCount="1">
  <autoFilter ref="B4:I19" xr:uid="{6FC20628-1643-4C91-ADC9-AA7001B9E423}"/>
  <tableColumns count="8">
    <tableColumn id="9" xr3:uid="{7F3AA23E-0631-4BFD-A09E-BCFEABF5F34E}" name="産業大分類" totalsRowLabel="合計" totalsRowDxfId="153"/>
    <tableColumn id="10" xr3:uid="{90D99564-2637-496A-98E0-812653E4BEA1}" name="総数／事業所数" totalsRowFunction="custom" totalsRowDxfId="152" dataCellStyle="桁区切り" totalsRowCellStyle="桁区切り">
      <totalsRowFormula>SUM(LTBL_46523[総数／事業所数])</totalsRowFormula>
    </tableColumn>
    <tableColumn id="11" xr3:uid="{FABC825F-6D49-4A29-B547-B9BC0501DBCE}" name="総数／構成比" dataDxfId="151"/>
    <tableColumn id="12" xr3:uid="{1557B66B-C8BF-4B3D-9551-705BED74B064}" name="個人／事業所数" totalsRowFunction="sum" totalsRowDxfId="150" dataCellStyle="桁区切り" totalsRowCellStyle="桁区切り"/>
    <tableColumn id="13" xr3:uid="{4CDB8BEB-A12C-4FE1-BA6F-25CF1246F154}" name="個人／構成比" dataDxfId="149"/>
    <tableColumn id="14" xr3:uid="{C21E9596-CFEB-4489-B5C3-35D43451A1D0}" name="法人／事業所数" totalsRowFunction="sum" totalsRowDxfId="148" dataCellStyle="桁区切り" totalsRowCellStyle="桁区切り"/>
    <tableColumn id="15" xr3:uid="{19EEE189-56D1-459C-BE2A-049CD76AD970}" name="法人／構成比" dataDxfId="147"/>
    <tableColumn id="16" xr3:uid="{792F1CF8-130F-490E-A3DB-B012712A9B22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FC9B034-2DF2-4BD7-A295-EA141A559F7B}" name="M_TABLE_46523" displayName="M_TABLE_46523" ref="B23:I44" totalsRowShown="0">
  <autoFilter ref="B23:I44" xr:uid="{4FC9B034-2DF2-4BD7-A295-EA141A559F7B}"/>
  <tableColumns count="8">
    <tableColumn id="9" xr3:uid="{0BC8B1DE-816B-42BC-9CAE-4B936F34C45B}" name="産業中分類上位２０"/>
    <tableColumn id="10" xr3:uid="{32E83E88-7E56-4D9E-9EE8-BF47163E2846}" name="総数／事業所数" dataCellStyle="桁区切り"/>
    <tableColumn id="11" xr3:uid="{992CE920-F2B4-4F0C-BA7B-E9C0CEDF4647}" name="総数／構成比" dataDxfId="145"/>
    <tableColumn id="12" xr3:uid="{9CC60C68-1341-4F75-9E87-9C94DAB9CBEE}" name="個人／事業所数" dataCellStyle="桁区切り"/>
    <tableColumn id="13" xr3:uid="{2536C67A-A263-406B-9232-B14B9692E2F9}" name="個人／構成比" dataDxfId="144"/>
    <tableColumn id="14" xr3:uid="{1AD69B13-7EA4-4DB4-96CD-B233568B077C}" name="法人／事業所数" dataCellStyle="桁区切り"/>
    <tableColumn id="15" xr3:uid="{14C98266-A03F-4920-A338-A1A0E7F3BD81}" name="法人／構成比" dataDxfId="143"/>
    <tableColumn id="16" xr3:uid="{63CC0CC4-EC8E-465F-88C8-F3A5E746972D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F826455F-664A-4488-87D6-E5CF21470CD6}" name="S_TABLE_46523" displayName="S_TABLE_46523" ref="B47:I78" totalsRowShown="0">
  <autoFilter ref="B47:I78" xr:uid="{F826455F-664A-4488-87D6-E5CF21470CD6}"/>
  <tableColumns count="8">
    <tableColumn id="9" xr3:uid="{CC966CFF-C3AE-4DB4-BBEE-781264B336EB}" name="産業小分類上位２０"/>
    <tableColumn id="10" xr3:uid="{3B1B1F54-56C9-422A-99B6-1331D84A097A}" name="総数／事業所数" dataCellStyle="桁区切り"/>
    <tableColumn id="11" xr3:uid="{C11DAE41-4632-400D-8A3A-604060F9A830}" name="総数／構成比" dataDxfId="142"/>
    <tableColumn id="12" xr3:uid="{62CEC8A6-7315-4A64-A5A7-A5FB5F558A1E}" name="個人／事業所数" dataCellStyle="桁区切り"/>
    <tableColumn id="13" xr3:uid="{35A22178-CE99-49F0-B71B-7CBB357F6FAC}" name="個人／構成比" dataDxfId="141"/>
    <tableColumn id="14" xr3:uid="{B8CE319D-1EF7-4DD0-872A-3DE2A664C4C7}" name="法人／事業所数" dataCellStyle="桁区切り"/>
    <tableColumn id="15" xr3:uid="{E2918C2E-5A0C-4A15-81AC-DF1B7B4FE5A9}" name="法人／構成比" dataDxfId="140"/>
    <tableColumn id="16" xr3:uid="{F079E511-7FB7-4CE7-9E77-37EDABDB65BB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4DD17120-E246-4AFA-A209-EB1DD4C0D08E}" name="LTBL_46524" displayName="LTBL_46524" ref="B4:I20" totalsRowCount="1">
  <autoFilter ref="B4:I19" xr:uid="{4DD17120-E246-4AFA-A209-EB1DD4C0D08E}"/>
  <tableColumns count="8">
    <tableColumn id="9" xr3:uid="{6E831E0D-01F9-4861-8467-FCDDF2AD6D33}" name="産業大分類" totalsRowLabel="合計" totalsRowDxfId="139"/>
    <tableColumn id="10" xr3:uid="{0670CEC7-0968-4941-81BE-656F395B1563}" name="総数／事業所数" totalsRowFunction="custom" totalsRowDxfId="138" dataCellStyle="桁区切り" totalsRowCellStyle="桁区切り">
      <totalsRowFormula>SUM(LTBL_46524[総数／事業所数])</totalsRowFormula>
    </tableColumn>
    <tableColumn id="11" xr3:uid="{45B979E6-D2FF-4487-B309-1224976EB7C1}" name="総数／構成比" dataDxfId="137"/>
    <tableColumn id="12" xr3:uid="{5E7B99A8-6B5A-4624-8D42-61D01A3DBFBE}" name="個人／事業所数" totalsRowFunction="sum" totalsRowDxfId="136" dataCellStyle="桁区切り" totalsRowCellStyle="桁区切り"/>
    <tableColumn id="13" xr3:uid="{F0483272-C8B0-4E93-970A-4C64C7798A9A}" name="個人／構成比" dataDxfId="135"/>
    <tableColumn id="14" xr3:uid="{8AF82DEE-BEB4-4BF8-8D70-76BF04FD9B0A}" name="法人／事業所数" totalsRowFunction="sum" totalsRowDxfId="134" dataCellStyle="桁区切り" totalsRowCellStyle="桁区切り"/>
    <tableColumn id="15" xr3:uid="{5EE770EB-9999-455E-84A4-03473A32A6A6}" name="法人／構成比" dataDxfId="133"/>
    <tableColumn id="16" xr3:uid="{3A7A2D63-F361-4F7D-AA49-A0D1AF799819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82184A84-A58A-46C0-A3AD-1D58602AF4D4}" name="M_TABLE_46524" displayName="M_TABLE_46524" ref="B23:I45" totalsRowShown="0">
  <autoFilter ref="B23:I45" xr:uid="{82184A84-A58A-46C0-A3AD-1D58602AF4D4}"/>
  <tableColumns count="8">
    <tableColumn id="9" xr3:uid="{16A739C7-964D-4A9B-986C-38951B24A18B}" name="産業中分類上位２０"/>
    <tableColumn id="10" xr3:uid="{220F2ABB-92F6-4CAC-8A41-74EB4FA734D2}" name="総数／事業所数" dataCellStyle="桁区切り"/>
    <tableColumn id="11" xr3:uid="{7F1BC270-4348-4C64-BC8B-94ABD765CB7C}" name="総数／構成比" dataDxfId="131"/>
    <tableColumn id="12" xr3:uid="{3ECAA687-8D6E-4586-993C-8086494ECB61}" name="個人／事業所数" dataCellStyle="桁区切り"/>
    <tableColumn id="13" xr3:uid="{25896FBC-BC75-47A6-ACA6-B71190C6032D}" name="個人／構成比" dataDxfId="130"/>
    <tableColumn id="14" xr3:uid="{1FA3D2B5-8E3B-417F-8215-667FE93F2E1F}" name="法人／事業所数" dataCellStyle="桁区切り"/>
    <tableColumn id="15" xr3:uid="{05EA71C8-CA9C-4448-BB06-4E45DF888DDC}" name="法人／構成比" dataDxfId="129"/>
    <tableColumn id="16" xr3:uid="{47981FAD-5B21-403D-AC09-F6B2B1482C27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600D1BD8-A635-4828-8C70-F78AB694868A}" name="S_TABLE_46524" displayName="S_TABLE_46524" ref="B48:I85" totalsRowShown="0">
  <autoFilter ref="B48:I85" xr:uid="{600D1BD8-A635-4828-8C70-F78AB694868A}"/>
  <tableColumns count="8">
    <tableColumn id="9" xr3:uid="{4875D4B3-0592-4AA5-9629-6A379F13363C}" name="産業小分類上位２０"/>
    <tableColumn id="10" xr3:uid="{1021776B-D5BA-4C91-803F-95A688EED5C5}" name="総数／事業所数" dataCellStyle="桁区切り"/>
    <tableColumn id="11" xr3:uid="{A4513D5C-EA1C-42AD-9690-A69CF9955B46}" name="総数／構成比" dataDxfId="128"/>
    <tableColumn id="12" xr3:uid="{F5045241-92E0-4F42-9E52-BFF24B749EAB}" name="個人／事業所数" dataCellStyle="桁区切り"/>
    <tableColumn id="13" xr3:uid="{B0E35CCC-EF74-4DD5-8078-5FA235068429}" name="個人／構成比" dataDxfId="127"/>
    <tableColumn id="14" xr3:uid="{5FDD7939-1FD9-4007-A0D4-1FCBA5A07081}" name="法人／事業所数" dataCellStyle="桁区切り"/>
    <tableColumn id="15" xr3:uid="{897BA509-A627-489D-BFCB-217B18958B61}" name="法人／構成比" dataDxfId="126"/>
    <tableColumn id="16" xr3:uid="{3FAA2815-B6E6-4D7C-AA55-9AC065A7CD1B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A411C449-3BA6-4653-8594-6D9A98F91517}" name="LTBL_46525" displayName="LTBL_46525" ref="B4:I20" totalsRowCount="1">
  <autoFilter ref="B4:I19" xr:uid="{A411C449-3BA6-4653-8594-6D9A98F91517}"/>
  <tableColumns count="8">
    <tableColumn id="9" xr3:uid="{BD00199B-7A23-43FF-8C0F-73465B6C69B7}" name="産業大分類" totalsRowLabel="合計" totalsRowDxfId="125"/>
    <tableColumn id="10" xr3:uid="{1DF3C176-2811-4761-ABD0-1AEA909FF769}" name="総数／事業所数" totalsRowFunction="custom" totalsRowDxfId="124" dataCellStyle="桁区切り" totalsRowCellStyle="桁区切り">
      <totalsRowFormula>SUM(LTBL_46525[総数／事業所数])</totalsRowFormula>
    </tableColumn>
    <tableColumn id="11" xr3:uid="{76EC5E1A-C194-4194-8ADB-410C9EFB9E24}" name="総数／構成比" dataDxfId="123"/>
    <tableColumn id="12" xr3:uid="{C47600AE-78DE-4979-AEBD-2904AD39A0A8}" name="個人／事業所数" totalsRowFunction="sum" totalsRowDxfId="122" dataCellStyle="桁区切り" totalsRowCellStyle="桁区切り"/>
    <tableColumn id="13" xr3:uid="{CBFE3462-0063-4B9F-AC76-2BA7C1545CA7}" name="個人／構成比" dataDxfId="121"/>
    <tableColumn id="14" xr3:uid="{B6ACE09B-1F47-4890-9574-D3475A5E3FC2}" name="法人／事業所数" totalsRowFunction="sum" totalsRowDxfId="120" dataCellStyle="桁区切り" totalsRowCellStyle="桁区切り"/>
    <tableColumn id="15" xr3:uid="{72CF9299-483E-4890-BCAA-6FBBC80F2106}" name="法人／構成比" dataDxfId="119"/>
    <tableColumn id="16" xr3:uid="{01810C87-58BC-4DE4-8949-47B7FB87A5F7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2F01176A-E24F-49ED-9890-F07EB33B1C0F}" name="M_TABLE_46525" displayName="M_TABLE_46525" ref="B23:I47" totalsRowShown="0">
  <autoFilter ref="B23:I47" xr:uid="{2F01176A-E24F-49ED-9890-F07EB33B1C0F}"/>
  <tableColumns count="8">
    <tableColumn id="9" xr3:uid="{22A183FA-1366-4026-B341-04DF3F97C72C}" name="産業中分類上位２０"/>
    <tableColumn id="10" xr3:uid="{2DD78BED-F02C-43BB-863B-192E0823AA8F}" name="総数／事業所数" dataCellStyle="桁区切り"/>
    <tableColumn id="11" xr3:uid="{52130716-6462-4488-93DB-4DFC6C2DDD35}" name="総数／構成比" dataDxfId="117"/>
    <tableColumn id="12" xr3:uid="{88FDA3DD-237C-4E71-B912-B8BC11A16A5D}" name="個人／事業所数" dataCellStyle="桁区切り"/>
    <tableColumn id="13" xr3:uid="{3826BAA4-CAAE-482E-9A5E-CAFB2B557EA0}" name="個人／構成比" dataDxfId="116"/>
    <tableColumn id="14" xr3:uid="{D24FBED4-AA6D-4E92-97EC-AEC4A8F40603}" name="法人／事業所数" dataCellStyle="桁区切り"/>
    <tableColumn id="15" xr3:uid="{5AFF0126-3EA3-4094-862D-8EBFD62FB728}" name="法人／構成比" dataDxfId="115"/>
    <tableColumn id="16" xr3:uid="{B8B12D06-8D4A-409A-BFF1-0F22D60CB19C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7198190-2585-44BD-9877-E34397D77C2C}" name="S_TABLE_46525" displayName="S_TABLE_46525" ref="B50:I75" totalsRowShown="0">
  <autoFilter ref="B50:I75" xr:uid="{27198190-2585-44BD-9877-E34397D77C2C}"/>
  <tableColumns count="8">
    <tableColumn id="9" xr3:uid="{1C195EFE-E8F4-4248-9F1A-A86D6BE1C021}" name="産業小分類上位２０"/>
    <tableColumn id="10" xr3:uid="{F28A0010-E709-40CF-8B53-EB249C174886}" name="総数／事業所数" dataCellStyle="桁区切り"/>
    <tableColumn id="11" xr3:uid="{FFF5B58A-CC5F-4C44-BD9A-40C29F48D345}" name="総数／構成比" dataDxfId="114"/>
    <tableColumn id="12" xr3:uid="{51F41610-870C-45B2-8C96-326FDEDC5114}" name="個人／事業所数" dataCellStyle="桁区切り"/>
    <tableColumn id="13" xr3:uid="{E71D1E30-BA32-4DA3-B0F6-4D20DE936E71}" name="個人／構成比" dataDxfId="113"/>
    <tableColumn id="14" xr3:uid="{3C465D54-4C3B-4967-9AD7-E88D956ADD29}" name="法人／事業所数" dataCellStyle="桁区切り"/>
    <tableColumn id="15" xr3:uid="{4C93EA30-3B0D-4819-A1DB-193A2D984E0D}" name="法人／構成比" dataDxfId="112"/>
    <tableColumn id="16" xr3:uid="{786967E8-7460-447D-84AF-796F2F285458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40BE8507-19D2-415D-AF3D-A852B287E723}" name="LTBL_46527" displayName="LTBL_46527" ref="B4:I20" totalsRowCount="1">
  <autoFilter ref="B4:I19" xr:uid="{40BE8507-19D2-415D-AF3D-A852B287E723}"/>
  <tableColumns count="8">
    <tableColumn id="9" xr3:uid="{F9760092-738A-40EB-8A73-8C811D41715D}" name="産業大分類" totalsRowLabel="合計" totalsRowDxfId="111"/>
    <tableColumn id="10" xr3:uid="{95F23609-3D63-4D81-BF06-BE5D050F8FDA}" name="総数／事業所数" totalsRowFunction="custom" totalsRowDxfId="110" dataCellStyle="桁区切り" totalsRowCellStyle="桁区切り">
      <totalsRowFormula>SUM(LTBL_46527[総数／事業所数])</totalsRowFormula>
    </tableColumn>
    <tableColumn id="11" xr3:uid="{FE4F0735-947A-4208-9A6D-3CA7D4DC7D3D}" name="総数／構成比" dataDxfId="109"/>
    <tableColumn id="12" xr3:uid="{841C2B3C-3CCC-422B-AEC5-303B358D104F}" name="個人／事業所数" totalsRowFunction="sum" totalsRowDxfId="108" dataCellStyle="桁区切り" totalsRowCellStyle="桁区切り"/>
    <tableColumn id="13" xr3:uid="{D7FD3E2F-4C07-44EB-9E4E-C6D28824CE09}" name="個人／構成比" dataDxfId="107"/>
    <tableColumn id="14" xr3:uid="{258EC37E-078D-4061-A7CE-A0B78A08F6A0}" name="法人／事業所数" totalsRowFunction="sum" totalsRowDxfId="106" dataCellStyle="桁区切り" totalsRowCellStyle="桁区切り"/>
    <tableColumn id="15" xr3:uid="{0EBEEB14-F558-42D1-99A2-B315B4A6D20A}" name="法人／構成比" dataDxfId="105"/>
    <tableColumn id="16" xr3:uid="{89C45E6F-5178-4014-BF1C-11DA2A9BF134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C6F3FF-51DF-402F-B5B6-7667FD1FB491}" name="M_TABLE_46204" displayName="M_TABLE_46204" ref="B23:I44" totalsRowShown="0">
  <autoFilter ref="B23:I44" xr:uid="{DDC6F3FF-51DF-402F-B5B6-7667FD1FB491}"/>
  <tableColumns count="8">
    <tableColumn id="9" xr3:uid="{AEF79297-B8CD-4098-A786-DF3DA60D4073}" name="産業中分類上位２０"/>
    <tableColumn id="10" xr3:uid="{026EE849-FF04-44F9-8CDA-B9F30FE17973}" name="総数／事業所数" dataCellStyle="桁区切り"/>
    <tableColumn id="11" xr3:uid="{469C5672-BED2-44A9-B087-609E5ACD6570}" name="総数／構成比" dataDxfId="565"/>
    <tableColumn id="12" xr3:uid="{516E3A68-009D-4A6E-974D-4FF4571ACD69}" name="個人／事業所数" dataCellStyle="桁区切り"/>
    <tableColumn id="13" xr3:uid="{754AA412-4753-4DE4-A1F8-80A56CC23BEF}" name="個人／構成比" dataDxfId="564"/>
    <tableColumn id="14" xr3:uid="{0C03C30C-4758-49D1-AF72-E3176937FE21}" name="法人／事業所数" dataCellStyle="桁区切り"/>
    <tableColumn id="15" xr3:uid="{DBAF1B0B-A378-410C-BFD0-68EB66F03B14}" name="法人／構成比" dataDxfId="563"/>
    <tableColumn id="16" xr3:uid="{F59DB079-30D3-4E7A-A1FC-C2CAD96D17E1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D6A4350-397C-43DC-AD70-2D711552A630}" name="M_TABLE_46527" displayName="M_TABLE_46527" ref="B23:I45" totalsRowShown="0">
  <autoFilter ref="B23:I45" xr:uid="{DD6A4350-397C-43DC-AD70-2D711552A630}"/>
  <tableColumns count="8">
    <tableColumn id="9" xr3:uid="{A59B7C16-27EF-4789-8808-53EB47DD1A25}" name="産業中分類上位２０"/>
    <tableColumn id="10" xr3:uid="{ACDEA341-767D-4215-81AC-2B708C6F4F6A}" name="総数／事業所数" dataCellStyle="桁区切り"/>
    <tableColumn id="11" xr3:uid="{F24B3BE7-F2D4-4955-9EBF-9B6549E9A54A}" name="総数／構成比" dataDxfId="103"/>
    <tableColumn id="12" xr3:uid="{DF7B2C10-4472-4841-AD18-0FBCB82B8ED5}" name="個人／事業所数" dataCellStyle="桁区切り"/>
    <tableColumn id="13" xr3:uid="{06D941DE-03BB-4A7D-8BB8-BA94A2974160}" name="個人／構成比" dataDxfId="102"/>
    <tableColumn id="14" xr3:uid="{8ECEB0F2-C07D-4F31-9B5A-ED0641A5F5EB}" name="法人／事業所数" dataCellStyle="桁区切り"/>
    <tableColumn id="15" xr3:uid="{231468BE-651D-49C2-AE25-6E1D11EF841B}" name="法人／構成比" dataDxfId="101"/>
    <tableColumn id="16" xr3:uid="{1FDD155F-BA91-466D-955E-FE074A8C19F2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8E9404C-D8E2-42CD-8C60-D23C8B2A9B8D}" name="S_TABLE_46527" displayName="S_TABLE_46527" ref="B48:I70" totalsRowShown="0">
  <autoFilter ref="B48:I70" xr:uid="{18E9404C-D8E2-42CD-8C60-D23C8B2A9B8D}"/>
  <tableColumns count="8">
    <tableColumn id="9" xr3:uid="{91B871E2-D932-415B-9F24-DA6AC17D54C6}" name="産業小分類上位２０"/>
    <tableColumn id="10" xr3:uid="{E5CC8EED-6B88-4589-87AC-91B2A0A65842}" name="総数／事業所数" dataCellStyle="桁区切り"/>
    <tableColumn id="11" xr3:uid="{B9E33ADD-B951-45B6-8585-48979271AD05}" name="総数／構成比" dataDxfId="100"/>
    <tableColumn id="12" xr3:uid="{145620F1-0276-4D16-BF6F-97C3B824AA19}" name="個人／事業所数" dataCellStyle="桁区切り"/>
    <tableColumn id="13" xr3:uid="{F3E6C6A8-F679-446A-A849-CD2245D2739E}" name="個人／構成比" dataDxfId="99"/>
    <tableColumn id="14" xr3:uid="{06557393-0518-48B2-97CE-310B34CD091C}" name="法人／事業所数" dataCellStyle="桁区切り"/>
    <tableColumn id="15" xr3:uid="{FFA5BB7B-9C77-40F7-9C93-51F470AB9E1E}" name="法人／構成比" dataDxfId="98"/>
    <tableColumn id="16" xr3:uid="{DF53CFC4-B14A-4E55-AAB7-E19EEEC68C59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37A9D27A-49D3-440E-A166-1A515007DF1E}" name="LTBL_46529" displayName="LTBL_46529" ref="B4:I20" totalsRowCount="1">
  <autoFilter ref="B4:I19" xr:uid="{37A9D27A-49D3-440E-A166-1A515007DF1E}"/>
  <tableColumns count="8">
    <tableColumn id="9" xr3:uid="{E9B3AB78-B12D-47F8-A644-53B1445EF03F}" name="産業大分類" totalsRowLabel="合計" totalsRowDxfId="97"/>
    <tableColumn id="10" xr3:uid="{88207932-AC64-4CE0-8024-1F68F41D85A2}" name="総数／事業所数" totalsRowFunction="custom" totalsRowDxfId="96" dataCellStyle="桁区切り" totalsRowCellStyle="桁区切り">
      <totalsRowFormula>SUM(LTBL_46529[総数／事業所数])</totalsRowFormula>
    </tableColumn>
    <tableColumn id="11" xr3:uid="{9B152FF8-5ACB-413C-9154-7943E589A9B0}" name="総数／構成比" dataDxfId="95"/>
    <tableColumn id="12" xr3:uid="{0F3637DE-6426-4C08-A353-4312C4903A50}" name="個人／事業所数" totalsRowFunction="sum" totalsRowDxfId="94" dataCellStyle="桁区切り" totalsRowCellStyle="桁区切り"/>
    <tableColumn id="13" xr3:uid="{3E5655B9-D87B-4B70-B379-EC0F7EAD46D4}" name="個人／構成比" dataDxfId="93"/>
    <tableColumn id="14" xr3:uid="{2702351A-A55C-4E62-9C98-F1B864B05271}" name="法人／事業所数" totalsRowFunction="sum" totalsRowDxfId="92" dataCellStyle="桁区切り" totalsRowCellStyle="桁区切り"/>
    <tableColumn id="15" xr3:uid="{006D5AED-5E45-4792-9F51-9B1CBDC3097C}" name="法人／構成比" dataDxfId="91"/>
    <tableColumn id="16" xr3:uid="{85C6ADBF-FF94-4395-84B0-A6C01B98E225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B6A57DD-7185-49E9-9F66-4A42699436D6}" name="M_TABLE_46529" displayName="M_TABLE_46529" ref="B23:I43" totalsRowShown="0">
  <autoFilter ref="B23:I43" xr:uid="{BB6A57DD-7185-49E9-9F66-4A42699436D6}"/>
  <tableColumns count="8">
    <tableColumn id="9" xr3:uid="{6B9685A0-9334-43B6-8CF1-A50EC3E50DEA}" name="産業中分類上位２０"/>
    <tableColumn id="10" xr3:uid="{7FC9218C-F1D3-4159-BABF-02D97DB936A2}" name="総数／事業所数" dataCellStyle="桁区切り"/>
    <tableColumn id="11" xr3:uid="{5018907C-B469-4D06-9BC6-3BDD2884ECE7}" name="総数／構成比" dataDxfId="89"/>
    <tableColumn id="12" xr3:uid="{273A1C56-50DA-46FE-8B82-ABC496F9E46C}" name="個人／事業所数" dataCellStyle="桁区切り"/>
    <tableColumn id="13" xr3:uid="{26821D1F-5C89-4B6D-9901-E76C3E00843C}" name="個人／構成比" dataDxfId="88"/>
    <tableColumn id="14" xr3:uid="{6861C42E-E82B-4B3A-BBC4-053DCDFC680A}" name="法人／事業所数" dataCellStyle="桁区切り"/>
    <tableColumn id="15" xr3:uid="{A10B6E71-88CD-44B2-B0F2-110D318F11FA}" name="法人／構成比" dataDxfId="87"/>
    <tableColumn id="16" xr3:uid="{AE47774D-05BD-42A7-B978-49922CCB7DD1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2102E5E-99AC-40BE-B07E-3F96300B61AF}" name="S_TABLE_46529" displayName="S_TABLE_46529" ref="B46:I69" totalsRowShown="0">
  <autoFilter ref="B46:I69" xr:uid="{A2102E5E-99AC-40BE-B07E-3F96300B61AF}"/>
  <tableColumns count="8">
    <tableColumn id="9" xr3:uid="{0553EFE1-7B37-41BA-AF0B-ECCAE97800D6}" name="産業小分類上位２０"/>
    <tableColumn id="10" xr3:uid="{4E55E337-9B4C-4035-8F1D-232F86AC8599}" name="総数／事業所数" dataCellStyle="桁区切り"/>
    <tableColumn id="11" xr3:uid="{D2EC4954-73B0-4BFC-914B-7E2F5BD4E232}" name="総数／構成比" dataDxfId="86"/>
    <tableColumn id="12" xr3:uid="{24CAFB86-A23F-4146-B2BE-B38EAFF6A6C4}" name="個人／事業所数" dataCellStyle="桁区切り"/>
    <tableColumn id="13" xr3:uid="{398AE5D2-AFD2-45A2-89E9-8FB3C90A28CD}" name="個人／構成比" dataDxfId="85"/>
    <tableColumn id="14" xr3:uid="{34179EB2-78FE-419B-BBAA-80B8A10D3361}" name="法人／事業所数" dataCellStyle="桁区切り"/>
    <tableColumn id="15" xr3:uid="{07FDEDD1-D709-478F-BACC-3310E543FB9F}" name="法人／構成比" dataDxfId="84"/>
    <tableColumn id="16" xr3:uid="{F1C42897-604E-405C-8F9A-C91D1207675C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981A638-AAF8-4649-A799-A22157DB0C23}" name="LTBL_46530" displayName="LTBL_46530" ref="B4:I20" totalsRowCount="1">
  <autoFilter ref="B4:I19" xr:uid="{E981A638-AAF8-4649-A799-A22157DB0C23}"/>
  <tableColumns count="8">
    <tableColumn id="9" xr3:uid="{4895111F-F718-4B4A-BFE3-790640A74DEB}" name="産業大分類" totalsRowLabel="合計" totalsRowDxfId="83"/>
    <tableColumn id="10" xr3:uid="{F7088ED6-6A35-4DCC-9C73-279FC9FB9256}" name="総数／事業所数" totalsRowFunction="custom" totalsRowDxfId="82" dataCellStyle="桁区切り" totalsRowCellStyle="桁区切り">
      <totalsRowFormula>SUM(LTBL_46530[総数／事業所数])</totalsRowFormula>
    </tableColumn>
    <tableColumn id="11" xr3:uid="{E8806B1D-632F-4152-AA2F-06B8758EEF59}" name="総数／構成比" dataDxfId="81"/>
    <tableColumn id="12" xr3:uid="{922F4EA1-C8BB-43B4-8127-AB18491DB35B}" name="個人／事業所数" totalsRowFunction="sum" totalsRowDxfId="80" dataCellStyle="桁区切り" totalsRowCellStyle="桁区切り"/>
    <tableColumn id="13" xr3:uid="{5F6E30DA-6606-4BBA-8AAD-D31487AA4B23}" name="個人／構成比" dataDxfId="79"/>
    <tableColumn id="14" xr3:uid="{845A55D1-9300-4D06-B2AA-1DC05FE59555}" name="法人／事業所数" totalsRowFunction="sum" totalsRowDxfId="78" dataCellStyle="桁区切り" totalsRowCellStyle="桁区切り"/>
    <tableColumn id="15" xr3:uid="{7B2C7A23-75A5-4D34-8065-7B71F4B65978}" name="法人／構成比" dataDxfId="77"/>
    <tableColumn id="16" xr3:uid="{964B4C13-D873-4FF1-9BEF-721F5529A824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DAEDE798-9D91-4CFA-B3A6-A918C0D7228E}" name="M_TABLE_46530" displayName="M_TABLE_46530" ref="B23:I43" totalsRowShown="0">
  <autoFilter ref="B23:I43" xr:uid="{DAEDE798-9D91-4CFA-B3A6-A918C0D7228E}"/>
  <tableColumns count="8">
    <tableColumn id="9" xr3:uid="{53F1C731-6B32-4AA4-868B-2494A5D8DEBB}" name="産業中分類上位２０"/>
    <tableColumn id="10" xr3:uid="{DCCBC1DA-06CE-4E3E-B8B9-E0ED4EC80D9F}" name="総数／事業所数" dataCellStyle="桁区切り"/>
    <tableColumn id="11" xr3:uid="{F3407FEF-143F-481E-ACB5-8AE26ECF8482}" name="総数／構成比" dataDxfId="75"/>
    <tableColumn id="12" xr3:uid="{F7F60997-1159-4F9D-838F-B328E5CD4F4B}" name="個人／事業所数" dataCellStyle="桁区切り"/>
    <tableColumn id="13" xr3:uid="{7E58BD00-D97C-4BC5-9B79-24753D64091E}" name="個人／構成比" dataDxfId="74"/>
    <tableColumn id="14" xr3:uid="{5FDFE4ED-32D3-4901-A70E-B3BE31E5F55C}" name="法人／事業所数" dataCellStyle="桁区切り"/>
    <tableColumn id="15" xr3:uid="{EBF83C27-4B0E-4DA6-8EDC-92FE2F2D0686}" name="法人／構成比" dataDxfId="73"/>
    <tableColumn id="16" xr3:uid="{257720B1-F707-415D-A22F-1BF5CEFE550F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4BD6DF4F-C08B-4D6B-B224-D41425D6DFC8}" name="S_TABLE_46530" displayName="S_TABLE_46530" ref="B46:I71" totalsRowShown="0">
  <autoFilter ref="B46:I71" xr:uid="{4BD6DF4F-C08B-4D6B-B224-D41425D6DFC8}"/>
  <tableColumns count="8">
    <tableColumn id="9" xr3:uid="{F4A53546-B64F-4FE3-929E-755CAB193DE9}" name="産業小分類上位２０"/>
    <tableColumn id="10" xr3:uid="{A4EEFA8C-B7E5-4FBE-9F2B-32EE38226A44}" name="総数／事業所数" dataCellStyle="桁区切り"/>
    <tableColumn id="11" xr3:uid="{01E513CA-0E10-47AD-B937-6584CD0C03F2}" name="総数／構成比" dataDxfId="72"/>
    <tableColumn id="12" xr3:uid="{EEEA189A-08C4-48AE-AF80-EA7F56242B02}" name="個人／事業所数" dataCellStyle="桁区切り"/>
    <tableColumn id="13" xr3:uid="{19410B4E-4959-4C30-A97D-9F19A7EF2736}" name="個人／構成比" dataDxfId="71"/>
    <tableColumn id="14" xr3:uid="{E04E99D0-5984-456B-8FE5-33094EC4A091}" name="法人／事業所数" dataCellStyle="桁区切り"/>
    <tableColumn id="15" xr3:uid="{079F3BAA-8B1D-46E9-B263-5B7FA19D32B5}" name="法人／構成比" dataDxfId="70"/>
    <tableColumn id="16" xr3:uid="{6B42FC9B-2DD4-4957-B72B-3FC51262D866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0B30674-8886-470A-A851-71E173F1D49C}" name="LTBL_46531" displayName="LTBL_46531" ref="B4:I20" totalsRowCount="1">
  <autoFilter ref="B4:I19" xr:uid="{D0B30674-8886-470A-A851-71E173F1D49C}"/>
  <tableColumns count="8">
    <tableColumn id="9" xr3:uid="{F7F41077-B922-4D66-875A-DA0A9837436A}" name="産業大分類" totalsRowLabel="合計" totalsRowDxfId="69"/>
    <tableColumn id="10" xr3:uid="{E1FCB5EF-66A1-408A-A5F9-B65222E17E6A}" name="総数／事業所数" totalsRowFunction="custom" totalsRowDxfId="68" dataCellStyle="桁区切り" totalsRowCellStyle="桁区切り">
      <totalsRowFormula>SUM(LTBL_46531[総数／事業所数])</totalsRowFormula>
    </tableColumn>
    <tableColumn id="11" xr3:uid="{0C7E0491-09CB-4FE9-90BF-9CC6197D92B3}" name="総数／構成比" dataDxfId="67"/>
    <tableColumn id="12" xr3:uid="{070E19B3-2312-4C95-8A04-1C8003295FE3}" name="個人／事業所数" totalsRowFunction="sum" totalsRowDxfId="66" dataCellStyle="桁区切り" totalsRowCellStyle="桁区切り"/>
    <tableColumn id="13" xr3:uid="{5C21EFFE-F49F-4FFC-B98B-37499FF27911}" name="個人／構成比" dataDxfId="65"/>
    <tableColumn id="14" xr3:uid="{D1F79D49-7B72-4587-820E-3031A321E5D7}" name="法人／事業所数" totalsRowFunction="sum" totalsRowDxfId="64" dataCellStyle="桁区切り" totalsRowCellStyle="桁区切り"/>
    <tableColumn id="15" xr3:uid="{59049A53-7F3A-4A78-A70D-98F1ACC40271}" name="法人／構成比" dataDxfId="63"/>
    <tableColumn id="16" xr3:uid="{46A09C60-4659-47E3-BCE0-54F527D525FE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8794BBF4-AAF0-4921-898B-2A3F78A35B3C}" name="M_TABLE_46531" displayName="M_TABLE_46531" ref="B23:I46" totalsRowShown="0">
  <autoFilter ref="B23:I46" xr:uid="{8794BBF4-AAF0-4921-898B-2A3F78A35B3C}"/>
  <tableColumns count="8">
    <tableColumn id="9" xr3:uid="{3472BA7D-4720-4EDF-B7A2-BC6E6F8112ED}" name="産業中分類上位２０"/>
    <tableColumn id="10" xr3:uid="{5A2A5D08-8AB6-4268-9A19-D3C35E76204F}" name="総数／事業所数" dataCellStyle="桁区切り"/>
    <tableColumn id="11" xr3:uid="{4B72F7AC-6C65-4818-AB81-65F626E9D493}" name="総数／構成比" dataDxfId="61"/>
    <tableColumn id="12" xr3:uid="{CBB16D1B-36ED-461F-B993-3B3BF327883B}" name="個人／事業所数" dataCellStyle="桁区切り"/>
    <tableColumn id="13" xr3:uid="{F03AE9DD-78C5-4C93-AD76-E1C5110F3972}" name="個人／構成比" dataDxfId="60"/>
    <tableColumn id="14" xr3:uid="{AEFE4E8E-CBE3-415A-AA8C-F2BCE30B9B70}" name="法人／事業所数" dataCellStyle="桁区切り"/>
    <tableColumn id="15" xr3:uid="{F13E51A4-B9C5-4D1D-9300-263AD6B7A8D7}" name="法人／構成比" dataDxfId="59"/>
    <tableColumn id="16" xr3:uid="{288B72BD-1DDB-4FE3-92B3-A2DA9EDD3960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ED5D9B-843A-4D6A-B1AF-3DB442944347}" name="S_TABLE_46204" displayName="S_TABLE_46204" ref="B47:I67" totalsRowShown="0">
  <autoFilter ref="B47:I67" xr:uid="{54ED5D9B-843A-4D6A-B1AF-3DB442944347}"/>
  <tableColumns count="8">
    <tableColumn id="9" xr3:uid="{F7B71161-8E03-4CD1-90EF-AF1C4205EF0F}" name="産業小分類上位２０"/>
    <tableColumn id="10" xr3:uid="{444B26C0-56A0-46EE-862D-6885348A67A2}" name="総数／事業所数" dataCellStyle="桁区切り"/>
    <tableColumn id="11" xr3:uid="{9E4FBE9A-5341-43AA-80F5-1F2557EEC709}" name="総数／構成比" dataDxfId="562"/>
    <tableColumn id="12" xr3:uid="{F148A9E0-B2DE-4DCC-B287-ECFAA1DB95FB}" name="個人／事業所数" dataCellStyle="桁区切り"/>
    <tableColumn id="13" xr3:uid="{33437081-B086-4DEC-B18F-FBC01012B4BD}" name="個人／構成比" dataDxfId="561"/>
    <tableColumn id="14" xr3:uid="{E0F3D922-4D07-44C4-87D0-A0E34D7475AC}" name="法人／事業所数" dataCellStyle="桁区切り"/>
    <tableColumn id="15" xr3:uid="{F257B0FF-A8A8-4794-A585-452AE70C81BC}" name="法人／構成比" dataDxfId="560"/>
    <tableColumn id="16" xr3:uid="{37579023-EC95-4772-9265-08063DC60480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7098742-2ED8-4492-9B3D-71F44E10EFF2}" name="S_TABLE_46531" displayName="S_TABLE_46531" ref="B49:I71" totalsRowShown="0">
  <autoFilter ref="B49:I71" xr:uid="{27098742-2ED8-4492-9B3D-71F44E10EFF2}"/>
  <tableColumns count="8">
    <tableColumn id="9" xr3:uid="{2CA9ACFB-5A5C-45C8-A6BF-43F62C3C5795}" name="産業小分類上位２０"/>
    <tableColumn id="10" xr3:uid="{AC20F902-B4BF-4A0D-A14B-D62F0FAE154A}" name="総数／事業所数" dataCellStyle="桁区切り"/>
    <tableColumn id="11" xr3:uid="{3C56ABBE-55CA-4971-945B-4C89E95D1BA9}" name="総数／構成比" dataDxfId="58"/>
    <tableColumn id="12" xr3:uid="{DDB0693C-DA88-48A1-93DD-ECD1D2235AD6}" name="個人／事業所数" dataCellStyle="桁区切り"/>
    <tableColumn id="13" xr3:uid="{D7D51CA7-E4C5-4F60-A912-AA3F14929545}" name="個人／構成比" dataDxfId="57"/>
    <tableColumn id="14" xr3:uid="{893D0C6F-2A80-4361-9404-75951A5B9133}" name="法人／事業所数" dataCellStyle="桁区切り"/>
    <tableColumn id="15" xr3:uid="{F55ABAEC-7474-4BE1-8304-A308C61E0DD8}" name="法人／構成比" dataDxfId="56"/>
    <tableColumn id="16" xr3:uid="{5E13EB76-9B9D-4FAE-9EA1-6D8EE85F25EE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76934BB0-14F7-4D29-B123-DB3BD29A209A}" name="LTBL_46532" displayName="LTBL_46532" ref="B4:I20" totalsRowCount="1">
  <autoFilter ref="B4:I19" xr:uid="{76934BB0-14F7-4D29-B123-DB3BD29A209A}"/>
  <tableColumns count="8">
    <tableColumn id="9" xr3:uid="{E47C4FF6-E72E-470D-A37C-12057B1F79BF}" name="産業大分類" totalsRowLabel="合計" totalsRowDxfId="55"/>
    <tableColumn id="10" xr3:uid="{6A4FDDAB-8328-4CF5-9DB2-898E76816A99}" name="総数／事業所数" totalsRowFunction="custom" totalsRowDxfId="54" dataCellStyle="桁区切り" totalsRowCellStyle="桁区切り">
      <totalsRowFormula>SUM(LTBL_46532[総数／事業所数])</totalsRowFormula>
    </tableColumn>
    <tableColumn id="11" xr3:uid="{8F500136-4BB8-43E1-AD42-A57B091A4128}" name="総数／構成比" dataDxfId="53"/>
    <tableColumn id="12" xr3:uid="{4002643F-ED3C-4D7E-AF44-87034105AB04}" name="個人／事業所数" totalsRowFunction="sum" totalsRowDxfId="52" dataCellStyle="桁区切り" totalsRowCellStyle="桁区切り"/>
    <tableColumn id="13" xr3:uid="{63F57B4C-BA3C-4801-AEED-8F487AAB1ADC}" name="個人／構成比" dataDxfId="51"/>
    <tableColumn id="14" xr3:uid="{4192F7DA-77E9-4BB1-9C3C-B28D72ED9DD7}" name="法人／事業所数" totalsRowFunction="sum" totalsRowDxfId="50" dataCellStyle="桁区切り" totalsRowCellStyle="桁区切り"/>
    <tableColumn id="15" xr3:uid="{32F8A927-D94A-40E4-948C-70F76B7D5351}" name="法人／構成比" dataDxfId="49"/>
    <tableColumn id="16" xr3:uid="{FC59A66D-6BC8-46A2-AB18-45CEFC59738B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B3E4C29-AFB1-4A03-8CFB-FB6DA69848F7}" name="M_TABLE_46532" displayName="M_TABLE_46532" ref="B23:I56" totalsRowShown="0">
  <autoFilter ref="B23:I56" xr:uid="{7B3E4C29-AFB1-4A03-8CFB-FB6DA69848F7}"/>
  <tableColumns count="8">
    <tableColumn id="9" xr3:uid="{00E8307D-1152-4C55-B678-FB88914E3EEB}" name="産業中分類上位２０"/>
    <tableColumn id="10" xr3:uid="{73403318-51E2-4592-80B6-83647366A41E}" name="総数／事業所数" dataCellStyle="桁区切り"/>
    <tableColumn id="11" xr3:uid="{4AE2C834-7582-4A78-802F-FE1F8C09598F}" name="総数／構成比" dataDxfId="47"/>
    <tableColumn id="12" xr3:uid="{68AA8E46-9B3F-4D0F-9BB6-997374F5E1A2}" name="個人／事業所数" dataCellStyle="桁区切り"/>
    <tableColumn id="13" xr3:uid="{FAECBEFD-163C-49D3-A6BF-392A1C990517}" name="個人／構成比" dataDxfId="46"/>
    <tableColumn id="14" xr3:uid="{6D253E4D-82E1-4DD4-8DAA-59B0740B330D}" name="法人／事業所数" dataCellStyle="桁区切り"/>
    <tableColumn id="15" xr3:uid="{BFD3539B-1901-4156-A62A-A6C090C687DD}" name="法人／構成比" dataDxfId="45"/>
    <tableColumn id="16" xr3:uid="{59BEE3AB-DCA5-4302-A1B8-DAAD1A068FB4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90BF54C7-98B3-43A0-8CBA-5D2F7AACD389}" name="S_TABLE_46532" displayName="S_TABLE_46532" ref="B59:I87" totalsRowShown="0">
  <autoFilter ref="B59:I87" xr:uid="{90BF54C7-98B3-43A0-8CBA-5D2F7AACD389}"/>
  <tableColumns count="8">
    <tableColumn id="9" xr3:uid="{9B77D2F5-608E-4F2C-9EBD-5CF573993437}" name="産業小分類上位２０"/>
    <tableColumn id="10" xr3:uid="{179A7C4E-EA7D-4810-B54B-B23EAD260EB4}" name="総数／事業所数" dataCellStyle="桁区切り"/>
    <tableColumn id="11" xr3:uid="{3F192D88-F3C5-4738-A32E-22136E766C3C}" name="総数／構成比" dataDxfId="44"/>
    <tableColumn id="12" xr3:uid="{5CB3F1EB-2241-4BB1-A98D-AFB47153DAF9}" name="個人／事業所数" dataCellStyle="桁区切り"/>
    <tableColumn id="13" xr3:uid="{BF5B7862-AABF-47D8-B7F0-4831A78E9165}" name="個人／構成比" dataDxfId="43"/>
    <tableColumn id="14" xr3:uid="{F869E91F-34FC-499D-BDB4-26A5DDE6FDA7}" name="法人／事業所数" dataCellStyle="桁区切り"/>
    <tableColumn id="15" xr3:uid="{C55AB8BC-38EB-49E3-8FD2-8AC7A9473CB1}" name="法人／構成比" dataDxfId="42"/>
    <tableColumn id="16" xr3:uid="{879D2258-36FF-4B1D-8809-80478F31795B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0661F07-B8D1-4A02-86D6-B413DB5BC609}" name="LTBL_46533" displayName="LTBL_46533" ref="B4:I20" totalsRowCount="1">
  <autoFilter ref="B4:I19" xr:uid="{20661F07-B8D1-4A02-86D6-B413DB5BC609}"/>
  <tableColumns count="8">
    <tableColumn id="9" xr3:uid="{D0370151-B1D6-4942-8903-9604185C6925}" name="産業大分類" totalsRowLabel="合計" totalsRowDxfId="41"/>
    <tableColumn id="10" xr3:uid="{807887CC-3794-4F00-A06F-040E94DF0A23}" name="総数／事業所数" totalsRowFunction="custom" totalsRowDxfId="40" dataCellStyle="桁区切り" totalsRowCellStyle="桁区切り">
      <totalsRowFormula>SUM(LTBL_46533[総数／事業所数])</totalsRowFormula>
    </tableColumn>
    <tableColumn id="11" xr3:uid="{F8A63CEA-440D-4F86-AC93-DD48C1782F44}" name="総数／構成比" dataDxfId="39"/>
    <tableColumn id="12" xr3:uid="{2E579693-94EB-4F7E-BBF9-CBADC4FF76B3}" name="個人／事業所数" totalsRowFunction="sum" totalsRowDxfId="38" dataCellStyle="桁区切り" totalsRowCellStyle="桁区切り"/>
    <tableColumn id="13" xr3:uid="{33F74F86-F7D3-4EA7-92BD-87906687B50E}" name="個人／構成比" dataDxfId="37"/>
    <tableColumn id="14" xr3:uid="{4A0E9531-9AC7-47A5-9EC5-4A1C50833FAD}" name="法人／事業所数" totalsRowFunction="sum" totalsRowDxfId="36" dataCellStyle="桁区切り" totalsRowCellStyle="桁区切り"/>
    <tableColumn id="15" xr3:uid="{B4DC8CB8-1D33-4D55-8701-0B60BAE2D205}" name="法人／構成比" dataDxfId="35"/>
    <tableColumn id="16" xr3:uid="{AF9790C1-9B57-4006-A617-C6E43C500362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781D446-861A-491B-97F1-6EF4A3E96A52}" name="M_TABLE_46533" displayName="M_TABLE_46533" ref="B23:I46" totalsRowShown="0">
  <autoFilter ref="B23:I46" xr:uid="{6781D446-861A-491B-97F1-6EF4A3E96A52}"/>
  <tableColumns count="8">
    <tableColumn id="9" xr3:uid="{C1EF12E4-F7CA-4461-A771-A0EA2839C9AD}" name="産業中分類上位２０"/>
    <tableColumn id="10" xr3:uid="{E7A00E80-9E55-4C88-8D88-CAFCB1DA04AC}" name="総数／事業所数" dataCellStyle="桁区切り"/>
    <tableColumn id="11" xr3:uid="{BE3DBDA4-32EE-4B2B-82AC-9A5E73BCA589}" name="総数／構成比" dataDxfId="33"/>
    <tableColumn id="12" xr3:uid="{D37D9337-5AC9-4ED3-AC70-B860DFEAA35C}" name="個人／事業所数" dataCellStyle="桁区切り"/>
    <tableColumn id="13" xr3:uid="{E90B5049-06AC-4C27-9759-B2456D03BEEE}" name="個人／構成比" dataDxfId="32"/>
    <tableColumn id="14" xr3:uid="{1E77B4F7-13B0-4516-A535-A57A07442F80}" name="法人／事業所数" dataCellStyle="桁区切り"/>
    <tableColumn id="15" xr3:uid="{9A389D91-0791-401A-8AD3-8A4E7A2E8F96}" name="法人／構成比" dataDxfId="31"/>
    <tableColumn id="16" xr3:uid="{09C6BAED-AA92-46C9-8E44-EC3C278473B6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E236978-6362-43E4-B8E5-02B885AD786F}" name="S_TABLE_46533" displayName="S_TABLE_46533" ref="B49:I71" totalsRowShown="0">
  <autoFilter ref="B49:I71" xr:uid="{0E236978-6362-43E4-B8E5-02B885AD786F}"/>
  <tableColumns count="8">
    <tableColumn id="9" xr3:uid="{5957BB7E-73BE-4AEF-BED9-E25F8917E9B2}" name="産業小分類上位２０"/>
    <tableColumn id="10" xr3:uid="{BEBF86B1-0034-4501-94CF-17848C78264B}" name="総数／事業所数" dataCellStyle="桁区切り"/>
    <tableColumn id="11" xr3:uid="{B68D9358-E03D-47E1-9B99-64368047984C}" name="総数／構成比" dataDxfId="30"/>
    <tableColumn id="12" xr3:uid="{E43DE0DE-B1BA-4840-A7C0-F5C706D9EFBD}" name="個人／事業所数" dataCellStyle="桁区切り"/>
    <tableColumn id="13" xr3:uid="{D2E5E736-E339-4A27-A8C8-C0A22CF6D66C}" name="個人／構成比" dataDxfId="29"/>
    <tableColumn id="14" xr3:uid="{887C7CA6-05D3-4F88-841C-B82209198385}" name="法人／事業所数" dataCellStyle="桁区切り"/>
    <tableColumn id="15" xr3:uid="{C201A61C-75CF-4512-B6A8-2EA9D3748128}" name="法人／構成比" dataDxfId="28"/>
    <tableColumn id="16" xr3:uid="{40BB039F-8344-419E-A5CC-0E7B86F8D4A0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7DE01961-098E-484F-8B55-745E5206963F}" name="LTBL_46534" displayName="LTBL_46534" ref="B4:I20" totalsRowCount="1">
  <autoFilter ref="B4:I19" xr:uid="{7DE01961-098E-484F-8B55-745E5206963F}"/>
  <tableColumns count="8">
    <tableColumn id="9" xr3:uid="{C3A581DF-8EFA-42E6-97F2-92323BABC9DF}" name="産業大分類" totalsRowLabel="合計" totalsRowDxfId="27"/>
    <tableColumn id="10" xr3:uid="{28FDA654-3695-446E-ADF2-05C703E139DB}" name="総数／事業所数" totalsRowFunction="custom" totalsRowDxfId="26" dataCellStyle="桁区切り" totalsRowCellStyle="桁区切り">
      <totalsRowFormula>SUM(LTBL_46534[総数／事業所数])</totalsRowFormula>
    </tableColumn>
    <tableColumn id="11" xr3:uid="{16768CEA-3110-4C1C-8E85-89564BC16079}" name="総数／構成比" dataDxfId="25"/>
    <tableColumn id="12" xr3:uid="{6E289A86-6656-4BF4-98C1-A472419A33BB}" name="個人／事業所数" totalsRowFunction="sum" totalsRowDxfId="24" dataCellStyle="桁区切り" totalsRowCellStyle="桁区切り"/>
    <tableColumn id="13" xr3:uid="{73F1B892-724C-43D6-B961-79608E71A907}" name="個人／構成比" dataDxfId="23"/>
    <tableColumn id="14" xr3:uid="{FD9E8CE5-2FCB-4EC8-A73A-C7D2CE3707F9}" name="法人／事業所数" totalsRowFunction="sum" totalsRowDxfId="22" dataCellStyle="桁区切り" totalsRowCellStyle="桁区切り"/>
    <tableColumn id="15" xr3:uid="{D4CF08AA-FEE4-47E2-831B-6B9B4AFAE459}" name="法人／構成比" dataDxfId="21"/>
    <tableColumn id="16" xr3:uid="{6F6FDC7E-82AE-4719-AF68-C9E5A16E72D8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A9D9433A-A36F-4092-A601-16E025E2C746}" name="M_TABLE_46534" displayName="M_TABLE_46534" ref="B23:I47" totalsRowShown="0">
  <autoFilter ref="B23:I47" xr:uid="{A9D9433A-A36F-4092-A601-16E025E2C746}"/>
  <tableColumns count="8">
    <tableColumn id="9" xr3:uid="{D2CE3413-6ED7-4C13-B188-DEF589C5D6FC}" name="産業中分類上位２０"/>
    <tableColumn id="10" xr3:uid="{C116F455-255E-4902-9122-29CF9DCA81D9}" name="総数／事業所数" dataCellStyle="桁区切り"/>
    <tableColumn id="11" xr3:uid="{825AAD6C-F196-41B1-8DFF-934EB245D936}" name="総数／構成比" dataDxfId="19"/>
    <tableColumn id="12" xr3:uid="{6E34CACD-A124-4203-9373-C5BE70EEEF23}" name="個人／事業所数" dataCellStyle="桁区切り"/>
    <tableColumn id="13" xr3:uid="{D0007E69-B548-4BE2-AA1A-85533526300E}" name="個人／構成比" dataDxfId="18"/>
    <tableColumn id="14" xr3:uid="{263A263B-566D-4AD1-BD0C-F14EF4EA8642}" name="法人／事業所数" dataCellStyle="桁区切り"/>
    <tableColumn id="15" xr3:uid="{16B4FDC1-9DC7-4AE3-BC11-928620D17264}" name="法人／構成比" dataDxfId="17"/>
    <tableColumn id="16" xr3:uid="{5ABB9514-6C5F-4036-8D40-E8462BA93738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3DBC0A42-CFEA-4E9E-99CA-6DE502EAC970}" name="S_TABLE_46534" displayName="S_TABLE_46534" ref="B50:I73" totalsRowShown="0">
  <autoFilter ref="B50:I73" xr:uid="{3DBC0A42-CFEA-4E9E-99CA-6DE502EAC970}"/>
  <tableColumns count="8">
    <tableColumn id="9" xr3:uid="{462A146A-03CC-43EC-855F-A3E7290672EB}" name="産業小分類上位２０"/>
    <tableColumn id="10" xr3:uid="{B5DD30D8-4538-43FB-85C5-4B6A39CEAF3B}" name="総数／事業所数" dataCellStyle="桁区切り"/>
    <tableColumn id="11" xr3:uid="{ACF898CB-ED06-4B1E-A1F2-C33DABB399DC}" name="総数／構成比" dataDxfId="16"/>
    <tableColumn id="12" xr3:uid="{D6A7798A-75CC-4AA9-8AC6-362CE36427F4}" name="個人／事業所数" dataCellStyle="桁区切り"/>
    <tableColumn id="13" xr3:uid="{41CC52F2-939D-44A6-B5BC-8266E7C9462B}" name="個人／構成比" dataDxfId="15"/>
    <tableColumn id="14" xr3:uid="{36C0F445-B934-4984-B64C-357179BB491B}" name="法人／事業所数" dataCellStyle="桁区切り"/>
    <tableColumn id="15" xr3:uid="{A3239D93-90D2-496B-A474-8378265EAC74}" name="法人／構成比" dataDxfId="14"/>
    <tableColumn id="16" xr3:uid="{7C190484-EFC0-49AC-BF67-33521239BAFF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9D737AC-1263-4030-9F82-629262CF07F8}" name="LTBL_46206" displayName="LTBL_46206" ref="B4:I20" totalsRowCount="1">
  <autoFilter ref="B4:I19" xr:uid="{99D737AC-1263-4030-9F82-629262CF07F8}"/>
  <tableColumns count="8">
    <tableColumn id="9" xr3:uid="{5654E5AB-65B0-49EC-9BDE-4C8605A9540F}" name="産業大分類" totalsRowLabel="合計" totalsRowDxfId="559"/>
    <tableColumn id="10" xr3:uid="{7A7761F4-E4F0-48DA-97F1-4A8B32D1FE88}" name="総数／事業所数" totalsRowFunction="custom" totalsRowDxfId="558" dataCellStyle="桁区切り" totalsRowCellStyle="桁区切り">
      <totalsRowFormula>SUM(LTBL_46206[総数／事業所数])</totalsRowFormula>
    </tableColumn>
    <tableColumn id="11" xr3:uid="{F30C8488-ADA4-4294-A893-EE36FF40EA62}" name="総数／構成比" dataDxfId="557"/>
    <tableColumn id="12" xr3:uid="{8D0B3B01-BC2B-4910-914E-6E0E7255EFC4}" name="個人／事業所数" totalsRowFunction="sum" totalsRowDxfId="556" dataCellStyle="桁区切り" totalsRowCellStyle="桁区切り"/>
    <tableColumn id="13" xr3:uid="{C8FE18D9-6F61-495B-BEA9-0F00C28720B1}" name="個人／構成比" dataDxfId="555"/>
    <tableColumn id="14" xr3:uid="{B89F5531-1A5D-470A-96E7-B3F229D23202}" name="法人／事業所数" totalsRowFunction="sum" totalsRowDxfId="554" dataCellStyle="桁区切り" totalsRowCellStyle="桁区切り"/>
    <tableColumn id="15" xr3:uid="{DB376797-9C6F-42B0-BCF6-7D6C30797475}" name="法人／構成比" dataDxfId="553"/>
    <tableColumn id="16" xr3:uid="{D31DB710-967F-417C-8F07-24D63E4B7156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4C111339-ACCE-4CDE-838B-C095FBF685F5}" name="LTBL_46535" displayName="LTBL_46535" ref="B4:I20" totalsRowCount="1">
  <autoFilter ref="B4:I19" xr:uid="{4C111339-ACCE-4CDE-838B-C095FBF685F5}"/>
  <tableColumns count="8">
    <tableColumn id="9" xr3:uid="{7391A3D7-34F9-499F-BADE-7285B097FDCA}" name="産業大分類" totalsRowLabel="合計" totalsRowDxfId="13"/>
    <tableColumn id="10" xr3:uid="{2F5FB55E-54D2-4555-BB33-73CEC797F518}" name="総数／事業所数" totalsRowFunction="custom" totalsRowDxfId="12" dataCellStyle="桁区切り" totalsRowCellStyle="桁区切り">
      <totalsRowFormula>SUM(LTBL_46535[総数／事業所数])</totalsRowFormula>
    </tableColumn>
    <tableColumn id="11" xr3:uid="{88ED7678-7FC8-41A2-A765-39148C9D2541}" name="総数／構成比" dataDxfId="11"/>
    <tableColumn id="12" xr3:uid="{158D1F1E-995B-4950-BBA8-6899F3FB72A5}" name="個人／事業所数" totalsRowFunction="sum" totalsRowDxfId="10" dataCellStyle="桁区切り" totalsRowCellStyle="桁区切り"/>
    <tableColumn id="13" xr3:uid="{E758406A-69B5-4AE8-9AF9-8DBE9A87FCA4}" name="個人／構成比" dataDxfId="9"/>
    <tableColumn id="14" xr3:uid="{89C48BC9-DCBE-4384-905D-DD0CDD00F4B7}" name="法人／事業所数" totalsRowFunction="sum" totalsRowDxfId="8" dataCellStyle="桁区切り" totalsRowCellStyle="桁区切り"/>
    <tableColumn id="15" xr3:uid="{A3140985-1B6C-4608-B826-05C9AC4EE4DF}" name="法人／構成比" dataDxfId="7"/>
    <tableColumn id="16" xr3:uid="{9994DF57-229D-45E8-BDC0-9C9D7494B05B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90902D54-10A5-451A-84E9-029549EAC9AC}" name="M_TABLE_46535" displayName="M_TABLE_46535" ref="B23:I43" totalsRowShown="0">
  <autoFilter ref="B23:I43" xr:uid="{90902D54-10A5-451A-84E9-029549EAC9AC}"/>
  <tableColumns count="8">
    <tableColumn id="9" xr3:uid="{492A42FD-C8A6-4542-9A9D-86E8B7E07DB8}" name="産業中分類上位２０"/>
    <tableColumn id="10" xr3:uid="{D91C63C3-1ACE-4F69-8B8F-31C9369594C3}" name="総数／事業所数" dataCellStyle="桁区切り"/>
    <tableColumn id="11" xr3:uid="{9E4576A1-3DE2-4BB4-8A19-4BE6F66103DA}" name="総数／構成比" dataDxfId="5"/>
    <tableColumn id="12" xr3:uid="{509E90A2-029B-4A7D-B82C-8FD0427E8B79}" name="個人／事業所数" dataCellStyle="桁区切り"/>
    <tableColumn id="13" xr3:uid="{8226C99C-B72D-4C71-82DB-8130630E7E66}" name="個人／構成比" dataDxfId="4"/>
    <tableColumn id="14" xr3:uid="{5FB331E4-8E27-493A-9461-C08A9B26F317}" name="法人／事業所数" dataCellStyle="桁区切り"/>
    <tableColumn id="15" xr3:uid="{CD3E2E00-9823-4704-8382-4A66BF5E030F}" name="法人／構成比" dataDxfId="3"/>
    <tableColumn id="16" xr3:uid="{1EFCE732-0D3F-48BE-A464-9FE0F03BA0B1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25130382-79B6-4C13-A535-91015D86AB40}" name="S_TABLE_46535" displayName="S_TABLE_46535" ref="B46:I71" totalsRowShown="0">
  <autoFilter ref="B46:I71" xr:uid="{25130382-79B6-4C13-A535-91015D86AB40}"/>
  <tableColumns count="8">
    <tableColumn id="9" xr3:uid="{E5B6EA5E-3FD5-488D-AD64-280C835ABEC6}" name="産業小分類上位２０"/>
    <tableColumn id="10" xr3:uid="{EE8A3399-64E4-476D-A781-8832A3C7E162}" name="総数／事業所数" dataCellStyle="桁区切り"/>
    <tableColumn id="11" xr3:uid="{97225681-078D-40A5-B491-5A457A8C77FE}" name="総数／構成比" dataDxfId="2"/>
    <tableColumn id="12" xr3:uid="{1F4B1EEE-B1F1-48FD-A93F-4036D760D24A}" name="個人／事業所数" dataCellStyle="桁区切り"/>
    <tableColumn id="13" xr3:uid="{F8CC70A9-F78C-44AD-9850-433DE462ACAF}" name="個人／構成比" dataDxfId="1"/>
    <tableColumn id="14" xr3:uid="{90F5B0A1-A247-447F-B987-6A7E64BF45E7}" name="法人／事業所数" dataCellStyle="桁区切り"/>
    <tableColumn id="15" xr3:uid="{1FE66C22-7A38-4DCC-98D5-CD4B2ABFC594}" name="法人／構成比" dataDxfId="0"/>
    <tableColumn id="16" xr3:uid="{C2FB3051-A82B-41D3-8806-D7BB5FEF405A}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87939BC-EE79-41A5-A01B-A0B259022205}" name="M_TABLE_46206" displayName="M_TABLE_46206" ref="B23:I43" totalsRowShown="0">
  <autoFilter ref="B23:I43" xr:uid="{D87939BC-EE79-41A5-A01B-A0B259022205}"/>
  <tableColumns count="8">
    <tableColumn id="9" xr3:uid="{AA17BC93-D714-4E9D-99CC-1879A7BAF43C}" name="産業中分類上位２０"/>
    <tableColumn id="10" xr3:uid="{5C6DDA8B-D9A2-4F7D-843D-EA7F98345021}" name="総数／事業所数" dataCellStyle="桁区切り"/>
    <tableColumn id="11" xr3:uid="{9896461C-B1FB-4A2F-97D0-9D22C5165975}" name="総数／構成比" dataDxfId="551"/>
    <tableColumn id="12" xr3:uid="{92077935-B3B4-4C1A-B062-B33E518095FB}" name="個人／事業所数" dataCellStyle="桁区切り"/>
    <tableColumn id="13" xr3:uid="{C5B477A2-528E-423E-B297-DBF575101E5C}" name="個人／構成比" dataDxfId="550"/>
    <tableColumn id="14" xr3:uid="{C155B321-FCAF-4388-91F1-FE9DE3745F24}" name="法人／事業所数" dataCellStyle="桁区切り"/>
    <tableColumn id="15" xr3:uid="{68F16695-DF19-478D-A878-B742AD76724B}" name="法人／構成比" dataDxfId="549"/>
    <tableColumn id="16" xr3:uid="{66CDA30C-F7FF-43E9-8583-34AA3DEF59BE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573C97-96E3-4D5C-8C51-4B51D9B2C4C3}" name="S_TABLE_46206" displayName="S_TABLE_46206" ref="B46:I67" totalsRowShown="0">
  <autoFilter ref="B46:I67" xr:uid="{36573C97-96E3-4D5C-8C51-4B51D9B2C4C3}"/>
  <tableColumns count="8">
    <tableColumn id="9" xr3:uid="{ABF28CA1-30A7-48EF-B73B-CFCECDF2709F}" name="産業小分類上位２０"/>
    <tableColumn id="10" xr3:uid="{2E11F932-3385-442A-A577-60FC5A0B36C7}" name="総数／事業所数" dataCellStyle="桁区切り"/>
    <tableColumn id="11" xr3:uid="{B3DA73BC-B80B-4517-91C9-FDE3A8EFF6B5}" name="総数／構成比" dataDxfId="548"/>
    <tableColumn id="12" xr3:uid="{8422A19C-46DE-441C-A0FB-0ABB7E942E6A}" name="個人／事業所数" dataCellStyle="桁区切り"/>
    <tableColumn id="13" xr3:uid="{E2E206EB-D014-4EA4-8B36-097C2DEDF193}" name="個人／構成比" dataDxfId="547"/>
    <tableColumn id="14" xr3:uid="{7D2A4A5C-2375-4502-9655-1FA1EA275E44}" name="法人／事業所数" dataCellStyle="桁区切り"/>
    <tableColumn id="15" xr3:uid="{6B4536E4-F7BB-49C9-80BB-FF13D86C4DDD}" name="法人／構成比" dataDxfId="546"/>
    <tableColumn id="16" xr3:uid="{67909D64-5C2A-4BFF-B41B-42326202E26C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26D7C11-14D1-47B2-B7E6-C186A30AF489}" name="LTBL_46208" displayName="LTBL_46208" ref="B4:I20" totalsRowCount="1">
  <autoFilter ref="B4:I19" xr:uid="{C26D7C11-14D1-47B2-B7E6-C186A30AF489}"/>
  <tableColumns count="8">
    <tableColumn id="9" xr3:uid="{A529B13C-EA53-4486-8F00-A7A7C0DBB957}" name="産業大分類" totalsRowLabel="合計" totalsRowDxfId="545"/>
    <tableColumn id="10" xr3:uid="{5934103B-07D2-4B74-8798-D8972605512D}" name="総数／事業所数" totalsRowFunction="custom" totalsRowDxfId="544" dataCellStyle="桁区切り" totalsRowCellStyle="桁区切り">
      <totalsRowFormula>SUM(LTBL_46208[総数／事業所数])</totalsRowFormula>
    </tableColumn>
    <tableColumn id="11" xr3:uid="{15104DF2-A665-46EE-B13F-395D077413E2}" name="総数／構成比" dataDxfId="543"/>
    <tableColumn id="12" xr3:uid="{7F5B3109-68CE-4850-AD8E-899DD519864C}" name="個人／事業所数" totalsRowFunction="sum" totalsRowDxfId="542" dataCellStyle="桁区切り" totalsRowCellStyle="桁区切り"/>
    <tableColumn id="13" xr3:uid="{8FA1DF9D-A2BF-492E-A342-729C0BA6CBB1}" name="個人／構成比" dataDxfId="541"/>
    <tableColumn id="14" xr3:uid="{E6ADDA7F-C313-4EF7-80A6-AFD55937BBC0}" name="法人／事業所数" totalsRowFunction="sum" totalsRowDxfId="540" dataCellStyle="桁区切り" totalsRowCellStyle="桁区切り"/>
    <tableColumn id="15" xr3:uid="{AD564850-0C1C-4847-A0CB-B2BEB332FF80}" name="法人／構成比" dataDxfId="539"/>
    <tableColumn id="16" xr3:uid="{D298F63A-7EC8-4DC5-AB48-3E9E3483EA4B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584E809-730D-4239-8D34-3C7A417921C2}" name="M_TABLE_46208" displayName="M_TABLE_46208" ref="B23:I43" totalsRowShown="0">
  <autoFilter ref="B23:I43" xr:uid="{1584E809-730D-4239-8D34-3C7A417921C2}"/>
  <tableColumns count="8">
    <tableColumn id="9" xr3:uid="{608D8208-4C35-4335-9F9A-688DD6C67ACB}" name="産業中分類上位２０"/>
    <tableColumn id="10" xr3:uid="{747910E0-5371-4BE6-8A5F-8E10E0FF0D17}" name="総数／事業所数" dataCellStyle="桁区切り"/>
    <tableColumn id="11" xr3:uid="{D640A7FF-D170-43CA-9D5E-40CBFD63A96E}" name="総数／構成比" dataDxfId="537"/>
    <tableColumn id="12" xr3:uid="{A896BF14-2ECA-4C7C-82B8-B84258A1998A}" name="個人／事業所数" dataCellStyle="桁区切り"/>
    <tableColumn id="13" xr3:uid="{25C3EA0E-2060-4BF3-A299-F05C60AA4550}" name="個人／構成比" dataDxfId="536"/>
    <tableColumn id="14" xr3:uid="{5BC155C2-3436-4E97-B246-D6580CAE4295}" name="法人／事業所数" dataCellStyle="桁区切り"/>
    <tableColumn id="15" xr3:uid="{4D273446-8B0C-4720-B0A4-890B5FFDF153}" name="法人／構成比" dataDxfId="535"/>
    <tableColumn id="16" xr3:uid="{80DB817F-D034-4AF0-8EB5-C66EA87B2BA0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052FD63-0658-4605-AAB4-99E08FA816C6}" name="S_TABLE_46208" displayName="S_TABLE_46208" ref="B46:I66" totalsRowShown="0">
  <autoFilter ref="B46:I66" xr:uid="{F052FD63-0658-4605-AAB4-99E08FA816C6}"/>
  <tableColumns count="8">
    <tableColumn id="9" xr3:uid="{B9228FA4-DFD3-42B6-9681-C4A3028BEFA9}" name="産業小分類上位２０"/>
    <tableColumn id="10" xr3:uid="{5E068BBD-54A8-4BE6-A4E8-8FBC232327F1}" name="総数／事業所数" dataCellStyle="桁区切り"/>
    <tableColumn id="11" xr3:uid="{A664985C-B51E-4170-A1C9-A76050BF534E}" name="総数／構成比" dataDxfId="534"/>
    <tableColumn id="12" xr3:uid="{D7F7C2FF-F49A-4532-AD8F-55591EB2FE7E}" name="個人／事業所数" dataCellStyle="桁区切り"/>
    <tableColumn id="13" xr3:uid="{08535762-FCF5-4A09-8160-F2875172772D}" name="個人／構成比" dataDxfId="533"/>
    <tableColumn id="14" xr3:uid="{61EF9C11-9E53-41F9-916B-0DE0AF2254B6}" name="法人／事業所数" dataCellStyle="桁区切り"/>
    <tableColumn id="15" xr3:uid="{266755E1-A8A2-43CF-8DA5-CE653AE0AEC7}" name="法人／構成比" dataDxfId="532"/>
    <tableColumn id="16" xr3:uid="{BB55D142-F23A-487A-B0A4-15D0720798FB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5DF8AAA-7940-4D55-BE34-5A0313EDFF42}" name="LTBL_46210" displayName="LTBL_46210" ref="B4:I20" totalsRowCount="1">
  <autoFilter ref="B4:I19" xr:uid="{C5DF8AAA-7940-4D55-BE34-5A0313EDFF42}"/>
  <tableColumns count="8">
    <tableColumn id="9" xr3:uid="{C901CCAE-7146-494B-8692-0D332AAF5B7D}" name="産業大分類" totalsRowLabel="合計" totalsRowDxfId="531"/>
    <tableColumn id="10" xr3:uid="{1A7623D3-2E57-47E5-9139-27B61CF3F4AE}" name="総数／事業所数" totalsRowFunction="custom" totalsRowDxfId="530" dataCellStyle="桁区切り" totalsRowCellStyle="桁区切り">
      <totalsRowFormula>SUM(LTBL_46210[総数／事業所数])</totalsRowFormula>
    </tableColumn>
    <tableColumn id="11" xr3:uid="{A8CB6DF6-CF76-42EA-AF8F-0AAFCA7885E4}" name="総数／構成比" dataDxfId="529"/>
    <tableColumn id="12" xr3:uid="{BED313F7-75DC-40FD-93D5-EA02369EA3D0}" name="個人／事業所数" totalsRowFunction="sum" totalsRowDxfId="528" dataCellStyle="桁区切り" totalsRowCellStyle="桁区切り"/>
    <tableColumn id="13" xr3:uid="{68B2FA01-3BED-4340-BF6D-764D90DF5123}" name="個人／構成比" dataDxfId="527"/>
    <tableColumn id="14" xr3:uid="{4E818886-D8C8-4F1F-8BE8-BFAC15AA9976}" name="法人／事業所数" totalsRowFunction="sum" totalsRowDxfId="526" dataCellStyle="桁区切り" totalsRowCellStyle="桁区切り"/>
    <tableColumn id="15" xr3:uid="{2FEC5EC7-D99F-4E77-8AF6-C124F67A9365}" name="法人／構成比" dataDxfId="525"/>
    <tableColumn id="16" xr3:uid="{7D207F2F-844D-4633-97DF-6BA41AED6DC7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77E90D-89D0-44C3-BE10-CEE014E8E84E}" name="M_TABLE_46000" displayName="M_TABLE_46000" ref="B23:I43" totalsRowShown="0">
  <autoFilter ref="B23:I43" xr:uid="{9477E90D-89D0-44C3-BE10-CEE014E8E84E}"/>
  <tableColumns count="8">
    <tableColumn id="9" xr3:uid="{FFAC16A6-05A4-409E-A59E-62C7243D9577}" name="産業中分類上位２０"/>
    <tableColumn id="10" xr3:uid="{722456AB-A997-456B-87F5-AD9E6FE7CCD0}" name="総数／事業所数" dataCellStyle="桁区切り"/>
    <tableColumn id="11" xr3:uid="{FF9347B9-2860-44A4-94D0-035C107B466F}" name="総数／構成比" dataDxfId="607"/>
    <tableColumn id="12" xr3:uid="{81E36FFB-CB41-4F81-8347-3984DAA2ACC0}" name="個人／事業所数" dataCellStyle="桁区切り"/>
    <tableColumn id="13" xr3:uid="{55050C90-E6C8-4F02-AE09-488CB2237CDE}" name="個人／構成比" dataDxfId="606"/>
    <tableColumn id="14" xr3:uid="{0E5DA16A-F07A-4F2F-A1A0-8C6162668E44}" name="法人／事業所数" dataCellStyle="桁区切り"/>
    <tableColumn id="15" xr3:uid="{E0D5F7E4-79FF-4F03-B467-DB601620846A}" name="法人／構成比" dataDxfId="605"/>
    <tableColumn id="16" xr3:uid="{292F79B4-6244-4B4C-AEDE-7A2CC7A772E6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690CD8A-932A-4E4C-8D85-DA5CB1AB2783}" name="M_TABLE_46210" displayName="M_TABLE_46210" ref="B23:I43" totalsRowShown="0">
  <autoFilter ref="B23:I43" xr:uid="{B690CD8A-932A-4E4C-8D85-DA5CB1AB2783}"/>
  <tableColumns count="8">
    <tableColumn id="9" xr3:uid="{3FA7E553-B61C-4DCF-AB5A-19003C4B890B}" name="産業中分類上位２０"/>
    <tableColumn id="10" xr3:uid="{7F5236CD-62A5-4CFA-BF5E-56EB000F6B2F}" name="総数／事業所数" dataCellStyle="桁区切り"/>
    <tableColumn id="11" xr3:uid="{1365E183-C2A7-48F1-8AAD-2BF68A673315}" name="総数／構成比" dataDxfId="523"/>
    <tableColumn id="12" xr3:uid="{64DE8925-F9B9-4432-9946-D5CC9CEF6B95}" name="個人／事業所数" dataCellStyle="桁区切り"/>
    <tableColumn id="13" xr3:uid="{6B8F04C3-5902-4C5F-AB38-252A6667F5FE}" name="個人／構成比" dataDxfId="522"/>
    <tableColumn id="14" xr3:uid="{278D5A4D-5AA7-41D4-8F39-324DC9218A87}" name="法人／事業所数" dataCellStyle="桁区切り"/>
    <tableColumn id="15" xr3:uid="{A568739A-1BEF-4F25-B331-85D619AD6909}" name="法人／構成比" dataDxfId="521"/>
    <tableColumn id="16" xr3:uid="{45C5D0EF-1649-4FD4-B4F5-80E9D098032D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E19588C-B44C-4DE2-BFAA-0CBCBE235F6C}" name="S_TABLE_46210" displayName="S_TABLE_46210" ref="B46:I66" totalsRowShown="0">
  <autoFilter ref="B46:I66" xr:uid="{5E19588C-B44C-4DE2-BFAA-0CBCBE235F6C}"/>
  <tableColumns count="8">
    <tableColumn id="9" xr3:uid="{5411E6D0-EB85-42E4-800E-7ECA047C63B8}" name="産業小分類上位２０"/>
    <tableColumn id="10" xr3:uid="{F959CC8A-E638-4DCA-851E-CF6D68B05A34}" name="総数／事業所数" dataCellStyle="桁区切り"/>
    <tableColumn id="11" xr3:uid="{E5A6D485-B93F-4D15-969C-8377891EDB83}" name="総数／構成比" dataDxfId="520"/>
    <tableColumn id="12" xr3:uid="{A988C459-363D-45B7-B71A-02B768B87974}" name="個人／事業所数" dataCellStyle="桁区切り"/>
    <tableColumn id="13" xr3:uid="{159F57A1-C9F7-467E-B9C5-2DD9C5F12941}" name="個人／構成比" dataDxfId="519"/>
    <tableColumn id="14" xr3:uid="{923A1C08-D547-4123-BAE5-50303D97F14A}" name="法人／事業所数" dataCellStyle="桁区切り"/>
    <tableColumn id="15" xr3:uid="{8E741F0E-24BB-4900-A158-FDF1BBA336AE}" name="法人／構成比" dataDxfId="518"/>
    <tableColumn id="16" xr3:uid="{F1656FFE-5C18-49E1-A601-60A9FE5BF15A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31B9911-FF1A-4C33-A502-1BE276F60F5F}" name="LTBL_46213" displayName="LTBL_46213" ref="B4:I20" totalsRowCount="1">
  <autoFilter ref="B4:I19" xr:uid="{A31B9911-FF1A-4C33-A502-1BE276F60F5F}"/>
  <tableColumns count="8">
    <tableColumn id="9" xr3:uid="{12FBB152-43D4-43FB-8F09-FC5104C64DCE}" name="産業大分類" totalsRowLabel="合計" totalsRowDxfId="517"/>
    <tableColumn id="10" xr3:uid="{90FA53A2-1F70-4475-8876-A564D037A95A}" name="総数／事業所数" totalsRowFunction="custom" totalsRowDxfId="516" dataCellStyle="桁区切り" totalsRowCellStyle="桁区切り">
      <totalsRowFormula>SUM(LTBL_46213[総数／事業所数])</totalsRowFormula>
    </tableColumn>
    <tableColumn id="11" xr3:uid="{E31F5C88-44B7-405F-9E70-FFFC64FD1C81}" name="総数／構成比" dataDxfId="515"/>
    <tableColumn id="12" xr3:uid="{7778813E-4E55-42C2-BF24-B1083B2BFACF}" name="個人／事業所数" totalsRowFunction="sum" totalsRowDxfId="514" dataCellStyle="桁区切り" totalsRowCellStyle="桁区切り"/>
    <tableColumn id="13" xr3:uid="{62A63ABD-87C6-4284-BA7C-8241D15CD70C}" name="個人／構成比" dataDxfId="513"/>
    <tableColumn id="14" xr3:uid="{16DF265F-BD7B-4E61-9DA0-00DA1B3AF3E0}" name="法人／事業所数" totalsRowFunction="sum" totalsRowDxfId="512" dataCellStyle="桁区切り" totalsRowCellStyle="桁区切り"/>
    <tableColumn id="15" xr3:uid="{03FDC02A-E1F8-440B-A994-F4E6F4672E19}" name="法人／構成比" dataDxfId="511"/>
    <tableColumn id="16" xr3:uid="{B5459481-818C-4D5C-AFA4-4BBF1EED49DA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8DB2273-73B2-4BB2-8CD8-DA44D1A5B37F}" name="M_TABLE_46213" displayName="M_TABLE_46213" ref="B23:I43" totalsRowShown="0">
  <autoFilter ref="B23:I43" xr:uid="{A8DB2273-73B2-4BB2-8CD8-DA44D1A5B37F}"/>
  <tableColumns count="8">
    <tableColumn id="9" xr3:uid="{05FB2884-5DD8-4E10-A2C8-A44FCAAEEE3A}" name="産業中分類上位２０"/>
    <tableColumn id="10" xr3:uid="{1EEA744F-3113-4A38-8102-2F1D52DC09B8}" name="総数／事業所数" dataCellStyle="桁区切り"/>
    <tableColumn id="11" xr3:uid="{AC879C7B-AA9C-4B44-87FD-A1C9F7E3278C}" name="総数／構成比" dataDxfId="509"/>
    <tableColumn id="12" xr3:uid="{E1E0B4C5-1D4F-4A35-8CFF-3F4CDBDBB534}" name="個人／事業所数" dataCellStyle="桁区切り"/>
    <tableColumn id="13" xr3:uid="{DA3FEBA0-AEAE-4BEE-A07F-DA6D856A5C99}" name="個人／構成比" dataDxfId="508"/>
    <tableColumn id="14" xr3:uid="{6D6F52FD-096B-42D2-BF31-67FDD3596D97}" name="法人／事業所数" dataCellStyle="桁区切り"/>
    <tableColumn id="15" xr3:uid="{C2035E31-1506-4178-81C3-17205C3FFDA8}" name="法人／構成比" dataDxfId="507"/>
    <tableColumn id="16" xr3:uid="{2AA89623-7F0D-4C22-92CF-4D717A39B145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7DA7D1E-1ACA-4ACF-A5A6-1AB0054F66C2}" name="S_TABLE_46213" displayName="S_TABLE_46213" ref="B46:I66" totalsRowShown="0">
  <autoFilter ref="B46:I66" xr:uid="{77DA7D1E-1ACA-4ACF-A5A6-1AB0054F66C2}"/>
  <tableColumns count="8">
    <tableColumn id="9" xr3:uid="{BDA54CDB-8C48-4E42-BA44-609B306A4034}" name="産業小分類上位２０"/>
    <tableColumn id="10" xr3:uid="{FF63FF08-36FD-4633-85B1-21C24F2C7A32}" name="総数／事業所数" dataCellStyle="桁区切り"/>
    <tableColumn id="11" xr3:uid="{F59F77AC-CC67-4797-B7A1-2CEA688199FE}" name="総数／構成比" dataDxfId="506"/>
    <tableColumn id="12" xr3:uid="{B4B8D9C5-68CF-4D4C-8434-7CE2D23D2221}" name="個人／事業所数" dataCellStyle="桁区切り"/>
    <tableColumn id="13" xr3:uid="{760D7F6D-F08C-40A7-AD55-43DCE75E84C5}" name="個人／構成比" dataDxfId="505"/>
    <tableColumn id="14" xr3:uid="{5B7EF02D-4362-4C92-83F0-433C5919CA46}" name="法人／事業所数" dataCellStyle="桁区切り"/>
    <tableColumn id="15" xr3:uid="{13DBE032-17EB-44B6-A299-20695AD903B7}" name="法人／構成比" dataDxfId="504"/>
    <tableColumn id="16" xr3:uid="{47CB13B1-B31E-4BD0-95E8-A20258755D1D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E94A243-B053-45DB-9743-5CC91FE0DE3D}" name="LTBL_46214" displayName="LTBL_46214" ref="B4:I20" totalsRowCount="1">
  <autoFilter ref="B4:I19" xr:uid="{BE94A243-B053-45DB-9743-5CC91FE0DE3D}"/>
  <tableColumns count="8">
    <tableColumn id="9" xr3:uid="{6F898E13-08FF-4D6F-B9A1-CC1C453EDA97}" name="産業大分類" totalsRowLabel="合計" totalsRowDxfId="503"/>
    <tableColumn id="10" xr3:uid="{07A104B5-9739-4E2B-B3D5-CEC904DF9701}" name="総数／事業所数" totalsRowFunction="custom" totalsRowDxfId="502" dataCellStyle="桁区切り" totalsRowCellStyle="桁区切り">
      <totalsRowFormula>SUM(LTBL_46214[総数／事業所数])</totalsRowFormula>
    </tableColumn>
    <tableColumn id="11" xr3:uid="{94388D41-AC02-4F0F-9EC5-00F884624E43}" name="総数／構成比" dataDxfId="501"/>
    <tableColumn id="12" xr3:uid="{20E922ED-4350-4917-8793-1BB0B48B1BE8}" name="個人／事業所数" totalsRowFunction="sum" totalsRowDxfId="500" dataCellStyle="桁区切り" totalsRowCellStyle="桁区切り"/>
    <tableColumn id="13" xr3:uid="{AD78102C-4768-4769-BFA4-E612A969E301}" name="個人／構成比" dataDxfId="499"/>
    <tableColumn id="14" xr3:uid="{EF829A8D-B8C1-4757-B70E-5A0943CC64DE}" name="法人／事業所数" totalsRowFunction="sum" totalsRowDxfId="498" dataCellStyle="桁区切り" totalsRowCellStyle="桁区切り"/>
    <tableColumn id="15" xr3:uid="{BBF6D774-ADA7-44A8-A3D0-B09C908E8A25}" name="法人／構成比" dataDxfId="497"/>
    <tableColumn id="16" xr3:uid="{2CF00FEE-2911-4401-8DCA-D2391C75C04F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A7B0BAC-62DB-4885-BA12-DCC4A91A2300}" name="M_TABLE_46214" displayName="M_TABLE_46214" ref="B23:I43" totalsRowShown="0">
  <autoFilter ref="B23:I43" xr:uid="{AA7B0BAC-62DB-4885-BA12-DCC4A91A2300}"/>
  <tableColumns count="8">
    <tableColumn id="9" xr3:uid="{FF49EF8F-285D-4E19-8C82-11882EDD4748}" name="産業中分類上位２０"/>
    <tableColumn id="10" xr3:uid="{0A13C6DD-554F-4578-8C68-E86E38A964A4}" name="総数／事業所数" dataCellStyle="桁区切り"/>
    <tableColumn id="11" xr3:uid="{0519732D-7E5E-4FEF-937A-567EE185C90A}" name="総数／構成比" dataDxfId="495"/>
    <tableColumn id="12" xr3:uid="{37C0491E-0C23-4085-B91C-639BD0940B36}" name="個人／事業所数" dataCellStyle="桁区切り"/>
    <tableColumn id="13" xr3:uid="{1E5015E1-87E6-48FD-81B3-F1BDE9163CAE}" name="個人／構成比" dataDxfId="494"/>
    <tableColumn id="14" xr3:uid="{D02364A5-38AA-4DF0-9057-FBAD8A74D74F}" name="法人／事業所数" dataCellStyle="桁区切り"/>
    <tableColumn id="15" xr3:uid="{DCD616C4-5C83-4D1B-A876-61C2AB704378}" name="法人／構成比" dataDxfId="493"/>
    <tableColumn id="16" xr3:uid="{435279E1-BF9A-4A66-A51E-29797F0AA214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222CBFC-6F88-475D-B9A6-FF9DCDEA259F}" name="S_TABLE_46214" displayName="S_TABLE_46214" ref="B46:I72" totalsRowShown="0">
  <autoFilter ref="B46:I72" xr:uid="{0222CBFC-6F88-475D-B9A6-FF9DCDEA259F}"/>
  <tableColumns count="8">
    <tableColumn id="9" xr3:uid="{5A02DFE3-E726-4FFC-B765-C717EA5D1E59}" name="産業小分類上位２０"/>
    <tableColumn id="10" xr3:uid="{B10B1407-98EE-4D4C-8D64-D912B9B4B8A2}" name="総数／事業所数" dataCellStyle="桁区切り"/>
    <tableColumn id="11" xr3:uid="{7AC448F4-28E7-4D03-B131-3F842E49A605}" name="総数／構成比" dataDxfId="492"/>
    <tableColumn id="12" xr3:uid="{A301C31C-2994-4042-85AA-742E34E84D1F}" name="個人／事業所数" dataCellStyle="桁区切り"/>
    <tableColumn id="13" xr3:uid="{519791F0-9501-40ED-ADFB-3401A1461882}" name="個人／構成比" dataDxfId="491"/>
    <tableColumn id="14" xr3:uid="{24DFFE08-6274-4515-ACF5-683DFF502E1B}" name="法人／事業所数" dataCellStyle="桁区切り"/>
    <tableColumn id="15" xr3:uid="{CA21CB5C-3B3E-41BE-A4D1-9C7335FEDD3B}" name="法人／構成比" dataDxfId="490"/>
    <tableColumn id="16" xr3:uid="{5FCAD8F0-12C7-46AA-8F5E-35939510C00F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5EEA477-AEC1-4884-8E75-709FFE42521B}" name="LTBL_46215" displayName="LTBL_46215" ref="B4:I20" totalsRowCount="1">
  <autoFilter ref="B4:I19" xr:uid="{55EEA477-AEC1-4884-8E75-709FFE42521B}"/>
  <tableColumns count="8">
    <tableColumn id="9" xr3:uid="{BE3BA894-72E1-4825-8AC5-DD31F3C6216D}" name="産業大分類" totalsRowLabel="合計" totalsRowDxfId="489"/>
    <tableColumn id="10" xr3:uid="{38FA4C2D-FBC5-488A-AC60-1084C099CB5B}" name="総数／事業所数" totalsRowFunction="custom" totalsRowDxfId="488" dataCellStyle="桁区切り" totalsRowCellStyle="桁区切り">
      <totalsRowFormula>SUM(LTBL_46215[総数／事業所数])</totalsRowFormula>
    </tableColumn>
    <tableColumn id="11" xr3:uid="{57F919BB-80E3-469E-9796-8ABBD1D91E51}" name="総数／構成比" dataDxfId="487"/>
    <tableColumn id="12" xr3:uid="{0D6053E9-CA76-4803-9445-2BB6BFEB0D26}" name="個人／事業所数" totalsRowFunction="sum" totalsRowDxfId="486" dataCellStyle="桁区切り" totalsRowCellStyle="桁区切り"/>
    <tableColumn id="13" xr3:uid="{325A65B3-95F2-4CBD-ACAC-83F12759BD05}" name="個人／構成比" dataDxfId="485"/>
    <tableColumn id="14" xr3:uid="{FBDA7800-6630-4EB6-BC8D-C3C85433F824}" name="法人／事業所数" totalsRowFunction="sum" totalsRowDxfId="484" dataCellStyle="桁区切り" totalsRowCellStyle="桁区切り"/>
    <tableColumn id="15" xr3:uid="{53BE4CBD-AA92-4C0E-8FD8-28440BCBF93F}" name="法人／構成比" dataDxfId="483"/>
    <tableColumn id="16" xr3:uid="{80BD8276-93AE-47DA-9959-FA7D8221B9C1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AD00957-237A-4324-B8A2-D5B0D6223D6B}" name="M_TABLE_46215" displayName="M_TABLE_46215" ref="B23:I43" totalsRowShown="0">
  <autoFilter ref="B23:I43" xr:uid="{6AD00957-237A-4324-B8A2-D5B0D6223D6B}"/>
  <tableColumns count="8">
    <tableColumn id="9" xr3:uid="{BDA85489-48E1-4857-9F06-E2A1FE38ABCE}" name="産業中分類上位２０"/>
    <tableColumn id="10" xr3:uid="{1CC98796-2468-4427-85F6-E94DBC64C32D}" name="総数／事業所数" dataCellStyle="桁区切り"/>
    <tableColumn id="11" xr3:uid="{52BA4941-C0EB-4F15-AD84-9BEFF512B570}" name="総数／構成比" dataDxfId="481"/>
    <tableColumn id="12" xr3:uid="{B622EC2E-A904-4EA8-B7DE-B43A0A89AB42}" name="個人／事業所数" dataCellStyle="桁区切り"/>
    <tableColumn id="13" xr3:uid="{859EC1DD-B75A-4F0F-8781-572D082E2FFC}" name="個人／構成比" dataDxfId="480"/>
    <tableColumn id="14" xr3:uid="{F0E84B5D-EAA6-44B2-8E8F-E08C69A390FF}" name="法人／事業所数" dataCellStyle="桁区切り"/>
    <tableColumn id="15" xr3:uid="{1AE88B00-BED8-486F-956B-78471C938567}" name="法人／構成比" dataDxfId="479"/>
    <tableColumn id="16" xr3:uid="{8C2296CE-94B1-4C17-91FB-158EC4F2ADFD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21AB90-7B73-4391-8AC5-60C0DB4DC24D}" name="S_TABLE_46000" displayName="S_TABLE_46000" ref="B46:I66" totalsRowShown="0">
  <autoFilter ref="B46:I66" xr:uid="{9921AB90-7B73-4391-8AC5-60C0DB4DC24D}"/>
  <tableColumns count="8">
    <tableColumn id="9" xr3:uid="{685D9D70-74C2-466F-BBCE-403F30410D30}" name="産業小分類上位２０"/>
    <tableColumn id="10" xr3:uid="{8F8A6A5B-034E-43A6-8E38-159EB6F433F4}" name="総数／事業所数" dataCellStyle="桁区切り"/>
    <tableColumn id="11" xr3:uid="{50435CC0-35A5-4159-9D2B-7AFE3EB21571}" name="総数／構成比" dataDxfId="604"/>
    <tableColumn id="12" xr3:uid="{5E1F7A57-7E4C-4993-8741-21D0D3DD46B4}" name="個人／事業所数" dataCellStyle="桁区切り"/>
    <tableColumn id="13" xr3:uid="{D09BD51A-3176-4FA9-8CA7-3C25B84EEEF1}" name="個人／構成比" dataDxfId="603"/>
    <tableColumn id="14" xr3:uid="{64E806C6-F66C-493C-8155-C643FA9B5E9E}" name="法人／事業所数" dataCellStyle="桁区切り"/>
    <tableColumn id="15" xr3:uid="{8045D884-A414-49C9-987B-589A8F72A9BA}" name="法人／構成比" dataDxfId="602"/>
    <tableColumn id="16" xr3:uid="{3FC6AC47-63BE-4971-9DB9-1F68A415125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1B3ACDC-FCC6-4F09-AE29-9F5DD88E7A91}" name="S_TABLE_46215" displayName="S_TABLE_46215" ref="B46:I66" totalsRowShown="0">
  <autoFilter ref="B46:I66" xr:uid="{71B3ACDC-FCC6-4F09-AE29-9F5DD88E7A91}"/>
  <tableColumns count="8">
    <tableColumn id="9" xr3:uid="{05C595D9-DA8D-4F41-AD32-5C66CF499932}" name="産業小分類上位２０"/>
    <tableColumn id="10" xr3:uid="{5645A690-BA62-4317-BB2F-36A2D4C8BBA4}" name="総数／事業所数" dataCellStyle="桁区切り"/>
    <tableColumn id="11" xr3:uid="{F22938E6-41C6-46ED-8B76-F75AC50939F8}" name="総数／構成比" dataDxfId="478"/>
    <tableColumn id="12" xr3:uid="{4A26F480-87F3-41ED-9CD9-2A87ACBDF671}" name="個人／事業所数" dataCellStyle="桁区切り"/>
    <tableColumn id="13" xr3:uid="{1E202270-E50D-440E-9C78-9A6170D8230E}" name="個人／構成比" dataDxfId="477"/>
    <tableColumn id="14" xr3:uid="{02CF6E35-9236-473E-9010-E6A246178C16}" name="法人／事業所数" dataCellStyle="桁区切り"/>
    <tableColumn id="15" xr3:uid="{C1702757-7DB4-4680-BA01-E9AC9B3DE1F7}" name="法人／構成比" dataDxfId="476"/>
    <tableColumn id="16" xr3:uid="{DE661A23-3B76-457C-8219-199D1A9F0D5F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4C94D04-8474-402F-ABCC-42B2E8D0BDB0}" name="LTBL_46216" displayName="LTBL_46216" ref="B4:I20" totalsRowCount="1">
  <autoFilter ref="B4:I19" xr:uid="{A4C94D04-8474-402F-ABCC-42B2E8D0BDB0}"/>
  <tableColumns count="8">
    <tableColumn id="9" xr3:uid="{5616C516-0C11-40A2-9EEA-146A1200A9B3}" name="産業大分類" totalsRowLabel="合計" totalsRowDxfId="475"/>
    <tableColumn id="10" xr3:uid="{21DBD00C-507D-49E5-AA17-6D33864E6FF5}" name="総数／事業所数" totalsRowFunction="custom" totalsRowDxfId="474" dataCellStyle="桁区切り" totalsRowCellStyle="桁区切り">
      <totalsRowFormula>SUM(LTBL_46216[総数／事業所数])</totalsRowFormula>
    </tableColumn>
    <tableColumn id="11" xr3:uid="{8FE07BC7-682F-47CA-8BE3-310BBD7B52CC}" name="総数／構成比" dataDxfId="473"/>
    <tableColumn id="12" xr3:uid="{8C2CF3F9-CEA2-47B4-A3DE-B4D45F0F052A}" name="個人／事業所数" totalsRowFunction="sum" totalsRowDxfId="472" dataCellStyle="桁区切り" totalsRowCellStyle="桁区切り"/>
    <tableColumn id="13" xr3:uid="{3C579DE9-6CD0-4B0C-A3D7-36E1541EC9B8}" name="個人／構成比" dataDxfId="471"/>
    <tableColumn id="14" xr3:uid="{C488B5BA-476A-4EC4-847F-7BEE35F5AFE8}" name="法人／事業所数" totalsRowFunction="sum" totalsRowDxfId="470" dataCellStyle="桁区切り" totalsRowCellStyle="桁区切り"/>
    <tableColumn id="15" xr3:uid="{165D263A-2856-4863-B6E3-736730180D41}" name="法人／構成比" dataDxfId="469"/>
    <tableColumn id="16" xr3:uid="{47718A92-49DB-4ACF-BC9C-ABDEFA4A3464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FB5DDC2-B46A-4110-A269-C555209EAF38}" name="M_TABLE_46216" displayName="M_TABLE_46216" ref="B23:I43" totalsRowShown="0">
  <autoFilter ref="B23:I43" xr:uid="{8FB5DDC2-B46A-4110-A269-C555209EAF38}"/>
  <tableColumns count="8">
    <tableColumn id="9" xr3:uid="{FDDCB4E5-D77F-478D-986F-BA6D38B690F7}" name="産業中分類上位２０"/>
    <tableColumn id="10" xr3:uid="{F6099CDE-391F-4D28-A039-318D9E4EEAB7}" name="総数／事業所数" dataCellStyle="桁区切り"/>
    <tableColumn id="11" xr3:uid="{971FDE18-CBDF-4D18-80AE-B532BD38377D}" name="総数／構成比" dataDxfId="467"/>
    <tableColumn id="12" xr3:uid="{D25EC4F7-9816-44DE-9E3B-D504AD2BD851}" name="個人／事業所数" dataCellStyle="桁区切り"/>
    <tableColumn id="13" xr3:uid="{BC172802-4F4D-4364-8D7A-D6B623370676}" name="個人／構成比" dataDxfId="466"/>
    <tableColumn id="14" xr3:uid="{F5B05C7D-9470-414B-828D-7322BA456EE4}" name="法人／事業所数" dataCellStyle="桁区切り"/>
    <tableColumn id="15" xr3:uid="{739BA945-1D2E-4F6F-9F56-3C88DE0E7C64}" name="法人／構成比" dataDxfId="465"/>
    <tableColumn id="16" xr3:uid="{DEADE179-5F85-4AEA-8E8B-99262221FF7D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EF04200-6D54-4AB7-94D9-AE05E5C1C537}" name="S_TABLE_46216" displayName="S_TABLE_46216" ref="B46:I69" totalsRowShown="0">
  <autoFilter ref="B46:I69" xr:uid="{DEF04200-6D54-4AB7-94D9-AE05E5C1C537}"/>
  <tableColumns count="8">
    <tableColumn id="9" xr3:uid="{F6013446-83B1-4BEC-B6DB-0D61A6E347B8}" name="産業小分類上位２０"/>
    <tableColumn id="10" xr3:uid="{AC884712-9D17-4DF2-9E41-24BD96E19B4F}" name="総数／事業所数" dataCellStyle="桁区切り"/>
    <tableColumn id="11" xr3:uid="{1A4BAFCA-3606-4212-A8A9-9D97582983AE}" name="総数／構成比" dataDxfId="464"/>
    <tableColumn id="12" xr3:uid="{AC15EAC7-A4A0-4B06-B451-34EE5DD5E66F}" name="個人／事業所数" dataCellStyle="桁区切り"/>
    <tableColumn id="13" xr3:uid="{0D64F65F-CA2C-4506-B427-B5B4458E2CFA}" name="個人／構成比" dataDxfId="463"/>
    <tableColumn id="14" xr3:uid="{5221D87E-8228-46D1-AD1E-754F01A37544}" name="法人／事業所数" dataCellStyle="桁区切り"/>
    <tableColumn id="15" xr3:uid="{5F0761FE-D295-40C6-A4D1-784976E2DC84}" name="法人／構成比" dataDxfId="462"/>
    <tableColumn id="16" xr3:uid="{DE8C2E3E-C65A-4CE2-BAE5-455F67117DE9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2213A8F-BD41-42B3-9D84-B6710469A75A}" name="LTBL_46217" displayName="LTBL_46217" ref="B4:I20" totalsRowCount="1">
  <autoFilter ref="B4:I19" xr:uid="{92213A8F-BD41-42B3-9D84-B6710469A75A}"/>
  <tableColumns count="8">
    <tableColumn id="9" xr3:uid="{3F6A31F6-5B2E-4495-A702-41EC0D05CB8E}" name="産業大分類" totalsRowLabel="合計" totalsRowDxfId="461"/>
    <tableColumn id="10" xr3:uid="{46B72B46-E9FD-482F-903B-6F952EF381B3}" name="総数／事業所数" totalsRowFunction="custom" totalsRowDxfId="460" dataCellStyle="桁区切り" totalsRowCellStyle="桁区切り">
      <totalsRowFormula>SUM(LTBL_46217[総数／事業所数])</totalsRowFormula>
    </tableColumn>
    <tableColumn id="11" xr3:uid="{3A0D8F1B-D570-4DF2-B15E-BBCDA720DA9C}" name="総数／構成比" dataDxfId="459"/>
    <tableColumn id="12" xr3:uid="{FBFEE860-F874-4882-911B-C5810D9114D0}" name="個人／事業所数" totalsRowFunction="sum" totalsRowDxfId="458" dataCellStyle="桁区切り" totalsRowCellStyle="桁区切り"/>
    <tableColumn id="13" xr3:uid="{A05A8816-C8F5-44D4-9E14-4E148C4E88E2}" name="個人／構成比" dataDxfId="457"/>
    <tableColumn id="14" xr3:uid="{1FB5ECA0-3B9D-4A36-8821-34FE4F2CBBA2}" name="法人／事業所数" totalsRowFunction="sum" totalsRowDxfId="456" dataCellStyle="桁区切り" totalsRowCellStyle="桁区切り"/>
    <tableColumn id="15" xr3:uid="{01143E4F-66DA-4029-9ED4-610AD7E95F56}" name="法人／構成比" dataDxfId="455"/>
    <tableColumn id="16" xr3:uid="{9DEE9A4E-DF50-4D9F-9CB9-F99A296FB0C5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915EFD4-4F97-4FED-96D3-E9AAFF8DEEED}" name="M_TABLE_46217" displayName="M_TABLE_46217" ref="B23:I43" totalsRowShown="0">
  <autoFilter ref="B23:I43" xr:uid="{1915EFD4-4F97-4FED-96D3-E9AAFF8DEEED}"/>
  <tableColumns count="8">
    <tableColumn id="9" xr3:uid="{927D23A7-C715-446E-9BFC-48DCF020CC44}" name="産業中分類上位２０"/>
    <tableColumn id="10" xr3:uid="{4B3B2199-1951-4F47-8E87-3DFB377C2F45}" name="総数／事業所数" dataCellStyle="桁区切り"/>
    <tableColumn id="11" xr3:uid="{5AF11C54-2BCC-4E0C-B6B5-F6557F09CC5A}" name="総数／構成比" dataDxfId="453"/>
    <tableColumn id="12" xr3:uid="{6D8472C8-D262-4566-A6FD-881431203A97}" name="個人／事業所数" dataCellStyle="桁区切り"/>
    <tableColumn id="13" xr3:uid="{FAB9D6D7-117A-497F-8BB1-D62FF31D44B2}" name="個人／構成比" dataDxfId="452"/>
    <tableColumn id="14" xr3:uid="{C9B605C9-7EAA-426C-97A7-5180EBE988EB}" name="法人／事業所数" dataCellStyle="桁区切り"/>
    <tableColumn id="15" xr3:uid="{41066DB6-9638-4DB8-9340-297824FAC14D}" name="法人／構成比" dataDxfId="451"/>
    <tableColumn id="16" xr3:uid="{8C738CE0-5BDC-4620-91A9-94F2F21365CD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880D414-F8B8-4D61-A157-F27290C55D60}" name="S_TABLE_46217" displayName="S_TABLE_46217" ref="B46:I66" totalsRowShown="0">
  <autoFilter ref="B46:I66" xr:uid="{B880D414-F8B8-4D61-A157-F27290C55D60}"/>
  <tableColumns count="8">
    <tableColumn id="9" xr3:uid="{1CC7FD62-238B-4BA2-83F2-1EF1737E04C3}" name="産業小分類上位２０"/>
    <tableColumn id="10" xr3:uid="{7F27D07D-2766-4FF9-A12F-1B5EA4454A38}" name="総数／事業所数" dataCellStyle="桁区切り"/>
    <tableColumn id="11" xr3:uid="{D836EF12-C425-4E01-9A2D-3A4E087C7119}" name="総数／構成比" dataDxfId="450"/>
    <tableColumn id="12" xr3:uid="{2732396C-6D94-416B-8365-F2BD8D460040}" name="個人／事業所数" dataCellStyle="桁区切り"/>
    <tableColumn id="13" xr3:uid="{6DB531D6-4597-43A4-AF13-5855836698FE}" name="個人／構成比" dataDxfId="449"/>
    <tableColumn id="14" xr3:uid="{7DCF86DB-FF81-47B4-B92A-566FCF14B1EF}" name="法人／事業所数" dataCellStyle="桁区切り"/>
    <tableColumn id="15" xr3:uid="{83D4AAEB-2D84-4169-807F-B459F545E5F7}" name="法人／構成比" dataDxfId="448"/>
    <tableColumn id="16" xr3:uid="{645AC42A-C609-4EB1-9577-DBB3DFCE4CC1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077EDEA-303F-460F-AD39-4D3124DEDE7B}" name="LTBL_46218" displayName="LTBL_46218" ref="B4:I20" totalsRowCount="1">
  <autoFilter ref="B4:I19" xr:uid="{C077EDEA-303F-460F-AD39-4D3124DEDE7B}"/>
  <tableColumns count="8">
    <tableColumn id="9" xr3:uid="{AD56ACB4-B6FB-46E5-80AE-F90506D5D852}" name="産業大分類" totalsRowLabel="合計" totalsRowDxfId="447"/>
    <tableColumn id="10" xr3:uid="{FEB05224-5D45-441D-AB4B-2B8A744631B0}" name="総数／事業所数" totalsRowFunction="custom" totalsRowDxfId="446" dataCellStyle="桁区切り" totalsRowCellStyle="桁区切り">
      <totalsRowFormula>SUM(LTBL_46218[総数／事業所数])</totalsRowFormula>
    </tableColumn>
    <tableColumn id="11" xr3:uid="{F6108902-0B65-48B2-B1E4-3C0AF6FDEA5C}" name="総数／構成比" dataDxfId="445"/>
    <tableColumn id="12" xr3:uid="{B74FC069-35D7-4755-867B-B5BBBA40F1E2}" name="個人／事業所数" totalsRowFunction="sum" totalsRowDxfId="444" dataCellStyle="桁区切り" totalsRowCellStyle="桁区切り"/>
    <tableColumn id="13" xr3:uid="{D3BE324A-1E22-4080-80AC-E92084E88CCE}" name="個人／構成比" dataDxfId="443"/>
    <tableColumn id="14" xr3:uid="{D1860F14-4D56-42B1-B2DD-75D62DD36DE5}" name="法人／事業所数" totalsRowFunction="sum" totalsRowDxfId="442" dataCellStyle="桁区切り" totalsRowCellStyle="桁区切り"/>
    <tableColumn id="15" xr3:uid="{C07B6345-A05C-4C68-B12C-590C26F621C0}" name="法人／構成比" dataDxfId="441"/>
    <tableColumn id="16" xr3:uid="{4BB467F0-5427-45F3-8FC4-9A32184FF267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36F3B82-AF5C-4774-8783-A5E1314115E3}" name="M_TABLE_46218" displayName="M_TABLE_46218" ref="B23:I43" totalsRowShown="0">
  <autoFilter ref="B23:I43" xr:uid="{936F3B82-AF5C-4774-8783-A5E1314115E3}"/>
  <tableColumns count="8">
    <tableColumn id="9" xr3:uid="{1C11B58F-7F44-4215-8E12-4269165AE944}" name="産業中分類上位２０"/>
    <tableColumn id="10" xr3:uid="{73B46ABB-287E-450B-B165-4962F402EED0}" name="総数／事業所数" dataCellStyle="桁区切り"/>
    <tableColumn id="11" xr3:uid="{61ECC267-C170-43DC-B6A0-696DD434EB60}" name="総数／構成比" dataDxfId="439"/>
    <tableColumn id="12" xr3:uid="{90331457-F256-4352-B0C6-A8BD14E58ADA}" name="個人／事業所数" dataCellStyle="桁区切り"/>
    <tableColumn id="13" xr3:uid="{8425F6C9-CA88-4B00-BE29-F5C94170D1EA}" name="個人／構成比" dataDxfId="438"/>
    <tableColumn id="14" xr3:uid="{3346CFCA-4177-4C4F-BD99-F76BE0C7DC37}" name="法人／事業所数" dataCellStyle="桁区切り"/>
    <tableColumn id="15" xr3:uid="{124BA592-EE8E-4251-B10F-36C2B8E972FB}" name="法人／構成比" dataDxfId="437"/>
    <tableColumn id="16" xr3:uid="{8FE98A90-A9EC-45FB-8F8D-20D38AB36B73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30B3AA5-0219-4CEB-B2F8-60B90B830DC2}" name="S_TABLE_46218" displayName="S_TABLE_46218" ref="B46:I66" totalsRowShown="0">
  <autoFilter ref="B46:I66" xr:uid="{D30B3AA5-0219-4CEB-B2F8-60B90B830DC2}"/>
  <tableColumns count="8">
    <tableColumn id="9" xr3:uid="{F14A82F9-33BE-475A-B685-6635DB632C27}" name="産業小分類上位２０"/>
    <tableColumn id="10" xr3:uid="{C904E222-BC4A-4888-8CE6-86178658ACEC}" name="総数／事業所数" dataCellStyle="桁区切り"/>
    <tableColumn id="11" xr3:uid="{2F2E32D1-2101-42DC-AF34-FAFC272D84FF}" name="総数／構成比" dataDxfId="436"/>
    <tableColumn id="12" xr3:uid="{50FE7DC4-98BC-4E14-BAF7-66BE6899A9C9}" name="個人／事業所数" dataCellStyle="桁区切り"/>
    <tableColumn id="13" xr3:uid="{7E20558F-B489-4AC2-A90E-82422B04007B}" name="個人／構成比" dataDxfId="435"/>
    <tableColumn id="14" xr3:uid="{0BC9971C-1E94-4023-BDC2-252BCAFCF502}" name="法人／事業所数" dataCellStyle="桁区切り"/>
    <tableColumn id="15" xr3:uid="{A7EF6959-2134-4299-B7D1-DA0AEB68A240}" name="法人／構成比" dataDxfId="434"/>
    <tableColumn id="16" xr3:uid="{F823B7C1-6EA3-4858-88E7-BAA78B07B184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3902ED4-B30F-457F-B5B3-0542A66DB492}" name="LTBL_46201" displayName="LTBL_46201" ref="B4:I20" totalsRowCount="1">
  <autoFilter ref="B4:I19" xr:uid="{A3902ED4-B30F-457F-B5B3-0542A66DB492}"/>
  <tableColumns count="8">
    <tableColumn id="9" xr3:uid="{E88114C8-4CA3-46B8-A9C0-4D888BC96727}" name="産業大分類" totalsRowLabel="合計" totalsRowDxfId="601"/>
    <tableColumn id="10" xr3:uid="{F56102B7-0D9B-4226-98DF-96C43E6A420E}" name="総数／事業所数" totalsRowFunction="custom" totalsRowDxfId="600" dataCellStyle="桁区切り" totalsRowCellStyle="桁区切り">
      <totalsRowFormula>SUM(LTBL_46201[総数／事業所数])</totalsRowFormula>
    </tableColumn>
    <tableColumn id="11" xr3:uid="{6B56BAE5-CB17-4849-848D-3F10CF145AD5}" name="総数／構成比" dataDxfId="599"/>
    <tableColumn id="12" xr3:uid="{BDBB8986-CCBB-471D-BF17-904521180675}" name="個人／事業所数" totalsRowFunction="sum" totalsRowDxfId="598" dataCellStyle="桁区切り" totalsRowCellStyle="桁区切り"/>
    <tableColumn id="13" xr3:uid="{FA244E97-2F80-4873-AD2A-07EF808C23DC}" name="個人／構成比" dataDxfId="597"/>
    <tableColumn id="14" xr3:uid="{570807DE-49E8-4F18-82CF-EA96D0CCD3C2}" name="法人／事業所数" totalsRowFunction="sum" totalsRowDxfId="596" dataCellStyle="桁区切り" totalsRowCellStyle="桁区切り"/>
    <tableColumn id="15" xr3:uid="{B7DB7239-0576-459E-A1CC-81FDE502BDF8}" name="法人／構成比" dataDxfId="595"/>
    <tableColumn id="16" xr3:uid="{8D2B1457-1A18-4ADF-A913-CDF229162BD7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8B5CA55-6543-459C-BBD2-9D5C895B9405}" name="LTBL_46219" displayName="LTBL_46219" ref="B4:I20" totalsRowCount="1">
  <autoFilter ref="B4:I19" xr:uid="{28B5CA55-6543-459C-BBD2-9D5C895B9405}"/>
  <tableColumns count="8">
    <tableColumn id="9" xr3:uid="{3AC54A06-9029-475A-BBA2-AAB83317B926}" name="産業大分類" totalsRowLabel="合計" totalsRowDxfId="433"/>
    <tableColumn id="10" xr3:uid="{F8EC071B-0222-4170-A346-6EB9AC8264B6}" name="総数／事業所数" totalsRowFunction="custom" totalsRowDxfId="432" dataCellStyle="桁区切り" totalsRowCellStyle="桁区切り">
      <totalsRowFormula>SUM(LTBL_46219[総数／事業所数])</totalsRowFormula>
    </tableColumn>
    <tableColumn id="11" xr3:uid="{004CCBFE-2557-455B-A1F6-AF158D85DDF7}" name="総数／構成比" dataDxfId="431"/>
    <tableColumn id="12" xr3:uid="{DB6BE156-F186-4912-A8EC-8775607487FF}" name="個人／事業所数" totalsRowFunction="sum" totalsRowDxfId="430" dataCellStyle="桁区切り" totalsRowCellStyle="桁区切り"/>
    <tableColumn id="13" xr3:uid="{AD5F3E21-A345-44A7-A579-B2ACCA863494}" name="個人／構成比" dataDxfId="429"/>
    <tableColumn id="14" xr3:uid="{666319EA-F06C-48E1-AF27-AD5E89101EA9}" name="法人／事業所数" totalsRowFunction="sum" totalsRowDxfId="428" dataCellStyle="桁区切り" totalsRowCellStyle="桁区切り"/>
    <tableColumn id="15" xr3:uid="{FA1FCE03-D902-466F-9AC2-A19A784812D7}" name="法人／構成比" dataDxfId="427"/>
    <tableColumn id="16" xr3:uid="{EAAD5C6B-D861-42E3-89CA-A893BCBEAD5A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6A8E259-51B2-44AA-9F2B-E2FFDFBABC3F}" name="M_TABLE_46219" displayName="M_TABLE_46219" ref="B23:I43" totalsRowShown="0">
  <autoFilter ref="B23:I43" xr:uid="{96A8E259-51B2-44AA-9F2B-E2FFDFBABC3F}"/>
  <tableColumns count="8">
    <tableColumn id="9" xr3:uid="{4306DE98-4DD7-45F7-AA26-072017A0616C}" name="産業中分類上位２０"/>
    <tableColumn id="10" xr3:uid="{930B72B3-393C-49D6-91BC-B9C53595D070}" name="総数／事業所数" dataCellStyle="桁区切り"/>
    <tableColumn id="11" xr3:uid="{B6AE9504-24EC-49AD-B484-0A93362E2B65}" name="総数／構成比" dataDxfId="425"/>
    <tableColumn id="12" xr3:uid="{62BD0B1A-55A3-4D2F-9023-116DDF20EEDF}" name="個人／事業所数" dataCellStyle="桁区切り"/>
    <tableColumn id="13" xr3:uid="{A8BE19B3-E5D8-4ADC-A193-3DB2BED0983D}" name="個人／構成比" dataDxfId="424"/>
    <tableColumn id="14" xr3:uid="{750F1A5F-37BD-43A1-9627-5F55049832F7}" name="法人／事業所数" dataCellStyle="桁区切り"/>
    <tableColumn id="15" xr3:uid="{5DE18F99-8242-4ECA-8A23-9C2DDC1B973B}" name="法人／構成比" dataDxfId="423"/>
    <tableColumn id="16" xr3:uid="{0BCEB847-9BAB-4924-905F-FFDCD93DD4C3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FB5EA12-2134-4B4E-857A-B5D5ADDDD79F}" name="S_TABLE_46219" displayName="S_TABLE_46219" ref="B46:I67" totalsRowShown="0">
  <autoFilter ref="B46:I67" xr:uid="{0FB5EA12-2134-4B4E-857A-B5D5ADDDD79F}"/>
  <tableColumns count="8">
    <tableColumn id="9" xr3:uid="{4386DA57-8BAB-4262-A35E-20B621287A62}" name="産業小分類上位２０"/>
    <tableColumn id="10" xr3:uid="{5BCC92A7-8E8D-448F-BD6A-07519F01B9FE}" name="総数／事業所数" dataCellStyle="桁区切り"/>
    <tableColumn id="11" xr3:uid="{306C3B06-DDFB-4749-9ACF-147B21B9DB1A}" name="総数／構成比" dataDxfId="422"/>
    <tableColumn id="12" xr3:uid="{3615622C-FC63-4635-9D2D-72374E835A99}" name="個人／事業所数" dataCellStyle="桁区切り"/>
    <tableColumn id="13" xr3:uid="{DF4C121E-C1FE-4849-A75D-08489203DFBD}" name="個人／構成比" dataDxfId="421"/>
    <tableColumn id="14" xr3:uid="{C761A5BD-3EAB-4AEB-A259-50A0F00A3E93}" name="法人／事業所数" dataCellStyle="桁区切り"/>
    <tableColumn id="15" xr3:uid="{EAC040C7-425B-4B22-BED6-86BBD4DB5AA0}" name="法人／構成比" dataDxfId="420"/>
    <tableColumn id="16" xr3:uid="{C631FBA8-DE33-4C37-B218-D8971E29AE39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660011A-4F79-4ACB-9BEC-825403C5529E}" name="LTBL_46220" displayName="LTBL_46220" ref="B4:I20" totalsRowCount="1">
  <autoFilter ref="B4:I19" xr:uid="{8660011A-4F79-4ACB-9BEC-825403C5529E}"/>
  <tableColumns count="8">
    <tableColumn id="9" xr3:uid="{1478B224-6AD7-4D7F-92D9-FD55D031C029}" name="産業大分類" totalsRowLabel="合計" totalsRowDxfId="419"/>
    <tableColumn id="10" xr3:uid="{3CC87C0E-EE4E-4800-9A0A-9A041474D49E}" name="総数／事業所数" totalsRowFunction="custom" totalsRowDxfId="418" dataCellStyle="桁区切り" totalsRowCellStyle="桁区切り">
      <totalsRowFormula>SUM(LTBL_46220[総数／事業所数])</totalsRowFormula>
    </tableColumn>
    <tableColumn id="11" xr3:uid="{9B822F71-6CA9-4A6F-961D-91C4E3B646D4}" name="総数／構成比" dataDxfId="417"/>
    <tableColumn id="12" xr3:uid="{6C092214-6B77-4DC5-AFEB-1D4B967F5F99}" name="個人／事業所数" totalsRowFunction="sum" totalsRowDxfId="416" dataCellStyle="桁区切り" totalsRowCellStyle="桁区切り"/>
    <tableColumn id="13" xr3:uid="{284B06B3-291C-49A9-AD0A-82EA4893D371}" name="個人／構成比" dataDxfId="415"/>
    <tableColumn id="14" xr3:uid="{8517E8CA-C84D-43D9-BEE4-D6BCBA9CDBD6}" name="法人／事業所数" totalsRowFunction="sum" totalsRowDxfId="414" dataCellStyle="桁区切り" totalsRowCellStyle="桁区切り"/>
    <tableColumn id="15" xr3:uid="{6E99BF51-7140-4FC9-AF3F-C259543588D9}" name="法人／構成比" dataDxfId="413"/>
    <tableColumn id="16" xr3:uid="{8896C716-35C1-4D0B-AC29-8F0075DE050A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0ABF1C4-8AB8-44E7-9E02-8ED718E5979D}" name="M_TABLE_46220" displayName="M_TABLE_46220" ref="B23:I43" totalsRowShown="0">
  <autoFilter ref="B23:I43" xr:uid="{20ABF1C4-8AB8-44E7-9E02-8ED718E5979D}"/>
  <tableColumns count="8">
    <tableColumn id="9" xr3:uid="{049E8494-5279-4C10-AEAA-ADCC29B9020E}" name="産業中分類上位２０"/>
    <tableColumn id="10" xr3:uid="{4BCD2F68-707C-4AE8-9576-58D357E95486}" name="総数／事業所数" dataCellStyle="桁区切り"/>
    <tableColumn id="11" xr3:uid="{6348F001-1FEE-4930-8352-7EE63C3C6486}" name="総数／構成比" dataDxfId="411"/>
    <tableColumn id="12" xr3:uid="{7550AA70-F63C-4F92-A985-679E7A512736}" name="個人／事業所数" dataCellStyle="桁区切り"/>
    <tableColumn id="13" xr3:uid="{D7107289-835C-4BFF-8613-5C82D115C76E}" name="個人／構成比" dataDxfId="410"/>
    <tableColumn id="14" xr3:uid="{CE945697-4204-48FF-BABB-533CB79A7EBF}" name="法人／事業所数" dataCellStyle="桁区切り"/>
    <tableColumn id="15" xr3:uid="{EE573B01-7F22-4669-A38C-338AED885ACC}" name="法人／構成比" dataDxfId="409"/>
    <tableColumn id="16" xr3:uid="{37E3E2F2-050C-4728-9326-1B8022E6CAAB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4DB774B-23ED-4EEE-993F-1B46B063F3CD}" name="S_TABLE_46220" displayName="S_TABLE_46220" ref="B46:I66" totalsRowShown="0">
  <autoFilter ref="B46:I66" xr:uid="{94DB774B-23ED-4EEE-993F-1B46B063F3CD}"/>
  <tableColumns count="8">
    <tableColumn id="9" xr3:uid="{BC42E238-D7FF-4983-8268-220DC16C2B50}" name="産業小分類上位２０"/>
    <tableColumn id="10" xr3:uid="{9AD8966E-7D2A-4916-90FE-705CEC8A8411}" name="総数／事業所数" dataCellStyle="桁区切り"/>
    <tableColumn id="11" xr3:uid="{75663FF2-6730-46B4-8A8B-0900FE36B487}" name="総数／構成比" dataDxfId="408"/>
    <tableColumn id="12" xr3:uid="{5A51DB97-C373-4D93-9A21-FB4D2D56C058}" name="個人／事業所数" dataCellStyle="桁区切り"/>
    <tableColumn id="13" xr3:uid="{3FD152F0-87D6-4012-8C18-1D5204056A27}" name="個人／構成比" dataDxfId="407"/>
    <tableColumn id="14" xr3:uid="{A9B55B85-9118-423D-AF3F-27E7DC2151C9}" name="法人／事業所数" dataCellStyle="桁区切り"/>
    <tableColumn id="15" xr3:uid="{4F53C4B8-9E89-4AB0-BF88-83472B30806A}" name="法人／構成比" dataDxfId="406"/>
    <tableColumn id="16" xr3:uid="{61E29DDE-C072-4FEE-AC37-47AC7A6006ED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A7A637C-9423-4303-B747-FABEB9FC9B30}" name="LTBL_46221" displayName="LTBL_46221" ref="B4:I20" totalsRowCount="1">
  <autoFilter ref="B4:I19" xr:uid="{7A7A637C-9423-4303-B747-FABEB9FC9B30}"/>
  <tableColumns count="8">
    <tableColumn id="9" xr3:uid="{1D271FB1-433D-4CE6-87C1-81A56B7E214F}" name="産業大分類" totalsRowLabel="合計" totalsRowDxfId="405"/>
    <tableColumn id="10" xr3:uid="{0288B6F2-A633-4E75-93B1-F81DFE1F8E4D}" name="総数／事業所数" totalsRowFunction="custom" totalsRowDxfId="404" dataCellStyle="桁区切り" totalsRowCellStyle="桁区切り">
      <totalsRowFormula>SUM(LTBL_46221[総数／事業所数])</totalsRowFormula>
    </tableColumn>
    <tableColumn id="11" xr3:uid="{78DD9617-BEE2-48AD-9721-CAC7C63DAAC1}" name="総数／構成比" dataDxfId="403"/>
    <tableColumn id="12" xr3:uid="{C6857564-79DB-4893-ACA9-A29D2D7255B7}" name="個人／事業所数" totalsRowFunction="sum" totalsRowDxfId="402" dataCellStyle="桁区切り" totalsRowCellStyle="桁区切り"/>
    <tableColumn id="13" xr3:uid="{D2B7DFA8-BD11-47C1-B7FC-572D6334D3AE}" name="個人／構成比" dataDxfId="401"/>
    <tableColumn id="14" xr3:uid="{96ECD922-E1B3-4375-BEC2-158C3904223D}" name="法人／事業所数" totalsRowFunction="sum" totalsRowDxfId="400" dataCellStyle="桁区切り" totalsRowCellStyle="桁区切り"/>
    <tableColumn id="15" xr3:uid="{E0AB5C30-69B5-4FFE-B3A0-C5DEEF78302C}" name="法人／構成比" dataDxfId="399"/>
    <tableColumn id="16" xr3:uid="{89FCDCE8-55F4-4AFE-9740-53EEF2BE18C8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24EAAA5-157D-403E-9804-2FEA525A815E}" name="M_TABLE_46221" displayName="M_TABLE_46221" ref="B23:I43" totalsRowShown="0">
  <autoFilter ref="B23:I43" xr:uid="{F24EAAA5-157D-403E-9804-2FEA525A815E}"/>
  <tableColumns count="8">
    <tableColumn id="9" xr3:uid="{3C648955-E982-4498-81E0-1D59170576D0}" name="産業中分類上位２０"/>
    <tableColumn id="10" xr3:uid="{DABC869E-9DEE-4448-B048-C84CE7AB6F3D}" name="総数／事業所数" dataCellStyle="桁区切り"/>
    <tableColumn id="11" xr3:uid="{48B53323-4BDF-4D21-9525-6A6E6333A307}" name="総数／構成比" dataDxfId="397"/>
    <tableColumn id="12" xr3:uid="{C92C56B1-F9E3-471E-BD86-E6FA704D69B7}" name="個人／事業所数" dataCellStyle="桁区切り"/>
    <tableColumn id="13" xr3:uid="{383C1BFB-8DF6-45CB-BDF3-BFE103E36FC8}" name="個人／構成比" dataDxfId="396"/>
    <tableColumn id="14" xr3:uid="{CCCEEE40-7F2D-4EF4-B2EF-017A42DE21FA}" name="法人／事業所数" dataCellStyle="桁区切り"/>
    <tableColumn id="15" xr3:uid="{F5709BEE-5E53-49C5-9212-BDA390EAA3EA}" name="法人／構成比" dataDxfId="395"/>
    <tableColumn id="16" xr3:uid="{4FBFA86D-F8B0-4815-AE27-458366C64575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27FA764-1D4D-4AF7-9414-1E5C654A19DE}" name="S_TABLE_46221" displayName="S_TABLE_46221" ref="B46:I67" totalsRowShown="0">
  <autoFilter ref="B46:I67" xr:uid="{E27FA764-1D4D-4AF7-9414-1E5C654A19DE}"/>
  <tableColumns count="8">
    <tableColumn id="9" xr3:uid="{372FFBA8-EF58-4FB5-A0D9-5862F400CFB7}" name="産業小分類上位２０"/>
    <tableColumn id="10" xr3:uid="{596613BA-698E-43CF-AC40-B3BE22E9C86A}" name="総数／事業所数" dataCellStyle="桁区切り"/>
    <tableColumn id="11" xr3:uid="{4D23E108-291D-40C7-8C0D-1173140E5A3E}" name="総数／構成比" dataDxfId="394"/>
    <tableColumn id="12" xr3:uid="{72164887-3309-466D-A0D8-ED3801E1E02C}" name="個人／事業所数" dataCellStyle="桁区切り"/>
    <tableColumn id="13" xr3:uid="{3872CC83-9C61-400E-B597-C616EE395353}" name="個人／構成比" dataDxfId="393"/>
    <tableColumn id="14" xr3:uid="{432ED752-5A7F-493F-B30B-B21633EFC71A}" name="法人／事業所数" dataCellStyle="桁区切り"/>
    <tableColumn id="15" xr3:uid="{BB09030A-00E7-4E8E-89D6-F106B0691DA3}" name="法人／構成比" dataDxfId="392"/>
    <tableColumn id="16" xr3:uid="{83E4CF8B-B147-4E1D-901B-645C0547404E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B12DB27-ED79-491F-9255-5A16BD636609}" name="LTBL_46222" displayName="LTBL_46222" ref="B4:I20" totalsRowCount="1">
  <autoFilter ref="B4:I19" xr:uid="{EB12DB27-ED79-491F-9255-5A16BD636609}"/>
  <tableColumns count="8">
    <tableColumn id="9" xr3:uid="{54C32AB6-2FFB-46FC-B2A8-650153B58A5E}" name="産業大分類" totalsRowLabel="合計" totalsRowDxfId="391"/>
    <tableColumn id="10" xr3:uid="{97489555-287C-4997-8D49-F787A423D9B9}" name="総数／事業所数" totalsRowFunction="custom" totalsRowDxfId="390" dataCellStyle="桁区切り" totalsRowCellStyle="桁区切り">
      <totalsRowFormula>SUM(LTBL_46222[総数／事業所数])</totalsRowFormula>
    </tableColumn>
    <tableColumn id="11" xr3:uid="{C04B7B26-4727-43E9-869C-90EE4F7C101C}" name="総数／構成比" dataDxfId="389"/>
    <tableColumn id="12" xr3:uid="{2D6E8A9A-E48C-4BAE-9F90-3BD5509AF549}" name="個人／事業所数" totalsRowFunction="sum" totalsRowDxfId="388" dataCellStyle="桁区切り" totalsRowCellStyle="桁区切り"/>
    <tableColumn id="13" xr3:uid="{249643B3-3117-4A07-B03C-779ED5EFF449}" name="個人／構成比" dataDxfId="387"/>
    <tableColumn id="14" xr3:uid="{CC39E941-830D-4F5D-A9CB-B0501FC1EF4A}" name="法人／事業所数" totalsRowFunction="sum" totalsRowDxfId="386" dataCellStyle="桁区切り" totalsRowCellStyle="桁区切り"/>
    <tableColumn id="15" xr3:uid="{242FCE04-FDE3-43F3-9FD6-E5BED321A9E0}" name="法人／構成比" dataDxfId="385"/>
    <tableColumn id="16" xr3:uid="{DB4B03A7-29E3-4D2F-9A51-C8ACBE419A35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93E3E7-9DC2-48B8-8F4E-2C55C7A5F426}" name="M_TABLE_46201" displayName="M_TABLE_46201" ref="B23:I43" totalsRowShown="0">
  <autoFilter ref="B23:I43" xr:uid="{4593E3E7-9DC2-48B8-8F4E-2C55C7A5F426}"/>
  <tableColumns count="8">
    <tableColumn id="9" xr3:uid="{5BC53D48-8E6F-4407-B224-8D5A435B73DD}" name="産業中分類上位２０"/>
    <tableColumn id="10" xr3:uid="{563956F1-1E58-472B-940C-AA31CB91ABB6}" name="総数／事業所数" dataCellStyle="桁区切り"/>
    <tableColumn id="11" xr3:uid="{B96124F0-E4C1-4574-A765-AAB70275A5BD}" name="総数／構成比" dataDxfId="593"/>
    <tableColumn id="12" xr3:uid="{2399AA9C-8F5F-4F8F-B8D9-4C9E6695127F}" name="個人／事業所数" dataCellStyle="桁区切り"/>
    <tableColumn id="13" xr3:uid="{557ED319-B95C-4985-8A94-F2F398815815}" name="個人／構成比" dataDxfId="592"/>
    <tableColumn id="14" xr3:uid="{3EDD2B5C-B9F4-4B93-A40A-5D64DE8AFD5F}" name="法人／事業所数" dataCellStyle="桁区切り"/>
    <tableColumn id="15" xr3:uid="{52A3B532-3636-472C-AC7C-5CCA879243E0}" name="法人／構成比" dataDxfId="591"/>
    <tableColumn id="16" xr3:uid="{3CBE5F0A-AC1D-4157-B3AC-84E903FAF6A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8A7895D-2C47-4599-9E46-3F5CE2A93D69}" name="M_TABLE_46222" displayName="M_TABLE_46222" ref="B23:I43" totalsRowShown="0">
  <autoFilter ref="B23:I43" xr:uid="{48A7895D-2C47-4599-9E46-3F5CE2A93D69}"/>
  <tableColumns count="8">
    <tableColumn id="9" xr3:uid="{B573EB30-8F21-41CA-BB73-8ED32669D6E9}" name="産業中分類上位２０"/>
    <tableColumn id="10" xr3:uid="{CFC9DFF1-5DE7-4933-9C28-FA6AFA74369C}" name="総数／事業所数" dataCellStyle="桁区切り"/>
    <tableColumn id="11" xr3:uid="{F502327F-7580-4A3F-B288-66C65C9EB8D3}" name="総数／構成比" dataDxfId="383"/>
    <tableColumn id="12" xr3:uid="{C197CF28-D5CE-4F94-AC9E-1FFADBE4457B}" name="個人／事業所数" dataCellStyle="桁区切り"/>
    <tableColumn id="13" xr3:uid="{D0610C3F-2196-4737-810F-E964CFC18297}" name="個人／構成比" dataDxfId="382"/>
    <tableColumn id="14" xr3:uid="{E6B43DB9-B2C1-4CBC-BFBE-9201505C967F}" name="法人／事業所数" dataCellStyle="桁区切り"/>
    <tableColumn id="15" xr3:uid="{E5D52139-2CEC-4D25-97BF-8745A0EA46B1}" name="法人／構成比" dataDxfId="381"/>
    <tableColumn id="16" xr3:uid="{81F43C0A-C674-4B65-BB52-86DAD6E58FE1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62BAD95-B1D0-4092-8DA5-33A1596137C0}" name="S_TABLE_46222" displayName="S_TABLE_46222" ref="B46:I66" totalsRowShown="0">
  <autoFilter ref="B46:I66" xr:uid="{F62BAD95-B1D0-4092-8DA5-33A1596137C0}"/>
  <tableColumns count="8">
    <tableColumn id="9" xr3:uid="{36B53F8D-6A56-40FC-AEAA-BD565BCFD095}" name="産業小分類上位２０"/>
    <tableColumn id="10" xr3:uid="{DCF4C095-43BC-4DA7-A3AC-0FDEF9444F42}" name="総数／事業所数" dataCellStyle="桁区切り"/>
    <tableColumn id="11" xr3:uid="{541F309B-B096-4EDE-9742-F835E33629D9}" name="総数／構成比" dataDxfId="380"/>
    <tableColumn id="12" xr3:uid="{D5C3190A-4FDD-434A-BA1E-CE519B55286A}" name="個人／事業所数" dataCellStyle="桁区切り"/>
    <tableColumn id="13" xr3:uid="{B0867B66-E3A5-4FF7-AFFB-330C31659CFA}" name="個人／構成比" dataDxfId="379"/>
    <tableColumn id="14" xr3:uid="{74628A48-1B6E-406F-8432-11853D2B05CE}" name="法人／事業所数" dataCellStyle="桁区切り"/>
    <tableColumn id="15" xr3:uid="{4DE095F2-1565-464C-850E-87A40A461ECC}" name="法人／構成比" dataDxfId="378"/>
    <tableColumn id="16" xr3:uid="{B3BD20FE-0954-45DA-836B-A7BF15ED3806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49A12C1-5457-40D6-96F7-E68EBE74B9B1}" name="LTBL_46223" displayName="LTBL_46223" ref="B4:I20" totalsRowCount="1">
  <autoFilter ref="B4:I19" xr:uid="{E49A12C1-5457-40D6-96F7-E68EBE74B9B1}"/>
  <tableColumns count="8">
    <tableColumn id="9" xr3:uid="{61A535D6-E715-4020-8ADE-A1B7E2B2B6BF}" name="産業大分類" totalsRowLabel="合計" totalsRowDxfId="377"/>
    <tableColumn id="10" xr3:uid="{3C1C50AB-A7F1-4367-956F-6B562C37F8A8}" name="総数／事業所数" totalsRowFunction="custom" totalsRowDxfId="376" dataCellStyle="桁区切り" totalsRowCellStyle="桁区切り">
      <totalsRowFormula>SUM(LTBL_46223[総数／事業所数])</totalsRowFormula>
    </tableColumn>
    <tableColumn id="11" xr3:uid="{D2A9CBB0-3E87-45E1-B8D3-5BB201790A9E}" name="総数／構成比" dataDxfId="375"/>
    <tableColumn id="12" xr3:uid="{7209AD2D-82E1-4A88-BBFD-AC8275A26C42}" name="個人／事業所数" totalsRowFunction="sum" totalsRowDxfId="374" dataCellStyle="桁区切り" totalsRowCellStyle="桁区切り"/>
    <tableColumn id="13" xr3:uid="{AC511CAA-C93B-41E2-9911-39022A433BFA}" name="個人／構成比" dataDxfId="373"/>
    <tableColumn id="14" xr3:uid="{6FDB2FA7-96FD-4B73-A540-F4ED3962CF38}" name="法人／事業所数" totalsRowFunction="sum" totalsRowDxfId="372" dataCellStyle="桁区切り" totalsRowCellStyle="桁区切り"/>
    <tableColumn id="15" xr3:uid="{CB4CB87D-A3A3-4A26-9D2C-E28F00C7FEC3}" name="法人／構成比" dataDxfId="371"/>
    <tableColumn id="16" xr3:uid="{CAC940F1-BD6E-4131-8198-B6C6A3BF4564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66233C9-A9A7-4BD1-860B-265247A35C93}" name="M_TABLE_46223" displayName="M_TABLE_46223" ref="B23:I44" totalsRowShown="0">
  <autoFilter ref="B23:I44" xr:uid="{A66233C9-A9A7-4BD1-860B-265247A35C93}"/>
  <tableColumns count="8">
    <tableColumn id="9" xr3:uid="{AABB26EC-51AD-4A7F-98A9-F6D6642E19E9}" name="産業中分類上位２０"/>
    <tableColumn id="10" xr3:uid="{7655E979-E5FF-4C6F-BE58-82CAA3CE6DD9}" name="総数／事業所数" dataCellStyle="桁区切り"/>
    <tableColumn id="11" xr3:uid="{47BF0434-E56E-4033-980C-363522985A34}" name="総数／構成比" dataDxfId="369"/>
    <tableColumn id="12" xr3:uid="{4BBE2E1F-8B06-43AC-B1F5-79D9273EB44F}" name="個人／事業所数" dataCellStyle="桁区切り"/>
    <tableColumn id="13" xr3:uid="{D8B8EF0E-9E14-47ED-BA8C-28B32D5B7215}" name="個人／構成比" dataDxfId="368"/>
    <tableColumn id="14" xr3:uid="{299107DE-D2A1-464F-8B0B-66C3AF82AF2C}" name="法人／事業所数" dataCellStyle="桁区切り"/>
    <tableColumn id="15" xr3:uid="{24075E11-F746-42BD-8791-69EE314C5714}" name="法人／構成比" dataDxfId="367"/>
    <tableColumn id="16" xr3:uid="{02B91072-1B6C-455A-8F26-559EBF668479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D2AD005-17CE-4B97-9928-675A1CCA903F}" name="S_TABLE_46223" displayName="S_TABLE_46223" ref="B47:I70" totalsRowShown="0">
  <autoFilter ref="B47:I70" xr:uid="{ED2AD005-17CE-4B97-9928-675A1CCA903F}"/>
  <tableColumns count="8">
    <tableColumn id="9" xr3:uid="{081192FE-D7F0-482F-ACD1-2789795861E1}" name="産業小分類上位２０"/>
    <tableColumn id="10" xr3:uid="{F7B2A2EA-CF76-4D3F-9EB6-817D79B703A8}" name="総数／事業所数" dataCellStyle="桁区切り"/>
    <tableColumn id="11" xr3:uid="{75D7B405-779E-4777-AA31-E6A02D994297}" name="総数／構成比" dataDxfId="366"/>
    <tableColumn id="12" xr3:uid="{F5D4101E-0482-456A-BBE3-E1D51B801634}" name="個人／事業所数" dataCellStyle="桁区切り"/>
    <tableColumn id="13" xr3:uid="{9C01710C-EFCA-472C-AE0B-7E9C6E21F7FF}" name="個人／構成比" dataDxfId="365"/>
    <tableColumn id="14" xr3:uid="{723A7043-24D7-44DA-9477-DB953317E519}" name="法人／事業所数" dataCellStyle="桁区切り"/>
    <tableColumn id="15" xr3:uid="{37AE2969-C3E7-49D5-8B0D-6EBD67F2E6D0}" name="法人／構成比" dataDxfId="364"/>
    <tableColumn id="16" xr3:uid="{52B5630F-FD94-4A72-B5F8-FC5963DF9616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ECC126A-A9BC-4976-B5CB-C2A8EC61FC1E}" name="LTBL_46224" displayName="LTBL_46224" ref="B4:I20" totalsRowCount="1">
  <autoFilter ref="B4:I19" xr:uid="{5ECC126A-A9BC-4976-B5CB-C2A8EC61FC1E}"/>
  <tableColumns count="8">
    <tableColumn id="9" xr3:uid="{8004A799-B88B-4B6C-BAB1-CDA585190B35}" name="産業大分類" totalsRowLabel="合計" totalsRowDxfId="363"/>
    <tableColumn id="10" xr3:uid="{41481C0C-031C-4D43-95AC-989EC0923251}" name="総数／事業所数" totalsRowFunction="custom" totalsRowDxfId="362" dataCellStyle="桁区切り" totalsRowCellStyle="桁区切り">
      <totalsRowFormula>SUM(LTBL_46224[総数／事業所数])</totalsRowFormula>
    </tableColumn>
    <tableColumn id="11" xr3:uid="{08D3724C-D6CB-4CD9-8871-77B414B14B11}" name="総数／構成比" dataDxfId="361"/>
    <tableColumn id="12" xr3:uid="{74295B91-D615-4F30-A489-2BF27D1C73BA}" name="個人／事業所数" totalsRowFunction="sum" totalsRowDxfId="360" dataCellStyle="桁区切り" totalsRowCellStyle="桁区切り"/>
    <tableColumn id="13" xr3:uid="{2D701876-4498-4582-87EA-908B36341E2E}" name="個人／構成比" dataDxfId="359"/>
    <tableColumn id="14" xr3:uid="{5C0EC8BE-C26E-4B3A-9A32-A931C7F9C689}" name="法人／事業所数" totalsRowFunction="sum" totalsRowDxfId="358" dataCellStyle="桁区切り" totalsRowCellStyle="桁区切り"/>
    <tableColumn id="15" xr3:uid="{4FE7F7AD-3B5F-4C4F-A788-EF99D1D761C9}" name="法人／構成比" dataDxfId="357"/>
    <tableColumn id="16" xr3:uid="{6A94D2F8-FC29-4A7A-9D55-6D3954815B9D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C4DC267-1A42-4DC1-9B9A-1B010710E39F}" name="M_TABLE_46224" displayName="M_TABLE_46224" ref="B23:I46" totalsRowShown="0">
  <autoFilter ref="B23:I46" xr:uid="{6C4DC267-1A42-4DC1-9B9A-1B010710E39F}"/>
  <tableColumns count="8">
    <tableColumn id="9" xr3:uid="{A404D3A0-28D0-4C56-992B-91EC2923A664}" name="産業中分類上位２０"/>
    <tableColumn id="10" xr3:uid="{6B4C611F-295C-467F-9FB8-36437F688C54}" name="総数／事業所数" dataCellStyle="桁区切り"/>
    <tableColumn id="11" xr3:uid="{465795C8-252F-4E9A-A47E-62FC67F5A0F3}" name="総数／構成比" dataDxfId="355"/>
    <tableColumn id="12" xr3:uid="{0BF3A5DF-C471-4014-BE7B-5373DFD4459B}" name="個人／事業所数" dataCellStyle="桁区切り"/>
    <tableColumn id="13" xr3:uid="{6E651563-23E0-4325-BE5D-5936199E508D}" name="個人／構成比" dataDxfId="354"/>
    <tableColumn id="14" xr3:uid="{FE4E2A06-1059-42CE-9765-3574B67B7FB2}" name="法人／事業所数" dataCellStyle="桁区切り"/>
    <tableColumn id="15" xr3:uid="{BFB85C63-77A5-41F2-A9AA-F17AA7C5B0FC}" name="法人／構成比" dataDxfId="353"/>
    <tableColumn id="16" xr3:uid="{C416F6F3-0B67-410E-8633-59BB593910BF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0BF032B-D206-4F97-BAEC-D45AABC5D642}" name="S_TABLE_46224" displayName="S_TABLE_46224" ref="B49:I71" totalsRowShown="0">
  <autoFilter ref="B49:I71" xr:uid="{30BF032B-D206-4F97-BAEC-D45AABC5D642}"/>
  <tableColumns count="8">
    <tableColumn id="9" xr3:uid="{4CF915D1-9E2E-40C7-A5FE-E7580107FD58}" name="産業小分類上位２０"/>
    <tableColumn id="10" xr3:uid="{DEEE2F0F-7D2F-4442-93DC-FFB07C4FC7DE}" name="総数／事業所数" dataCellStyle="桁区切り"/>
    <tableColumn id="11" xr3:uid="{E2B2DC45-63F4-4B85-AC2D-0CB3B81CB5C4}" name="総数／構成比" dataDxfId="352"/>
    <tableColumn id="12" xr3:uid="{8F0F2DE7-66B4-4404-9CA6-15E5551B18AD}" name="個人／事業所数" dataCellStyle="桁区切り"/>
    <tableColumn id="13" xr3:uid="{0B8B935E-5383-41D3-9EB3-721436F656D8}" name="個人／構成比" dataDxfId="351"/>
    <tableColumn id="14" xr3:uid="{5F41B95E-9E64-4BF8-9165-BDCBED9FBD4B}" name="法人／事業所数" dataCellStyle="桁区切り"/>
    <tableColumn id="15" xr3:uid="{C866B868-2E6C-4529-A3A0-775ED6A95C64}" name="法人／構成比" dataDxfId="350"/>
    <tableColumn id="16" xr3:uid="{EA28250C-D78E-433F-A954-BC3B7906FAA2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639657B-9684-46AB-8601-42B0A175E237}" name="LTBL_46225" displayName="LTBL_46225" ref="B4:I20" totalsRowCount="1">
  <autoFilter ref="B4:I19" xr:uid="{2639657B-9684-46AB-8601-42B0A175E237}"/>
  <tableColumns count="8">
    <tableColumn id="9" xr3:uid="{3B1B7F1A-0C68-4EAC-B8A3-7D5ECC0CEFD5}" name="産業大分類" totalsRowLabel="合計" totalsRowDxfId="349"/>
    <tableColumn id="10" xr3:uid="{FAC99FF8-3AD6-48E8-9667-05933FC89412}" name="総数／事業所数" totalsRowFunction="custom" totalsRowDxfId="348" dataCellStyle="桁区切り" totalsRowCellStyle="桁区切り">
      <totalsRowFormula>SUM(LTBL_46225[総数／事業所数])</totalsRowFormula>
    </tableColumn>
    <tableColumn id="11" xr3:uid="{EE8415D1-A96A-4ED9-BB8C-0E933AFFFC92}" name="総数／構成比" dataDxfId="347"/>
    <tableColumn id="12" xr3:uid="{2155FA2D-C82C-44F8-9E2E-5D74CF035536}" name="個人／事業所数" totalsRowFunction="sum" totalsRowDxfId="346" dataCellStyle="桁区切り" totalsRowCellStyle="桁区切り"/>
    <tableColumn id="13" xr3:uid="{252D4AA6-07BA-4E01-AD9E-3E472AF41438}" name="個人／構成比" dataDxfId="345"/>
    <tableColumn id="14" xr3:uid="{BDCE5AA5-FF04-4955-AEFC-08680083DEC1}" name="法人／事業所数" totalsRowFunction="sum" totalsRowDxfId="344" dataCellStyle="桁区切り" totalsRowCellStyle="桁区切り"/>
    <tableColumn id="15" xr3:uid="{7BCFF9C3-8D55-41B9-85C6-88DF78C0AE82}" name="法人／構成比" dataDxfId="343"/>
    <tableColumn id="16" xr3:uid="{9927E993-BBB4-47B6-B0A8-1AA76F4B59CF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224677E-F9F0-46DC-9D39-DFD2891CDE4A}" name="M_TABLE_46225" displayName="M_TABLE_46225" ref="B23:I43" totalsRowShown="0">
  <autoFilter ref="B23:I43" xr:uid="{C224677E-F9F0-46DC-9D39-DFD2891CDE4A}"/>
  <tableColumns count="8">
    <tableColumn id="9" xr3:uid="{FC20D203-A94B-4801-B936-3FFB59F1CDD6}" name="産業中分類上位２０"/>
    <tableColumn id="10" xr3:uid="{AFCCD389-A847-497D-903E-83D8C967644E}" name="総数／事業所数" dataCellStyle="桁区切り"/>
    <tableColumn id="11" xr3:uid="{6029D37C-5257-44E0-912D-913CE6786926}" name="総数／構成比" dataDxfId="341"/>
    <tableColumn id="12" xr3:uid="{D224BAA5-0E08-4C81-9D3D-AE74F7B6EAD9}" name="個人／事業所数" dataCellStyle="桁区切り"/>
    <tableColumn id="13" xr3:uid="{2B5AA525-9D3B-409F-95FC-219482A476F0}" name="個人／構成比" dataDxfId="340"/>
    <tableColumn id="14" xr3:uid="{9E07450C-8F81-4B8B-8CC1-6B866E7C5011}" name="法人／事業所数" dataCellStyle="桁区切り"/>
    <tableColumn id="15" xr3:uid="{120C207A-37FD-45A1-BBB9-1325BD481DEC}" name="法人／構成比" dataDxfId="339"/>
    <tableColumn id="16" xr3:uid="{CCBBF73D-57BE-4AB2-88A0-79C20DEBF4A6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5D6C9B-3811-4CC7-9CBA-B463B87BACF1}" name="S_TABLE_46201" displayName="S_TABLE_46201" ref="B46:I66" totalsRowShown="0">
  <autoFilter ref="B46:I66" xr:uid="{755D6C9B-3811-4CC7-9CBA-B463B87BACF1}"/>
  <tableColumns count="8">
    <tableColumn id="9" xr3:uid="{E5A22405-1B97-4CC7-8502-12377741F4BE}" name="産業小分類上位２０"/>
    <tableColumn id="10" xr3:uid="{ED93302B-DBE6-4584-9690-D4A261BA517E}" name="総数／事業所数" dataCellStyle="桁区切り"/>
    <tableColumn id="11" xr3:uid="{77208444-3A20-4E84-9C38-873A5C1BC7DC}" name="総数／構成比" dataDxfId="590"/>
    <tableColumn id="12" xr3:uid="{1C78A865-21FB-4EC5-B5CB-6A49DC4548FA}" name="個人／事業所数" dataCellStyle="桁区切り"/>
    <tableColumn id="13" xr3:uid="{AD0C43D5-244D-41E7-AE14-0FD91F444873}" name="個人／構成比" dataDxfId="589"/>
    <tableColumn id="14" xr3:uid="{28EBBFB0-C8E9-4146-AE29-2DF03A90ECD4}" name="法人／事業所数" dataCellStyle="桁区切り"/>
    <tableColumn id="15" xr3:uid="{70302922-D17C-43F1-9C09-F1EA64F6CB11}" name="法人／構成比" dataDxfId="588"/>
    <tableColumn id="16" xr3:uid="{72DE913C-B353-4C7D-92C3-52360EADD5FC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FFA89C5-AF39-4492-8CC2-11D9B15D03C2}" name="S_TABLE_46225" displayName="S_TABLE_46225" ref="B46:I67" totalsRowShown="0">
  <autoFilter ref="B46:I67" xr:uid="{6FFA89C5-AF39-4492-8CC2-11D9B15D03C2}"/>
  <tableColumns count="8">
    <tableColumn id="9" xr3:uid="{8ECB8848-250A-41AF-97CF-A3186BD2A05C}" name="産業小分類上位２０"/>
    <tableColumn id="10" xr3:uid="{35D696D0-C2C1-4751-9280-F4E3BD7A45A6}" name="総数／事業所数" dataCellStyle="桁区切り"/>
    <tableColumn id="11" xr3:uid="{5634BD66-066B-4F66-88E6-C63AEADF8B9D}" name="総数／構成比" dataDxfId="338"/>
    <tableColumn id="12" xr3:uid="{88C16067-95A9-428C-8417-4E0C8D513C71}" name="個人／事業所数" dataCellStyle="桁区切り"/>
    <tableColumn id="13" xr3:uid="{E97B372C-CEB9-44BE-9441-9A79C83890B6}" name="個人／構成比" dataDxfId="337"/>
    <tableColumn id="14" xr3:uid="{A1BE621E-47CB-4D92-9372-7600EA145F8B}" name="法人／事業所数" dataCellStyle="桁区切り"/>
    <tableColumn id="15" xr3:uid="{A8DC73FC-1A6F-46C9-A53C-EA508FF5F60A}" name="法人／構成比" dataDxfId="336"/>
    <tableColumn id="16" xr3:uid="{EFD0AE50-6B52-41A8-A9F1-ED77BDBBD229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C971DEB-88CB-4210-9A6C-D45EA3122D73}" name="LTBL_46303" displayName="LTBL_46303" ref="B4:I20" totalsRowCount="1">
  <autoFilter ref="B4:I19" xr:uid="{9C971DEB-88CB-4210-9A6C-D45EA3122D73}"/>
  <tableColumns count="8">
    <tableColumn id="9" xr3:uid="{194D6CB0-A78C-4FE8-A3BB-1CA6D0144D34}" name="産業大分類" totalsRowLabel="合計" totalsRowDxfId="335"/>
    <tableColumn id="10" xr3:uid="{FF948F2D-1E86-4B46-92D5-78F33C3B4A6D}" name="総数／事業所数" totalsRowFunction="custom" totalsRowDxfId="334" dataCellStyle="桁区切り" totalsRowCellStyle="桁区切り">
      <totalsRowFormula>SUM(LTBL_46303[総数／事業所数])</totalsRowFormula>
    </tableColumn>
    <tableColumn id="11" xr3:uid="{6189DC14-3CD6-4C40-B9BF-4A4F1E78A247}" name="総数／構成比" dataDxfId="333"/>
    <tableColumn id="12" xr3:uid="{975A9F1F-C72F-4DB5-A830-48B1A3EA5154}" name="個人／事業所数" totalsRowFunction="sum" totalsRowDxfId="332" dataCellStyle="桁区切り" totalsRowCellStyle="桁区切り"/>
    <tableColumn id="13" xr3:uid="{98ABB1AB-3830-40D0-A3EC-160FC3FB6922}" name="個人／構成比" dataDxfId="331"/>
    <tableColumn id="14" xr3:uid="{E83F636A-3721-4683-B5A1-5F26CBDB2D89}" name="法人／事業所数" totalsRowFunction="sum" totalsRowDxfId="330" dataCellStyle="桁区切り" totalsRowCellStyle="桁区切り"/>
    <tableColumn id="15" xr3:uid="{FF482AED-99DA-478D-B65F-8F8C623C3362}" name="法人／構成比" dataDxfId="329"/>
    <tableColumn id="16" xr3:uid="{50E8649C-0AE6-4416-86C6-DEF6A11EB3CE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2F22AAD-1BBF-4778-8287-BD35C399D06D}" name="M_TABLE_46303" displayName="M_TABLE_46303" ref="B23:I31" totalsRowShown="0">
  <autoFilter ref="B23:I31" xr:uid="{02F22AAD-1BBF-4778-8287-BD35C399D06D}"/>
  <tableColumns count="8">
    <tableColumn id="9" xr3:uid="{29EEF060-0251-4F9E-A33F-B0238715FC89}" name="産業中分類上位２０"/>
    <tableColumn id="10" xr3:uid="{C9004490-4B51-4432-AE4B-B8A4C65BD31A}" name="総数／事業所数" dataCellStyle="桁区切り"/>
    <tableColumn id="11" xr3:uid="{F5D2FF30-894E-4CDB-8FF4-18A2BA38AF1F}" name="総数／構成比" dataDxfId="327"/>
    <tableColumn id="12" xr3:uid="{CB6EBF52-2C0C-434F-98C6-9A8CA370962C}" name="個人／事業所数" dataCellStyle="桁区切り"/>
    <tableColumn id="13" xr3:uid="{205AB9BA-0E22-4CE9-B46E-DAE8ECBD86C3}" name="個人／構成比" dataDxfId="326"/>
    <tableColumn id="14" xr3:uid="{1BEA5CB2-14D1-4BF0-B635-905CD5EF61C8}" name="法人／事業所数" dataCellStyle="桁区切り"/>
    <tableColumn id="15" xr3:uid="{5A0BF5AA-8175-4F8F-AE32-388C04E7D494}" name="法人／構成比" dataDxfId="325"/>
    <tableColumn id="16" xr3:uid="{37E7A76F-3FB3-41C7-B501-5EB3EEF26BFC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3E167FC-EE3E-46A9-81FF-707B5D67888D}" name="S_TABLE_46303" displayName="S_TABLE_46303" ref="B34:I48" totalsRowShown="0">
  <autoFilter ref="B34:I48" xr:uid="{93E167FC-EE3E-46A9-81FF-707B5D67888D}"/>
  <tableColumns count="8">
    <tableColumn id="9" xr3:uid="{BB32BF70-0623-4F3D-A797-7CCB35A78B67}" name="産業小分類上位２０"/>
    <tableColumn id="10" xr3:uid="{A70EFDB2-C300-4BA0-8974-E307AFD1B432}" name="総数／事業所数" dataCellStyle="桁区切り"/>
    <tableColumn id="11" xr3:uid="{8CFF9271-19AA-4492-AEAC-99588531931C}" name="総数／構成比" dataDxfId="324"/>
    <tableColumn id="12" xr3:uid="{0DE2FB43-DD0C-458F-BBF0-D8DB4BF1FEF1}" name="個人／事業所数" dataCellStyle="桁区切り"/>
    <tableColumn id="13" xr3:uid="{F96DFDC3-5E7B-41A7-9E88-CB4637F40562}" name="個人／構成比" dataDxfId="323"/>
    <tableColumn id="14" xr3:uid="{1F6BB24F-F875-4C36-85BC-5EF91E359396}" name="法人／事業所数" dataCellStyle="桁区切り"/>
    <tableColumn id="15" xr3:uid="{D8FD7691-0BAA-43FA-80A4-39D5E4BB7824}" name="法人／構成比" dataDxfId="322"/>
    <tableColumn id="16" xr3:uid="{EBA78972-B191-4EB8-91FA-BBF1FC9BE437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0816E61-079C-4E65-A5F7-4A060727B5E8}" name="LTBL_46304" displayName="LTBL_46304" ref="B4:I20" totalsRowCount="1">
  <autoFilter ref="B4:I19" xr:uid="{60816E61-079C-4E65-A5F7-4A060727B5E8}"/>
  <tableColumns count="8">
    <tableColumn id="9" xr3:uid="{3F843704-688E-4313-8C4F-27C5DBF193AE}" name="産業大分類" totalsRowLabel="合計" totalsRowDxfId="321"/>
    <tableColumn id="10" xr3:uid="{F8E46B22-BE16-4C3E-9A57-3CB1B8C27C05}" name="総数／事業所数" totalsRowFunction="custom" totalsRowDxfId="320" dataCellStyle="桁区切り" totalsRowCellStyle="桁区切り">
      <totalsRowFormula>SUM(LTBL_46304[総数／事業所数])</totalsRowFormula>
    </tableColumn>
    <tableColumn id="11" xr3:uid="{ED57C828-11F0-4410-892F-46027D816577}" name="総数／構成比" dataDxfId="319"/>
    <tableColumn id="12" xr3:uid="{20C8336F-CCAC-4E02-BE37-3EE94EB48792}" name="個人／事業所数" totalsRowFunction="sum" totalsRowDxfId="318" dataCellStyle="桁区切り" totalsRowCellStyle="桁区切り"/>
    <tableColumn id="13" xr3:uid="{6B779176-D85A-4F49-BFB0-C7076CB87F0B}" name="個人／構成比" dataDxfId="317"/>
    <tableColumn id="14" xr3:uid="{795EF482-5CA0-4181-A48A-80988D8266E1}" name="法人／事業所数" totalsRowFunction="sum" totalsRowDxfId="316" dataCellStyle="桁区切り" totalsRowCellStyle="桁区切り"/>
    <tableColumn id="15" xr3:uid="{04CD56F1-2AFB-47EC-A95F-A97CCDA23EB2}" name="法人／構成比" dataDxfId="315"/>
    <tableColumn id="16" xr3:uid="{D5EB7BCB-CFB9-421C-8DAF-A2CBB3AF9779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E9A28D4-49BB-4CD9-BC27-9630F8F9DF58}" name="M_TABLE_46304" displayName="M_TABLE_46304" ref="B23:I29" totalsRowShown="0">
  <autoFilter ref="B23:I29" xr:uid="{BE9A28D4-49BB-4CD9-BC27-9630F8F9DF58}"/>
  <tableColumns count="8">
    <tableColumn id="9" xr3:uid="{5EC28D08-391B-43A6-93F1-C8EDD38A45E4}" name="産業中分類上位２０"/>
    <tableColumn id="10" xr3:uid="{67C10E7E-1849-434B-8401-C900294E50F2}" name="総数／事業所数" dataCellStyle="桁区切り"/>
    <tableColumn id="11" xr3:uid="{6660B7E8-1706-4301-8944-ACDD7D00EBC4}" name="総数／構成比" dataDxfId="313"/>
    <tableColumn id="12" xr3:uid="{7BFA30C4-63A4-4292-A423-5B97D8B66867}" name="個人／事業所数" dataCellStyle="桁区切り"/>
    <tableColumn id="13" xr3:uid="{1C5BEAA6-F368-4C34-9E6E-D8365295FE83}" name="個人／構成比" dataDxfId="312"/>
    <tableColumn id="14" xr3:uid="{1FBC4BEB-3987-4BB1-9024-E8F20AFB136F}" name="法人／事業所数" dataCellStyle="桁区切り"/>
    <tableColumn id="15" xr3:uid="{F92C6C08-FAE8-44C5-8D64-E36798256EEF}" name="法人／構成比" dataDxfId="311"/>
    <tableColumn id="16" xr3:uid="{B2118EC2-D438-47D7-8BBF-F8490D4CB4E8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952D830-2BA4-4B67-BF62-14E35A4AA749}" name="S_TABLE_46304" displayName="S_TABLE_46304" ref="B32:I42" totalsRowShown="0">
  <autoFilter ref="B32:I42" xr:uid="{C952D830-2BA4-4B67-BF62-14E35A4AA749}"/>
  <tableColumns count="8">
    <tableColumn id="9" xr3:uid="{F584817E-61AF-4927-A367-C809D6A5BDC5}" name="産業小分類上位２０"/>
    <tableColumn id="10" xr3:uid="{6860767D-DA5D-4F89-84DD-397BADB08220}" name="総数／事業所数" dataCellStyle="桁区切り"/>
    <tableColumn id="11" xr3:uid="{C1ADA078-480D-47A2-92F9-39D74D063673}" name="総数／構成比" dataDxfId="310"/>
    <tableColumn id="12" xr3:uid="{65915566-DA11-4211-A597-5E56A891D275}" name="個人／事業所数" dataCellStyle="桁区切り"/>
    <tableColumn id="13" xr3:uid="{805A66A7-05C1-45B6-ABAA-C927AFAFB034}" name="個人／構成比" dataDxfId="309"/>
    <tableColumn id="14" xr3:uid="{68EB0282-2377-4802-9D0E-F28EBEBE4674}" name="法人／事業所数" dataCellStyle="桁区切り"/>
    <tableColumn id="15" xr3:uid="{8C5F8D9B-EF77-42E3-A7F1-4ED80B62E8F2}" name="法人／構成比" dataDxfId="308"/>
    <tableColumn id="16" xr3:uid="{8EA1DB42-B703-4402-8B81-A81489AE81E4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6C80F756-36B7-469A-ABD5-607F9519C519}" name="LTBL_46392" displayName="LTBL_46392" ref="B4:I20" totalsRowCount="1">
  <autoFilter ref="B4:I19" xr:uid="{6C80F756-36B7-469A-ABD5-607F9519C519}"/>
  <tableColumns count="8">
    <tableColumn id="9" xr3:uid="{3EE03B0C-5070-47D6-8171-0B4FA7209A65}" name="産業大分類" totalsRowLabel="合計" totalsRowDxfId="307"/>
    <tableColumn id="10" xr3:uid="{8FF26DFC-B82D-48A7-9ADD-8BAD2C77F1C8}" name="総数／事業所数" totalsRowFunction="custom" totalsRowDxfId="306" dataCellStyle="桁区切り" totalsRowCellStyle="桁区切り">
      <totalsRowFormula>SUM(LTBL_46392[総数／事業所数])</totalsRowFormula>
    </tableColumn>
    <tableColumn id="11" xr3:uid="{8613CA86-30C9-456D-B8C5-310A78CA9232}" name="総数／構成比" dataDxfId="305"/>
    <tableColumn id="12" xr3:uid="{1ABE712F-DC98-4E5C-AFBD-AB13C57FDC00}" name="個人／事業所数" totalsRowFunction="sum" totalsRowDxfId="304" dataCellStyle="桁区切り" totalsRowCellStyle="桁区切り"/>
    <tableColumn id="13" xr3:uid="{999EED30-5324-4ED9-BC9A-7C33B496F106}" name="個人／構成比" dataDxfId="303"/>
    <tableColumn id="14" xr3:uid="{06D47682-4348-4F24-90AB-B52F554DCBAF}" name="法人／事業所数" totalsRowFunction="sum" totalsRowDxfId="302" dataCellStyle="桁区切り" totalsRowCellStyle="桁区切り"/>
    <tableColumn id="15" xr3:uid="{078A1600-F62E-41DB-A541-61AFC16FE4B3}" name="法人／構成比" dataDxfId="301"/>
    <tableColumn id="16" xr3:uid="{CD471D5A-E92A-4E40-B69D-A77AB70D0DFF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A590F83-4B04-463E-8C2C-3AFE58B40792}" name="M_TABLE_46392" displayName="M_TABLE_46392" ref="B23:I43" totalsRowShown="0">
  <autoFilter ref="B23:I43" xr:uid="{CA590F83-4B04-463E-8C2C-3AFE58B40792}"/>
  <tableColumns count="8">
    <tableColumn id="9" xr3:uid="{44AED406-598D-4BDC-8E37-893589D36070}" name="産業中分類上位２０"/>
    <tableColumn id="10" xr3:uid="{474D2150-A1B9-4580-A466-8D2C48B5B5AC}" name="総数／事業所数" dataCellStyle="桁区切り"/>
    <tableColumn id="11" xr3:uid="{FBCB97D5-2DAA-4EE5-A784-E8A8FB75892C}" name="総数／構成比" dataDxfId="299"/>
    <tableColumn id="12" xr3:uid="{81C89EB2-710C-4E75-8096-19795F625567}" name="個人／事業所数" dataCellStyle="桁区切り"/>
    <tableColumn id="13" xr3:uid="{15B29791-1288-444B-B74B-2FCEF3EB22DD}" name="個人／構成比" dataDxfId="298"/>
    <tableColumn id="14" xr3:uid="{0A7EE616-3A95-407D-80E1-15D8AF19C681}" name="法人／事業所数" dataCellStyle="桁区切り"/>
    <tableColumn id="15" xr3:uid="{5704F9DF-BA07-4B0D-A004-C0E9147B18C6}" name="法人／構成比" dataDxfId="297"/>
    <tableColumn id="16" xr3:uid="{E72C0E4B-D001-4F6C-B0B6-C5DA3C3319D3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D68444B-D356-4069-AA98-E0BD2C3EB3EC}" name="S_TABLE_46392" displayName="S_TABLE_46392" ref="B46:I66" totalsRowShown="0">
  <autoFilter ref="B46:I66" xr:uid="{8D68444B-D356-4069-AA98-E0BD2C3EB3EC}"/>
  <tableColumns count="8">
    <tableColumn id="9" xr3:uid="{5F349C70-2250-4C87-B3E8-01C9D3426FCD}" name="産業小分類上位２０"/>
    <tableColumn id="10" xr3:uid="{68A7B9BB-468A-4129-A25F-36BCA03C388E}" name="総数／事業所数" dataCellStyle="桁区切り"/>
    <tableColumn id="11" xr3:uid="{98A540F1-F617-4FB8-A667-C78B7E61A2D1}" name="総数／構成比" dataDxfId="296"/>
    <tableColumn id="12" xr3:uid="{96BF2ADD-5609-4E3D-B695-18609547AC09}" name="個人／事業所数" dataCellStyle="桁区切り"/>
    <tableColumn id="13" xr3:uid="{25C56C69-9889-4807-A058-CB97C3A6EB21}" name="個人／構成比" dataDxfId="295"/>
    <tableColumn id="14" xr3:uid="{A2BB432C-E66A-455D-B775-B1EAF598ED87}" name="法人／事業所数" dataCellStyle="桁区切り"/>
    <tableColumn id="15" xr3:uid="{1681EE4B-72EA-4C1A-94A6-B92E2B45D881}" name="法人／構成比" dataDxfId="294"/>
    <tableColumn id="16" xr3:uid="{C69CB3B5-D80F-4D2C-98B2-B5AB9A1D42E1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C445D6-A056-4A9C-8C70-0C8968677BE6}" name="LTBL_46203" displayName="LTBL_46203" ref="B4:I20" totalsRowCount="1">
  <autoFilter ref="B4:I19" xr:uid="{85C445D6-A056-4A9C-8C70-0C8968677BE6}"/>
  <tableColumns count="8">
    <tableColumn id="9" xr3:uid="{85BE1350-4129-4DB8-AA68-AACCD5067A6B}" name="産業大分類" totalsRowLabel="合計" totalsRowDxfId="587"/>
    <tableColumn id="10" xr3:uid="{EBBD71A3-01F9-48E7-AC60-486643B6F7CB}" name="総数／事業所数" totalsRowFunction="custom" totalsRowDxfId="586" dataCellStyle="桁区切り" totalsRowCellStyle="桁区切り">
      <totalsRowFormula>SUM(LTBL_46203[総数／事業所数])</totalsRowFormula>
    </tableColumn>
    <tableColumn id="11" xr3:uid="{10B749B5-F41C-4D75-9935-F9BD25669E62}" name="総数／構成比" dataDxfId="585"/>
    <tableColumn id="12" xr3:uid="{0C69BFE7-2AF5-43F6-8A81-D85C777900D0}" name="個人／事業所数" totalsRowFunction="sum" totalsRowDxfId="584" dataCellStyle="桁区切り" totalsRowCellStyle="桁区切り"/>
    <tableColumn id="13" xr3:uid="{AEE9A1F7-B9E9-4D7A-9E80-A6F6E3C5F90D}" name="個人／構成比" dataDxfId="583"/>
    <tableColumn id="14" xr3:uid="{64AE0849-3324-4BEB-9DC4-8DBDBD522EFA}" name="法人／事業所数" totalsRowFunction="sum" totalsRowDxfId="582" dataCellStyle="桁区切り" totalsRowCellStyle="桁区切り"/>
    <tableColumn id="15" xr3:uid="{C7930912-F7A0-4F0C-B045-E2BB8D848286}" name="法人／構成比" dataDxfId="581"/>
    <tableColumn id="16" xr3:uid="{5E1BBD29-4320-4556-9C39-A8D9A2D83338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CF91711-DA47-4D16-8688-ADBF1CA0B467}" name="LTBL_46404" displayName="LTBL_46404" ref="B4:I20" totalsRowCount="1">
  <autoFilter ref="B4:I19" xr:uid="{5CF91711-DA47-4D16-8688-ADBF1CA0B467}"/>
  <tableColumns count="8">
    <tableColumn id="9" xr3:uid="{7846FAE3-F600-48D6-9924-C4D27949BECE}" name="産業大分類" totalsRowLabel="合計" totalsRowDxfId="293"/>
    <tableColumn id="10" xr3:uid="{1593A411-9AF8-4E96-A0EE-2A213968AACC}" name="総数／事業所数" totalsRowFunction="custom" totalsRowDxfId="292" dataCellStyle="桁区切り" totalsRowCellStyle="桁区切り">
      <totalsRowFormula>SUM(LTBL_46404[総数／事業所数])</totalsRowFormula>
    </tableColumn>
    <tableColumn id="11" xr3:uid="{83374F10-F7B2-4EAA-B98B-98DE33B46D63}" name="総数／構成比" dataDxfId="291"/>
    <tableColumn id="12" xr3:uid="{06363315-D2AB-48DA-B831-4781D9DA881B}" name="個人／事業所数" totalsRowFunction="sum" totalsRowDxfId="290" dataCellStyle="桁区切り" totalsRowCellStyle="桁区切り"/>
    <tableColumn id="13" xr3:uid="{1A46D744-3B2E-4711-8D78-04E5F8F5B854}" name="個人／構成比" dataDxfId="289"/>
    <tableColumn id="14" xr3:uid="{D00764FE-ADEF-4F46-8A9C-D299EB494DC5}" name="法人／事業所数" totalsRowFunction="sum" totalsRowDxfId="288" dataCellStyle="桁区切り" totalsRowCellStyle="桁区切り"/>
    <tableColumn id="15" xr3:uid="{9BF8D344-B137-4813-AB39-0D358DF38DCA}" name="法人／構成比" dataDxfId="287"/>
    <tableColumn id="16" xr3:uid="{438C64B1-7395-4C3E-93C4-7F0206955F4C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43C4746F-4A71-4787-92CE-65BB95298157}" name="M_TABLE_46404" displayName="M_TABLE_46404" ref="B23:I47" totalsRowShown="0">
  <autoFilter ref="B23:I47" xr:uid="{43C4746F-4A71-4787-92CE-65BB95298157}"/>
  <tableColumns count="8">
    <tableColumn id="9" xr3:uid="{EDCCD2A0-92EE-4CEF-A74D-A83F1D84DE43}" name="産業中分類上位２０"/>
    <tableColumn id="10" xr3:uid="{6322D333-3F1C-40C2-BAB3-62AA225EC555}" name="総数／事業所数" dataCellStyle="桁区切り"/>
    <tableColumn id="11" xr3:uid="{DF1A5865-2FC1-4EC6-9CDE-8C197AF4634A}" name="総数／構成比" dataDxfId="285"/>
    <tableColumn id="12" xr3:uid="{8F56858C-F5F3-45B8-8B45-EB28663CD1E1}" name="個人／事業所数" dataCellStyle="桁区切り"/>
    <tableColumn id="13" xr3:uid="{2AB10D23-C04C-4B89-9134-DD1742976B14}" name="個人／構成比" dataDxfId="284"/>
    <tableColumn id="14" xr3:uid="{57B949FC-7B2E-4F23-9C55-A18B9E77F1BC}" name="法人／事業所数" dataCellStyle="桁区切り"/>
    <tableColumn id="15" xr3:uid="{0EE5BC02-EF9C-4770-BCBF-C6B27A8D0020}" name="法人／構成比" dataDxfId="283"/>
    <tableColumn id="16" xr3:uid="{A9DEF019-893D-4A14-9736-D053175B5C4E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E31DAE75-B50D-43B8-BA1E-CE2BFD63C21B}" name="S_TABLE_46404" displayName="S_TABLE_46404" ref="B50:I71" totalsRowShown="0">
  <autoFilter ref="B50:I71" xr:uid="{E31DAE75-B50D-43B8-BA1E-CE2BFD63C21B}"/>
  <tableColumns count="8">
    <tableColumn id="9" xr3:uid="{F3D9C49D-25FB-4FC0-A3D2-0D71FB930B06}" name="産業小分類上位２０"/>
    <tableColumn id="10" xr3:uid="{0470880D-9A7D-499E-90C2-81799DEDA37F}" name="総数／事業所数" dataCellStyle="桁区切り"/>
    <tableColumn id="11" xr3:uid="{B06FA487-EF13-49B9-91B0-89F9330B2701}" name="総数／構成比" dataDxfId="282"/>
    <tableColumn id="12" xr3:uid="{20F1E810-1FA6-4D32-9AB5-D8128A2AB2F4}" name="個人／事業所数" dataCellStyle="桁区切り"/>
    <tableColumn id="13" xr3:uid="{40A89635-7554-49F8-8BD9-13DD6A970698}" name="個人／構成比" dataDxfId="281"/>
    <tableColumn id="14" xr3:uid="{A31AD5EB-CE33-4C71-960F-26D9995D645F}" name="法人／事業所数" dataCellStyle="桁区切り"/>
    <tableColumn id="15" xr3:uid="{F9DDBD42-050A-4C1A-A805-4CDFC1A533B7}" name="法人／構成比" dataDxfId="280"/>
    <tableColumn id="16" xr3:uid="{97030274-5314-4E63-909C-FFBA235574AF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411A7C7-6CE7-4879-94F7-F0621E3E2F95}" name="LTBL_46452" displayName="LTBL_46452" ref="B4:I20" totalsRowCount="1">
  <autoFilter ref="B4:I19" xr:uid="{5411A7C7-6CE7-4879-94F7-F0621E3E2F95}"/>
  <tableColumns count="8">
    <tableColumn id="9" xr3:uid="{C477527C-89EE-4597-8B59-914E8B1103F1}" name="産業大分類" totalsRowLabel="合計" totalsRowDxfId="279"/>
    <tableColumn id="10" xr3:uid="{EB3BDD88-F63F-432C-867A-4A1565A32FAE}" name="総数／事業所数" totalsRowFunction="custom" totalsRowDxfId="278" dataCellStyle="桁区切り" totalsRowCellStyle="桁区切り">
      <totalsRowFormula>SUM(LTBL_46452[総数／事業所数])</totalsRowFormula>
    </tableColumn>
    <tableColumn id="11" xr3:uid="{25CB8997-068D-4ECB-9AFE-4500DB48CA81}" name="総数／構成比" dataDxfId="277"/>
    <tableColumn id="12" xr3:uid="{B8F23BBF-26B8-4DF9-A60E-44D38B7F4C02}" name="個人／事業所数" totalsRowFunction="sum" totalsRowDxfId="276" dataCellStyle="桁区切り" totalsRowCellStyle="桁区切り"/>
    <tableColumn id="13" xr3:uid="{3A7BA075-BCE9-4097-9651-1EABBD006D5F}" name="個人／構成比" dataDxfId="275"/>
    <tableColumn id="14" xr3:uid="{F0167E9A-B693-472C-9B1B-AAD92C82A0E0}" name="法人／事業所数" totalsRowFunction="sum" totalsRowDxfId="274" dataCellStyle="桁区切り" totalsRowCellStyle="桁区切り"/>
    <tableColumn id="15" xr3:uid="{8F5D4AE1-E727-4DD1-A376-D5C5E5525D7B}" name="法人／構成比" dataDxfId="273"/>
    <tableColumn id="16" xr3:uid="{B7CA9BDF-9E9A-47C3-9480-A0469E73CFB8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CB205FD-9B0F-4312-9006-3D3E8344E8D5}" name="M_TABLE_46452" displayName="M_TABLE_46452" ref="B23:I46" totalsRowShown="0">
  <autoFilter ref="B23:I46" xr:uid="{0CB205FD-9B0F-4312-9006-3D3E8344E8D5}"/>
  <tableColumns count="8">
    <tableColumn id="9" xr3:uid="{A0A0404A-654D-4582-B92F-B33E8E877A83}" name="産業中分類上位２０"/>
    <tableColumn id="10" xr3:uid="{E39A0F83-07D6-4260-9415-DE0233AE5847}" name="総数／事業所数" dataCellStyle="桁区切り"/>
    <tableColumn id="11" xr3:uid="{99F82823-2B83-4FE5-9965-1A0C43D6EB89}" name="総数／構成比" dataDxfId="271"/>
    <tableColumn id="12" xr3:uid="{EE915006-ECFE-444A-8613-7C58BD3D84BA}" name="個人／事業所数" dataCellStyle="桁区切り"/>
    <tableColumn id="13" xr3:uid="{AA8C5C06-6D03-48C9-A689-4171A9096454}" name="個人／構成比" dataDxfId="270"/>
    <tableColumn id="14" xr3:uid="{A1FAA54E-D32C-44D4-8F83-DD115B793E25}" name="法人／事業所数" dataCellStyle="桁区切り"/>
    <tableColumn id="15" xr3:uid="{09BC9022-23FC-476C-8483-A87D814FAF07}" name="法人／構成比" dataDxfId="269"/>
    <tableColumn id="16" xr3:uid="{3402B2EC-C396-47F5-B7A4-D6F2056E7E13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E60EABBC-F3E6-4C62-825D-17924236985D}" name="S_TABLE_46452" displayName="S_TABLE_46452" ref="B49:I76" totalsRowShown="0">
  <autoFilter ref="B49:I76" xr:uid="{E60EABBC-F3E6-4C62-825D-17924236985D}"/>
  <tableColumns count="8">
    <tableColumn id="9" xr3:uid="{BC15CC9F-4E45-4256-9DE5-28A32E1DBA7F}" name="産業小分類上位２０"/>
    <tableColumn id="10" xr3:uid="{7F78C27C-8D85-4476-AB66-DB80CBA49909}" name="総数／事業所数" dataCellStyle="桁区切り"/>
    <tableColumn id="11" xr3:uid="{3391FDF6-ACBC-4B1D-A9EE-CDC45B0F56AB}" name="総数／構成比" dataDxfId="268"/>
    <tableColumn id="12" xr3:uid="{942717A1-B407-4234-8FFF-59470D6BEB02}" name="個人／事業所数" dataCellStyle="桁区切り"/>
    <tableColumn id="13" xr3:uid="{AC8E7BB4-FE7A-4843-B857-376EB54024D3}" name="個人／構成比" dataDxfId="267"/>
    <tableColumn id="14" xr3:uid="{1D0E91C4-F5D2-4F96-B568-1F2B88A83253}" name="法人／事業所数" dataCellStyle="桁区切り"/>
    <tableColumn id="15" xr3:uid="{5DDB70C2-B253-4FCD-8859-AB09425FC5F3}" name="法人／構成比" dataDxfId="266"/>
    <tableColumn id="16" xr3:uid="{0B39AED9-67AA-4A3E-A6F6-37EE4398D639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C5F268E-78E5-4655-8E69-CA2E5A074A3E}" name="LTBL_46468" displayName="LTBL_46468" ref="B4:I20" totalsRowCount="1">
  <autoFilter ref="B4:I19" xr:uid="{AC5F268E-78E5-4655-8E69-CA2E5A074A3E}"/>
  <tableColumns count="8">
    <tableColumn id="9" xr3:uid="{65CB04A5-A709-4AD7-AE2B-D3861A070796}" name="産業大分類" totalsRowLabel="合計" totalsRowDxfId="265"/>
    <tableColumn id="10" xr3:uid="{98DAC533-39F0-499A-AD73-EB3CFF9FA143}" name="総数／事業所数" totalsRowFunction="custom" totalsRowDxfId="264" dataCellStyle="桁区切り" totalsRowCellStyle="桁区切り">
      <totalsRowFormula>SUM(LTBL_46468[総数／事業所数])</totalsRowFormula>
    </tableColumn>
    <tableColumn id="11" xr3:uid="{E30A377B-5A0E-467F-A98D-EE743FD7643F}" name="総数／構成比" dataDxfId="263"/>
    <tableColumn id="12" xr3:uid="{7F7AD880-AF15-45B1-AAEE-D0C9D5FC5C69}" name="個人／事業所数" totalsRowFunction="sum" totalsRowDxfId="262" dataCellStyle="桁区切り" totalsRowCellStyle="桁区切り"/>
    <tableColumn id="13" xr3:uid="{6612D540-C378-4BB0-9A93-0BBDE2EC6A69}" name="個人／構成比" dataDxfId="261"/>
    <tableColumn id="14" xr3:uid="{600F7403-3675-4887-9B9E-E339CD0E9D9B}" name="法人／事業所数" totalsRowFunction="sum" totalsRowDxfId="260" dataCellStyle="桁区切り" totalsRowCellStyle="桁区切り"/>
    <tableColumn id="15" xr3:uid="{BC4B6B1B-A3C0-4678-84F3-C15B307AC73B}" name="法人／構成比" dataDxfId="259"/>
    <tableColumn id="16" xr3:uid="{B5C3F0FD-FAA3-46B3-8A7F-6B757121B239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DD53E52-D766-4971-A69F-A3F85CF620C1}" name="M_TABLE_46468" displayName="M_TABLE_46468" ref="B23:I45" totalsRowShown="0">
  <autoFilter ref="B23:I45" xr:uid="{BDD53E52-D766-4971-A69F-A3F85CF620C1}"/>
  <tableColumns count="8">
    <tableColumn id="9" xr3:uid="{2881D347-8BFA-4374-8156-125187846E0E}" name="産業中分類上位２０"/>
    <tableColumn id="10" xr3:uid="{170113E5-32A2-4FB0-A85A-A935617A074B}" name="総数／事業所数" dataCellStyle="桁区切り"/>
    <tableColumn id="11" xr3:uid="{D492DE2F-6055-42F5-87C6-EE26F018F420}" name="総数／構成比" dataDxfId="257"/>
    <tableColumn id="12" xr3:uid="{EFFF7507-1A78-478B-9232-88567BDD1016}" name="個人／事業所数" dataCellStyle="桁区切り"/>
    <tableColumn id="13" xr3:uid="{170B3D54-8FE3-4DBE-858C-99F66D494230}" name="個人／構成比" dataDxfId="256"/>
    <tableColumn id="14" xr3:uid="{CC14D14C-11B3-4952-A03B-AE296EA8162A}" name="法人／事業所数" dataCellStyle="桁区切り"/>
    <tableColumn id="15" xr3:uid="{27249373-0C2A-459A-AF1E-75C4DA223D1B}" name="法人／構成比" dataDxfId="255"/>
    <tableColumn id="16" xr3:uid="{91C5D532-C803-41FF-B96C-490D76F5C5B4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C82AAA2-EE9A-4689-9998-7F06DC933995}" name="S_TABLE_46468" displayName="S_TABLE_46468" ref="B48:I78" totalsRowShown="0">
  <autoFilter ref="B48:I78" xr:uid="{DC82AAA2-EE9A-4689-9998-7F06DC933995}"/>
  <tableColumns count="8">
    <tableColumn id="9" xr3:uid="{B7D48196-31DE-42D6-8825-DA1508EBCB93}" name="産業小分類上位２０"/>
    <tableColumn id="10" xr3:uid="{22EAB3A6-27DB-47E5-A42A-9E0A15FA5150}" name="総数／事業所数" dataCellStyle="桁区切り"/>
    <tableColumn id="11" xr3:uid="{9DC406A0-4D1A-4B58-8813-EE894E46722C}" name="総数／構成比" dataDxfId="254"/>
    <tableColumn id="12" xr3:uid="{4A7CBDEF-F2D3-43CF-9B54-61B5371A45B4}" name="個人／事業所数" dataCellStyle="桁区切り"/>
    <tableColumn id="13" xr3:uid="{7FE4A4FA-DA09-4F31-A36E-FB1FF544037F}" name="個人／構成比" dataDxfId="253"/>
    <tableColumn id="14" xr3:uid="{F36213C8-299C-4237-9CF6-882BA8E84604}" name="法人／事業所数" dataCellStyle="桁区切り"/>
    <tableColumn id="15" xr3:uid="{4388C3CE-B968-4550-91AA-48C04CC031D7}" name="法人／構成比" dataDxfId="252"/>
    <tableColumn id="16" xr3:uid="{127F3E6C-3A3C-4D40-A0C3-E6DF1685AFE5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3E9798D-E8FF-4BFE-8F35-2D401C5322D3}" name="LTBL_46482" displayName="LTBL_46482" ref="B4:I20" totalsRowCount="1">
  <autoFilter ref="B4:I19" xr:uid="{73E9798D-E8FF-4BFE-8F35-2D401C5322D3}"/>
  <tableColumns count="8">
    <tableColumn id="9" xr3:uid="{81B2E1D8-171B-44E2-959D-7702BE591B64}" name="産業大分類" totalsRowLabel="合計" totalsRowDxfId="251"/>
    <tableColumn id="10" xr3:uid="{D778CEA7-0BA6-430B-A4F5-9B4B8CDA94E4}" name="総数／事業所数" totalsRowFunction="custom" totalsRowDxfId="250" dataCellStyle="桁区切り" totalsRowCellStyle="桁区切り">
      <totalsRowFormula>SUM(LTBL_46482[総数／事業所数])</totalsRowFormula>
    </tableColumn>
    <tableColumn id="11" xr3:uid="{72D29BBE-C461-4947-AD2A-C9038F481BE2}" name="総数／構成比" dataDxfId="249"/>
    <tableColumn id="12" xr3:uid="{0C0715E0-C4E2-462D-B88B-4663E82AEC4D}" name="個人／事業所数" totalsRowFunction="sum" totalsRowDxfId="248" dataCellStyle="桁区切り" totalsRowCellStyle="桁区切り"/>
    <tableColumn id="13" xr3:uid="{942CDD6F-77D2-41B0-B447-321FC5C77231}" name="個人／構成比" dataDxfId="247"/>
    <tableColumn id="14" xr3:uid="{0F320AFE-2B9C-491D-B534-CB8F81736315}" name="法人／事業所数" totalsRowFunction="sum" totalsRowDxfId="246" dataCellStyle="桁区切り" totalsRowCellStyle="桁区切り"/>
    <tableColumn id="15" xr3:uid="{DEAC42AC-070F-48AB-8DF6-43EAB75A300D}" name="法人／構成比" dataDxfId="245"/>
    <tableColumn id="16" xr3:uid="{548357E8-4A1F-4627-9851-E6D799DEF2AC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19FE0BE-2ACD-40E2-A93D-DDDEFC8826B7}" name="M_TABLE_46203" displayName="M_TABLE_46203" ref="B23:I43" totalsRowShown="0">
  <autoFilter ref="B23:I43" xr:uid="{319FE0BE-2ACD-40E2-A93D-DDDEFC8826B7}"/>
  <tableColumns count="8">
    <tableColumn id="9" xr3:uid="{3BAB26B1-509E-4466-874B-0B98116AD020}" name="産業中分類上位２０"/>
    <tableColumn id="10" xr3:uid="{2572349D-E9D7-4CD5-8D42-850546E6F0C7}" name="総数／事業所数" dataCellStyle="桁区切り"/>
    <tableColumn id="11" xr3:uid="{A6F8FC1F-DDB6-45DA-87A5-D71A0FF8C928}" name="総数／構成比" dataDxfId="579"/>
    <tableColumn id="12" xr3:uid="{80184284-0897-40BE-A065-0898C04FFA1C}" name="個人／事業所数" dataCellStyle="桁区切り"/>
    <tableColumn id="13" xr3:uid="{ED4DA94B-F0DD-4E2C-B4AA-6C0901C3F687}" name="個人／構成比" dataDxfId="578"/>
    <tableColumn id="14" xr3:uid="{52983812-115A-48E8-B6CB-4FB3FD26D54E}" name="法人／事業所数" dataCellStyle="桁区切り"/>
    <tableColumn id="15" xr3:uid="{0EA4B332-F9FD-4564-BFC8-6E9DE653DDFF}" name="法人／構成比" dataDxfId="577"/>
    <tableColumn id="16" xr3:uid="{3F4544FB-02F4-4325-B840-F0E23BDCDD57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4AAB0C7C-252F-4853-AD73-8198D9609A41}" name="M_TABLE_46482" displayName="M_TABLE_46482" ref="B23:I43" totalsRowShown="0">
  <autoFilter ref="B23:I43" xr:uid="{4AAB0C7C-252F-4853-AD73-8198D9609A41}"/>
  <tableColumns count="8">
    <tableColumn id="9" xr3:uid="{9174F6E8-875D-49ED-99E3-5200D84D65D3}" name="産業中分類上位２０"/>
    <tableColumn id="10" xr3:uid="{B4DB1E54-5CFE-4190-B292-C049CA039D66}" name="総数／事業所数" dataCellStyle="桁区切り"/>
    <tableColumn id="11" xr3:uid="{0C865D8A-3FC5-4CE3-88C1-4D8E9C87B0E6}" name="総数／構成比" dataDxfId="243"/>
    <tableColumn id="12" xr3:uid="{A20C71EB-7DBA-4C6D-B080-52254D7B2432}" name="個人／事業所数" dataCellStyle="桁区切り"/>
    <tableColumn id="13" xr3:uid="{A0B01813-B3F0-4765-ACE3-7C73404AB60E}" name="個人／構成比" dataDxfId="242"/>
    <tableColumn id="14" xr3:uid="{D5A66817-3760-4559-A32A-DEB68C48E4E9}" name="法人／事業所数" dataCellStyle="桁区切り"/>
    <tableColumn id="15" xr3:uid="{56965E6C-7DBC-4C82-B289-15793CF21A3B}" name="法人／構成比" dataDxfId="241"/>
    <tableColumn id="16" xr3:uid="{7D4AD6D9-0685-4D8F-91D2-7D276BBF6202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4ECA72C4-B1F6-4DB0-AB4C-95F6C966512C}" name="S_TABLE_46482" displayName="S_TABLE_46482" ref="B46:I70" totalsRowShown="0">
  <autoFilter ref="B46:I70" xr:uid="{4ECA72C4-B1F6-4DB0-AB4C-95F6C966512C}"/>
  <tableColumns count="8">
    <tableColumn id="9" xr3:uid="{110513A8-AE30-4677-988A-998CEE593684}" name="産業小分類上位２０"/>
    <tableColumn id="10" xr3:uid="{E995BDB9-92DD-42A0-BF81-860D7D655C32}" name="総数／事業所数" dataCellStyle="桁区切り"/>
    <tableColumn id="11" xr3:uid="{E6D2D474-C3D7-4E5C-B17A-5D7D492E670E}" name="総数／構成比" dataDxfId="240"/>
    <tableColumn id="12" xr3:uid="{A48B9B03-6AEA-435A-B1C0-FDD834FFF9DC}" name="個人／事業所数" dataCellStyle="桁区切り"/>
    <tableColumn id="13" xr3:uid="{E705B019-352F-4D69-845A-3BC14EB9D3A7}" name="個人／構成比" dataDxfId="239"/>
    <tableColumn id="14" xr3:uid="{EB05E16A-C7C7-4AD1-86E4-CF00F247BC3F}" name="法人／事業所数" dataCellStyle="桁区切り"/>
    <tableColumn id="15" xr3:uid="{70E38FB8-A959-445E-9117-A413ACE084CB}" name="法人／構成比" dataDxfId="238"/>
    <tableColumn id="16" xr3:uid="{96068233-E054-4B68-BA10-E2631618B92C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6922BF94-8ED4-4755-839D-4DF5C9CC4F20}" name="LTBL_46490" displayName="LTBL_46490" ref="B4:I20" totalsRowCount="1">
  <autoFilter ref="B4:I19" xr:uid="{6922BF94-8ED4-4755-839D-4DF5C9CC4F20}"/>
  <tableColumns count="8">
    <tableColumn id="9" xr3:uid="{9E0C6EBF-BCF2-493E-9140-D7AABD80EDAD}" name="産業大分類" totalsRowLabel="合計" totalsRowDxfId="237"/>
    <tableColumn id="10" xr3:uid="{38BF1C12-F1F0-475E-85AF-54312C776F46}" name="総数／事業所数" totalsRowFunction="custom" totalsRowDxfId="236" dataCellStyle="桁区切り" totalsRowCellStyle="桁区切り">
      <totalsRowFormula>SUM(LTBL_46490[総数／事業所数])</totalsRowFormula>
    </tableColumn>
    <tableColumn id="11" xr3:uid="{3A40F8C4-9E88-47F3-9FCC-059CBD607B5D}" name="総数／構成比" dataDxfId="235"/>
    <tableColumn id="12" xr3:uid="{9DA2A473-5FA6-401C-AE05-A1FF00B6A84C}" name="個人／事業所数" totalsRowFunction="sum" totalsRowDxfId="234" dataCellStyle="桁区切り" totalsRowCellStyle="桁区切り"/>
    <tableColumn id="13" xr3:uid="{9124C02F-131D-4BA2-A04D-EA64AD00C2B0}" name="個人／構成比" dataDxfId="233"/>
    <tableColumn id="14" xr3:uid="{A860C806-D8A1-4CB1-AC3E-2DB79E8C232E}" name="法人／事業所数" totalsRowFunction="sum" totalsRowDxfId="232" dataCellStyle="桁区切り" totalsRowCellStyle="桁区切り"/>
    <tableColumn id="15" xr3:uid="{FEDA7E22-8EEA-48CD-8A67-F8EA37AA8361}" name="法人／構成比" dataDxfId="231"/>
    <tableColumn id="16" xr3:uid="{282BD1FA-9565-49DE-B265-F998E6B2DB3A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F4026FB5-658D-4FA2-BBFE-DE0CF96BFF26}" name="M_TABLE_46490" displayName="M_TABLE_46490" ref="B23:I48" totalsRowShown="0">
  <autoFilter ref="B23:I48" xr:uid="{F4026FB5-658D-4FA2-BBFE-DE0CF96BFF26}"/>
  <tableColumns count="8">
    <tableColumn id="9" xr3:uid="{CAA6A167-07D9-46C2-90BC-E52D3E7A544C}" name="産業中分類上位２０"/>
    <tableColumn id="10" xr3:uid="{FA67D61A-6210-4DA8-A677-680E67E7455D}" name="総数／事業所数" dataCellStyle="桁区切り"/>
    <tableColumn id="11" xr3:uid="{3D07F5EF-9A18-4E51-8EB5-307FF70C45AF}" name="総数／構成比" dataDxfId="229"/>
    <tableColumn id="12" xr3:uid="{8F4D6AC5-0985-429C-8592-FD1B99646F42}" name="個人／事業所数" dataCellStyle="桁区切り"/>
    <tableColumn id="13" xr3:uid="{A2B4B1AC-310B-40DA-A883-B3B12B235765}" name="個人／構成比" dataDxfId="228"/>
    <tableColumn id="14" xr3:uid="{DAE418AC-FE12-44D4-BD6D-DE88161A57A6}" name="法人／事業所数" dataCellStyle="桁区切り"/>
    <tableColumn id="15" xr3:uid="{52BB9142-FEC5-4FCD-999B-5D43166294B9}" name="法人／構成比" dataDxfId="227"/>
    <tableColumn id="16" xr3:uid="{F370AD4C-7C83-4A4D-8925-983C52AF6451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36C50E3C-026F-4A04-8BD3-625A556F7EE7}" name="S_TABLE_46490" displayName="S_TABLE_46490" ref="B51:I72" totalsRowShown="0">
  <autoFilter ref="B51:I72" xr:uid="{36C50E3C-026F-4A04-8BD3-625A556F7EE7}"/>
  <tableColumns count="8">
    <tableColumn id="9" xr3:uid="{862E9A8E-84AB-4E65-A6D2-88E2D0C06898}" name="産業小分類上位２０"/>
    <tableColumn id="10" xr3:uid="{0581A694-DC75-474F-A496-77378940CCBC}" name="総数／事業所数" dataCellStyle="桁区切り"/>
    <tableColumn id="11" xr3:uid="{3E5E25CF-01F0-474A-86CC-E0335E137C17}" name="総数／構成比" dataDxfId="226"/>
    <tableColumn id="12" xr3:uid="{12522CBE-2599-4755-ACCB-D42BF3FAB916}" name="個人／事業所数" dataCellStyle="桁区切り"/>
    <tableColumn id="13" xr3:uid="{A03409B0-5599-40E9-9456-7874D56E204A}" name="個人／構成比" dataDxfId="225"/>
    <tableColumn id="14" xr3:uid="{1B4AFD30-1BC1-4649-B5E1-959D29E529DD}" name="法人／事業所数" dataCellStyle="桁区切り"/>
    <tableColumn id="15" xr3:uid="{269E26CA-D5C8-45AC-889A-77D704C31B46}" name="法人／構成比" dataDxfId="224"/>
    <tableColumn id="16" xr3:uid="{BD931787-A375-46D9-8829-FF94346A9574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EEA853A-596F-4C0D-A064-9B93EA8AF3FB}" name="LTBL_46491" displayName="LTBL_46491" ref="B4:I20" totalsRowCount="1">
  <autoFilter ref="B4:I19" xr:uid="{5EEA853A-596F-4C0D-A064-9B93EA8AF3FB}"/>
  <tableColumns count="8">
    <tableColumn id="9" xr3:uid="{641B9883-1B78-4593-9395-3E3BA9C7B749}" name="産業大分類" totalsRowLabel="合計" totalsRowDxfId="223"/>
    <tableColumn id="10" xr3:uid="{F5B542E6-7C0A-4D38-AE88-270E53F6FC29}" name="総数／事業所数" totalsRowFunction="custom" totalsRowDxfId="222" dataCellStyle="桁区切り" totalsRowCellStyle="桁区切り">
      <totalsRowFormula>SUM(LTBL_46491[総数／事業所数])</totalsRowFormula>
    </tableColumn>
    <tableColumn id="11" xr3:uid="{67CC6C4F-8FE4-41D9-90F5-8869171DACE3}" name="総数／構成比" dataDxfId="221"/>
    <tableColumn id="12" xr3:uid="{FE604772-074A-42D5-87B2-1EEE39F6C11E}" name="個人／事業所数" totalsRowFunction="sum" totalsRowDxfId="220" dataCellStyle="桁区切り" totalsRowCellStyle="桁区切り"/>
    <tableColumn id="13" xr3:uid="{C802C1F2-5389-4BFC-91E6-B911BFD51FA2}" name="個人／構成比" dataDxfId="219"/>
    <tableColumn id="14" xr3:uid="{7C3F40CE-0B98-41CA-ADE4-FB0D7B890397}" name="法人／事業所数" totalsRowFunction="sum" totalsRowDxfId="218" dataCellStyle="桁区切り" totalsRowCellStyle="桁区切り"/>
    <tableColumn id="15" xr3:uid="{82142431-11EC-4056-BD46-F946D7C90B8B}" name="法人／構成比" dataDxfId="217"/>
    <tableColumn id="16" xr3:uid="{38048593-45B4-4FAC-A255-47940D38A32E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991658B-F90B-4FA5-992D-43011E19AC9A}" name="M_TABLE_46491" displayName="M_TABLE_46491" ref="B23:I45" totalsRowShown="0">
  <autoFilter ref="B23:I45" xr:uid="{5991658B-F90B-4FA5-992D-43011E19AC9A}"/>
  <tableColumns count="8">
    <tableColumn id="9" xr3:uid="{0BA579E6-4C2E-4DEE-95C6-BEFD2B504B88}" name="産業中分類上位２０"/>
    <tableColumn id="10" xr3:uid="{F8BFCB14-6852-4EE7-A7AA-2C95C0E49093}" name="総数／事業所数" dataCellStyle="桁区切り"/>
    <tableColumn id="11" xr3:uid="{69A548C5-EA50-4DC8-BB99-D93762F7E300}" name="総数／構成比" dataDxfId="215"/>
    <tableColumn id="12" xr3:uid="{38AC40E6-78F8-4A89-B9B6-D4A5987CBE1C}" name="個人／事業所数" dataCellStyle="桁区切り"/>
    <tableColumn id="13" xr3:uid="{AE0DA06C-29B4-4CB0-A1EF-BB5735BAEFE4}" name="個人／構成比" dataDxfId="214"/>
    <tableColumn id="14" xr3:uid="{FCB7E179-4A99-4DB6-911E-6E5FD77D0463}" name="法人／事業所数" dataCellStyle="桁区切り"/>
    <tableColumn id="15" xr3:uid="{C2391B68-0386-45EE-ABB5-0880F9A6AD9F}" name="法人／構成比" dataDxfId="213"/>
    <tableColumn id="16" xr3:uid="{FE1E1ACB-3F95-4964-91CC-0F30FD52DB9D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2A3EF21-F2E2-4AFC-A53D-6F7C7B7D9CC9}" name="S_TABLE_46491" displayName="S_TABLE_46491" ref="B48:I74" totalsRowShown="0">
  <autoFilter ref="B48:I74" xr:uid="{12A3EF21-F2E2-4AFC-A53D-6F7C7B7D9CC9}"/>
  <tableColumns count="8">
    <tableColumn id="9" xr3:uid="{771A811E-20CB-452A-A69E-A5E8911A3F40}" name="産業小分類上位２０"/>
    <tableColumn id="10" xr3:uid="{1BFC992D-8CA5-4B51-A9CD-9625BA1098DE}" name="総数／事業所数" dataCellStyle="桁区切り"/>
    <tableColumn id="11" xr3:uid="{9F2692B6-B2D5-4FBB-8EA5-6E2437B3691F}" name="総数／構成比" dataDxfId="212"/>
    <tableColumn id="12" xr3:uid="{70615C0E-E667-4EAB-AD29-6D1179D7786B}" name="個人／事業所数" dataCellStyle="桁区切り"/>
    <tableColumn id="13" xr3:uid="{4BDB1137-37AE-4FFE-945D-5A1C976FB912}" name="個人／構成比" dataDxfId="211"/>
    <tableColumn id="14" xr3:uid="{89712C24-0A6C-4259-8D9F-7F38275D6BDA}" name="法人／事業所数" dataCellStyle="桁区切り"/>
    <tableColumn id="15" xr3:uid="{33A5F5C1-F74A-44D3-ACB6-C938755310D6}" name="法人／構成比" dataDxfId="210"/>
    <tableColumn id="16" xr3:uid="{257689A4-8738-480B-B620-69A7AEFE1B15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F49B968-E0EB-454F-9800-41C27170D92F}" name="LTBL_46492" displayName="LTBL_46492" ref="B4:I20" totalsRowCount="1">
  <autoFilter ref="B4:I19" xr:uid="{8F49B968-E0EB-454F-9800-41C27170D92F}"/>
  <tableColumns count="8">
    <tableColumn id="9" xr3:uid="{5804FCD2-9A0B-46B3-869F-543DF556B8ED}" name="産業大分類" totalsRowLabel="合計" totalsRowDxfId="209"/>
    <tableColumn id="10" xr3:uid="{4B979996-80F8-4C8F-910F-C3A7B95A0380}" name="総数／事業所数" totalsRowFunction="custom" totalsRowDxfId="208" dataCellStyle="桁区切り" totalsRowCellStyle="桁区切り">
      <totalsRowFormula>SUM(LTBL_46492[総数／事業所数])</totalsRowFormula>
    </tableColumn>
    <tableColumn id="11" xr3:uid="{D9562794-60C1-487D-8AEA-D23CA3B94C13}" name="総数／構成比" dataDxfId="207"/>
    <tableColumn id="12" xr3:uid="{C2E586E9-8B6C-40F2-B767-372FA4A89472}" name="個人／事業所数" totalsRowFunction="sum" totalsRowDxfId="206" dataCellStyle="桁区切り" totalsRowCellStyle="桁区切り"/>
    <tableColumn id="13" xr3:uid="{7BBD10BB-E874-4865-A8F9-12432979DF78}" name="個人／構成比" dataDxfId="205"/>
    <tableColumn id="14" xr3:uid="{E82BFC9C-33AE-4FC6-A5D8-628EF05EFB47}" name="法人／事業所数" totalsRowFunction="sum" totalsRowDxfId="204" dataCellStyle="桁区切り" totalsRowCellStyle="桁区切り"/>
    <tableColumn id="15" xr3:uid="{17D46C75-51A3-4B69-8E0F-F44A7594ABD7}" name="法人／構成比" dataDxfId="203"/>
    <tableColumn id="16" xr3:uid="{B11CB6DC-B6A5-489D-81E5-5B5731E4B0CB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CC78DC9-B294-4EDD-846D-E0B653C89EE4}" name="M_TABLE_46492" displayName="M_TABLE_46492" ref="B23:I44" totalsRowShown="0">
  <autoFilter ref="B23:I44" xr:uid="{5CC78DC9-B294-4EDD-846D-E0B653C89EE4}"/>
  <tableColumns count="8">
    <tableColumn id="9" xr3:uid="{3E9A759F-96BF-40D4-8C32-36C3A033E49C}" name="産業中分類上位２０"/>
    <tableColumn id="10" xr3:uid="{CAB06860-DA15-4738-989B-70A9F95CCE1E}" name="総数／事業所数" dataCellStyle="桁区切り"/>
    <tableColumn id="11" xr3:uid="{3AFC866E-00C0-4A6C-BDDD-67444B7C43FD}" name="総数／構成比" dataDxfId="201"/>
    <tableColumn id="12" xr3:uid="{184D1858-B61F-4D5E-8864-A2BFEE294FFF}" name="個人／事業所数" dataCellStyle="桁区切り"/>
    <tableColumn id="13" xr3:uid="{EDF9ACB2-BF63-49FF-B565-5883ABAC69ED}" name="個人／構成比" dataDxfId="200"/>
    <tableColumn id="14" xr3:uid="{4D8AD639-03AD-4EED-A2C7-BAF6D8AA4453}" name="法人／事業所数" dataCellStyle="桁区切り"/>
    <tableColumn id="15" xr3:uid="{309C0C54-C35F-4C12-8E2B-5E3E34DB233B}" name="法人／構成比" dataDxfId="199"/>
    <tableColumn id="16" xr3:uid="{362CD4CE-018C-4AFD-9364-0446B66BC696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AA9EA43-377B-4B70-B831-A7B2DA3F93BC}" name="S_TABLE_46203" displayName="S_TABLE_46203" ref="B46:I66" totalsRowShown="0">
  <autoFilter ref="B46:I66" xr:uid="{9AA9EA43-377B-4B70-B831-A7B2DA3F93BC}"/>
  <tableColumns count="8">
    <tableColumn id="9" xr3:uid="{E7D67F1E-C2BE-44E3-9ECC-7BF687B3FD39}" name="産業小分類上位２０"/>
    <tableColumn id="10" xr3:uid="{1ACEE18D-BB83-4A3D-AC49-52504FFED4B4}" name="総数／事業所数" dataCellStyle="桁区切り"/>
    <tableColumn id="11" xr3:uid="{68614427-3A7C-441E-868C-A9775CEA08E6}" name="総数／構成比" dataDxfId="576"/>
    <tableColumn id="12" xr3:uid="{C029931F-830B-4238-86D4-96C371F7B028}" name="個人／事業所数" dataCellStyle="桁区切り"/>
    <tableColumn id="13" xr3:uid="{27C3383A-4A08-4FB7-953F-21031BFC1546}" name="個人／構成比" dataDxfId="575"/>
    <tableColumn id="14" xr3:uid="{D5939424-A4D3-4527-9DEF-190536CF28AB}" name="法人／事業所数" dataCellStyle="桁区切り"/>
    <tableColumn id="15" xr3:uid="{AF9EFAB6-2A2B-4BF8-B26E-AE4147B843A4}" name="法人／構成比" dataDxfId="574"/>
    <tableColumn id="16" xr3:uid="{7E43E8BD-92A4-4455-995A-6F7FBA4E8CEF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E0C69D3-447E-466C-AB84-8CE84BF50AA2}" name="S_TABLE_46492" displayName="S_TABLE_46492" ref="B47:I68" totalsRowShown="0">
  <autoFilter ref="B47:I68" xr:uid="{FE0C69D3-447E-466C-AB84-8CE84BF50AA2}"/>
  <tableColumns count="8">
    <tableColumn id="9" xr3:uid="{380DC1B6-A642-4890-B3D9-7BE35A2D3636}" name="産業小分類上位２０"/>
    <tableColumn id="10" xr3:uid="{7B8F0297-2ADB-4FA8-83C5-3BE5537359F4}" name="総数／事業所数" dataCellStyle="桁区切り"/>
    <tableColumn id="11" xr3:uid="{F429EC02-8085-4321-B3E9-E1B06446C5E4}" name="総数／構成比" dataDxfId="198"/>
    <tableColumn id="12" xr3:uid="{1A07A735-43A6-4F2B-8390-A8E640A3EA82}" name="個人／事業所数" dataCellStyle="桁区切り"/>
    <tableColumn id="13" xr3:uid="{10040FDC-C8E7-43EC-A892-518F0E08D806}" name="個人／構成比" dataDxfId="197"/>
    <tableColumn id="14" xr3:uid="{E8E2B959-66DB-4E31-BCEE-B6934EF312C9}" name="法人／事業所数" dataCellStyle="桁区切り"/>
    <tableColumn id="15" xr3:uid="{AEAA7DDC-C3CF-4F96-AE5B-5791914BB6CA}" name="法人／構成比" dataDxfId="196"/>
    <tableColumn id="16" xr3:uid="{2CE659FD-F1B9-44BC-8770-5AEAB987CC17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6310340-8690-4992-857E-4ECF96B60908}" name="LTBL_46501" displayName="LTBL_46501" ref="B4:I20" totalsRowCount="1">
  <autoFilter ref="B4:I19" xr:uid="{96310340-8690-4992-857E-4ECF96B60908}"/>
  <tableColumns count="8">
    <tableColumn id="9" xr3:uid="{76AF5975-754D-4AF8-AB41-BFEE2D086009}" name="産業大分類" totalsRowLabel="合計" totalsRowDxfId="195"/>
    <tableColumn id="10" xr3:uid="{8CFED865-0A93-45C9-85C5-7CD2F6E97EAC}" name="総数／事業所数" totalsRowFunction="custom" totalsRowDxfId="194" dataCellStyle="桁区切り" totalsRowCellStyle="桁区切り">
      <totalsRowFormula>SUM(LTBL_46501[総数／事業所数])</totalsRowFormula>
    </tableColumn>
    <tableColumn id="11" xr3:uid="{190FBCB3-2421-4389-962C-C6825270833C}" name="総数／構成比" dataDxfId="193"/>
    <tableColumn id="12" xr3:uid="{2A9FD256-DD38-4EB2-A8A1-D5A05886EAA6}" name="個人／事業所数" totalsRowFunction="sum" totalsRowDxfId="192" dataCellStyle="桁区切り" totalsRowCellStyle="桁区切り"/>
    <tableColumn id="13" xr3:uid="{E1C87E53-603F-4529-A9C4-891B51C2DF90}" name="個人／構成比" dataDxfId="191"/>
    <tableColumn id="14" xr3:uid="{27D47794-A947-4F5B-98D4-E79149A6A621}" name="法人／事業所数" totalsRowFunction="sum" totalsRowDxfId="190" dataCellStyle="桁区切り" totalsRowCellStyle="桁区切り"/>
    <tableColumn id="15" xr3:uid="{92DF3FC1-0955-437B-A9A8-9E357F935D76}" name="法人／構成比" dataDxfId="189"/>
    <tableColumn id="16" xr3:uid="{BC464879-D4DF-40CB-BA75-4287869C1E09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80572A10-7D82-4F9C-9472-10CC9CF12EB1}" name="M_TABLE_46501" displayName="M_TABLE_46501" ref="B23:I46" totalsRowShown="0">
  <autoFilter ref="B23:I46" xr:uid="{80572A10-7D82-4F9C-9472-10CC9CF12EB1}"/>
  <tableColumns count="8">
    <tableColumn id="9" xr3:uid="{B76C8151-0F2F-4323-ACF1-7920C4362280}" name="産業中分類上位２０"/>
    <tableColumn id="10" xr3:uid="{851FF703-33C6-4097-847F-6055E3EFC326}" name="総数／事業所数" dataCellStyle="桁区切り"/>
    <tableColumn id="11" xr3:uid="{C9B2681B-D972-4102-9AC3-A2C54F111408}" name="総数／構成比" dataDxfId="187"/>
    <tableColumn id="12" xr3:uid="{541274FC-E773-4782-A252-A5C559A3D9EB}" name="個人／事業所数" dataCellStyle="桁区切り"/>
    <tableColumn id="13" xr3:uid="{279E1838-E28E-4F96-AC02-3CCB7C09F889}" name="個人／構成比" dataDxfId="186"/>
    <tableColumn id="14" xr3:uid="{023102C3-CD78-4855-BDB3-32CC11561C4B}" name="法人／事業所数" dataCellStyle="桁区切り"/>
    <tableColumn id="15" xr3:uid="{FB05BAF2-B923-4DAE-AEF6-8404221C6A75}" name="法人／構成比" dataDxfId="185"/>
    <tableColumn id="16" xr3:uid="{71E877F9-A4F6-4DF8-B999-E08FBA8D04B9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6B9960F-C940-4EEB-8F45-B7A1D8571BE7}" name="S_TABLE_46501" displayName="S_TABLE_46501" ref="B49:I70" totalsRowShown="0">
  <autoFilter ref="B49:I70" xr:uid="{06B9960F-C940-4EEB-8F45-B7A1D8571BE7}"/>
  <tableColumns count="8">
    <tableColumn id="9" xr3:uid="{07DBD21E-2134-49DB-9669-DAB6A2FC694B}" name="産業小分類上位２０"/>
    <tableColumn id="10" xr3:uid="{873044E3-F1A3-4128-B645-B63133B25D4A}" name="総数／事業所数" dataCellStyle="桁区切り"/>
    <tableColumn id="11" xr3:uid="{77B3217D-57DF-4812-86E6-AAC6A44F04F0}" name="総数／構成比" dataDxfId="184"/>
    <tableColumn id="12" xr3:uid="{43DEAB55-635C-40C1-874A-BA238655EEF1}" name="個人／事業所数" dataCellStyle="桁区切り"/>
    <tableColumn id="13" xr3:uid="{979B37FF-0968-4717-8C33-244A408C0FB8}" name="個人／構成比" dataDxfId="183"/>
    <tableColumn id="14" xr3:uid="{8E61265F-F123-48EA-8515-08654E63C257}" name="法人／事業所数" dataCellStyle="桁区切り"/>
    <tableColumn id="15" xr3:uid="{AF873847-A4D6-4707-A19D-519D7846B4AE}" name="法人／構成比" dataDxfId="182"/>
    <tableColumn id="16" xr3:uid="{5FEE9757-9BF8-4070-9EC7-4BCF2F760800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074C372-6DC2-4686-8F0E-7F145560FEE6}" name="LTBL_46502" displayName="LTBL_46502" ref="B4:I20" totalsRowCount="1">
  <autoFilter ref="B4:I19" xr:uid="{4074C372-6DC2-4686-8F0E-7F145560FEE6}"/>
  <tableColumns count="8">
    <tableColumn id="9" xr3:uid="{D9353F37-4085-4BA5-AF2E-5E7E0637F6EB}" name="産業大分類" totalsRowLabel="合計" totalsRowDxfId="181"/>
    <tableColumn id="10" xr3:uid="{ED6DF4B0-34EA-4CEB-A534-83B5B98D415B}" name="総数／事業所数" totalsRowFunction="custom" totalsRowDxfId="180" dataCellStyle="桁区切り" totalsRowCellStyle="桁区切り">
      <totalsRowFormula>SUM(LTBL_46502[総数／事業所数])</totalsRowFormula>
    </tableColumn>
    <tableColumn id="11" xr3:uid="{C6DA323A-EB19-4B42-965F-053383160BF7}" name="総数／構成比" dataDxfId="179"/>
    <tableColumn id="12" xr3:uid="{208575BF-87A2-420E-B24F-6EE0C398F91F}" name="個人／事業所数" totalsRowFunction="sum" totalsRowDxfId="178" dataCellStyle="桁区切り" totalsRowCellStyle="桁区切り"/>
    <tableColumn id="13" xr3:uid="{056E07CF-6CD0-429D-A994-BFD11A09947A}" name="個人／構成比" dataDxfId="177"/>
    <tableColumn id="14" xr3:uid="{C2CC7F0B-16EA-4B81-9384-0049B1E1E9EA}" name="法人／事業所数" totalsRowFunction="sum" totalsRowDxfId="176" dataCellStyle="桁区切り" totalsRowCellStyle="桁区切り"/>
    <tableColumn id="15" xr3:uid="{D95561F5-D959-4DF8-AFEC-05FEB8CF4DD0}" name="法人／構成比" dataDxfId="175"/>
    <tableColumn id="16" xr3:uid="{072EEB38-5535-42F9-A2B4-10E07471131F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98CAE64-C9E4-474E-901C-C10EB168A0BF}" name="M_TABLE_46502" displayName="M_TABLE_46502" ref="B23:I43" totalsRowShown="0">
  <autoFilter ref="B23:I43" xr:uid="{498CAE64-C9E4-474E-901C-C10EB168A0BF}"/>
  <tableColumns count="8">
    <tableColumn id="9" xr3:uid="{A9D12FE6-7D80-47AD-9389-A36E6ADB48EC}" name="産業中分類上位２０"/>
    <tableColumn id="10" xr3:uid="{61CCDE2C-6B4E-48D8-8C6A-FB06A6A0546B}" name="総数／事業所数" dataCellStyle="桁区切り"/>
    <tableColumn id="11" xr3:uid="{D1622E2A-CE18-4430-874A-40F6A31810DB}" name="総数／構成比" dataDxfId="173"/>
    <tableColumn id="12" xr3:uid="{AB2484F3-03C8-4B10-A5DE-98333862C331}" name="個人／事業所数" dataCellStyle="桁区切り"/>
    <tableColumn id="13" xr3:uid="{5C5C8967-25B0-4B7E-B01A-C8443D04866D}" name="個人／構成比" dataDxfId="172"/>
    <tableColumn id="14" xr3:uid="{6C0563FB-C727-4C4F-B1A3-D109ACB5696C}" name="法人／事業所数" dataCellStyle="桁区切り"/>
    <tableColumn id="15" xr3:uid="{7FD2AAFA-C55A-45C6-B903-331DC8D8808F}" name="法人／構成比" dataDxfId="171"/>
    <tableColumn id="16" xr3:uid="{90A0ED3D-B4A7-4620-A595-CF46E0B688D5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6CB0696-5FC9-4DC6-B281-446D329225C7}" name="S_TABLE_46502" displayName="S_TABLE_46502" ref="B46:I74" totalsRowShown="0">
  <autoFilter ref="B46:I74" xr:uid="{46CB0696-5FC9-4DC6-B281-446D329225C7}"/>
  <tableColumns count="8">
    <tableColumn id="9" xr3:uid="{B983910D-FD0A-4DE8-ACE0-A4B426C6A803}" name="産業小分類上位２０"/>
    <tableColumn id="10" xr3:uid="{0661A993-3F0B-4BF1-93D3-2900CD590821}" name="総数／事業所数" dataCellStyle="桁区切り"/>
    <tableColumn id="11" xr3:uid="{5D61C75B-E9F0-4EBC-9EFA-1BE08319282E}" name="総数／構成比" dataDxfId="170"/>
    <tableColumn id="12" xr3:uid="{7F467D7D-A24E-4DDE-BE9F-596B0FF12905}" name="個人／事業所数" dataCellStyle="桁区切り"/>
    <tableColumn id="13" xr3:uid="{74C6D509-DE38-4449-BBCB-B2A35ABEDF52}" name="個人／構成比" dataDxfId="169"/>
    <tableColumn id="14" xr3:uid="{EADC4AC6-35CE-4F03-B565-7918EAB09CC2}" name="法人／事業所数" dataCellStyle="桁区切り"/>
    <tableColumn id="15" xr3:uid="{6927782B-6403-4447-B8F7-7EA578711A28}" name="法人／構成比" dataDxfId="168"/>
    <tableColumn id="16" xr3:uid="{B50C72E3-73C2-44DC-B28A-19F97BA7F52E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09F4E97-F6AC-4CE1-9906-C077FE761DB8}" name="LTBL_46505" displayName="LTBL_46505" ref="B4:I20" totalsRowCount="1">
  <autoFilter ref="B4:I19" xr:uid="{A09F4E97-F6AC-4CE1-9906-C077FE761DB8}"/>
  <tableColumns count="8">
    <tableColumn id="9" xr3:uid="{FC9AE20F-5B30-4727-B492-D145E41CFDC7}" name="産業大分類" totalsRowLabel="合計" totalsRowDxfId="167"/>
    <tableColumn id="10" xr3:uid="{26B6C4E2-C082-41B6-9C64-0475F14C7B07}" name="総数／事業所数" totalsRowFunction="custom" totalsRowDxfId="166" dataCellStyle="桁区切り" totalsRowCellStyle="桁区切り">
      <totalsRowFormula>SUM(LTBL_46505[総数／事業所数])</totalsRowFormula>
    </tableColumn>
    <tableColumn id="11" xr3:uid="{2833896A-F115-43CC-A8EC-4AAD45007E0D}" name="総数／構成比" dataDxfId="165"/>
    <tableColumn id="12" xr3:uid="{1E10A1CC-92D4-43D0-8E6D-F1B4ACBC5C2B}" name="個人／事業所数" totalsRowFunction="sum" totalsRowDxfId="164" dataCellStyle="桁区切り" totalsRowCellStyle="桁区切り"/>
    <tableColumn id="13" xr3:uid="{397205F6-A287-4FE5-8FDA-7C916E5D38E7}" name="個人／構成比" dataDxfId="163"/>
    <tableColumn id="14" xr3:uid="{79BBD821-D905-499D-92D6-B551114175C6}" name="法人／事業所数" totalsRowFunction="sum" totalsRowDxfId="162" dataCellStyle="桁区切り" totalsRowCellStyle="桁区切り"/>
    <tableColumn id="15" xr3:uid="{19183B18-FB1C-456F-8D9D-9E52D7DE2100}" name="法人／構成比" dataDxfId="161"/>
    <tableColumn id="16" xr3:uid="{52FF69B9-A8B0-4939-945C-C0F80E6E220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7129205-B83C-4B3D-8E75-40BC6863FAC1}" name="M_TABLE_46505" displayName="M_TABLE_46505" ref="B23:I43" totalsRowShown="0">
  <autoFilter ref="B23:I43" xr:uid="{C7129205-B83C-4B3D-8E75-40BC6863FAC1}"/>
  <tableColumns count="8">
    <tableColumn id="9" xr3:uid="{AFF236F9-A729-4C10-8674-1ACCE97181BE}" name="産業中分類上位２０"/>
    <tableColumn id="10" xr3:uid="{B2539395-AE90-4C7A-AF58-AE63F80BC122}" name="総数／事業所数" dataCellStyle="桁区切り"/>
    <tableColumn id="11" xr3:uid="{904E2F47-32DD-464F-BC70-AA0FDF2A0E30}" name="総数／構成比" dataDxfId="159"/>
    <tableColumn id="12" xr3:uid="{5CD5FF2D-BA3E-40EC-BD39-DB2FA523EB09}" name="個人／事業所数" dataCellStyle="桁区切り"/>
    <tableColumn id="13" xr3:uid="{BD370A4E-1534-4EFE-B8D7-8D375E13E4E5}" name="個人／構成比" dataDxfId="158"/>
    <tableColumn id="14" xr3:uid="{579631FF-9C9B-4038-8916-4ADC7DEC7961}" name="法人／事業所数" dataCellStyle="桁区切り"/>
    <tableColumn id="15" xr3:uid="{32AE44C1-9727-4791-A0C2-A3087F29C6E5}" name="法人／構成比" dataDxfId="157"/>
    <tableColumn id="16" xr3:uid="{71B759AD-8D05-4658-B4C2-09CA1C491271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10769A9-9F95-4BE7-B19D-20A82E48F1E6}" name="S_TABLE_46505" displayName="S_TABLE_46505" ref="B46:I70" totalsRowShown="0">
  <autoFilter ref="B46:I70" xr:uid="{110769A9-9F95-4BE7-B19D-20A82E48F1E6}"/>
  <tableColumns count="8">
    <tableColumn id="9" xr3:uid="{DC8CE42B-7081-4EAE-97C7-8ADAF5B768E8}" name="産業小分類上位２０"/>
    <tableColumn id="10" xr3:uid="{CB0552A5-8D20-4861-A8DD-75A756CA8F06}" name="総数／事業所数" dataCellStyle="桁区切り"/>
    <tableColumn id="11" xr3:uid="{50D3199C-040A-4C0C-8838-FED5ED50B66D}" name="総数／構成比" dataDxfId="156"/>
    <tableColumn id="12" xr3:uid="{DE923431-FDAB-41AC-99BF-97A0E3AAD302}" name="個人／事業所数" dataCellStyle="桁区切り"/>
    <tableColumn id="13" xr3:uid="{9A200022-7C38-4979-B3A7-C1BA2C80620C}" name="個人／構成比" dataDxfId="155"/>
    <tableColumn id="14" xr3:uid="{6853D376-82F4-4994-91B5-1AC67E092A82}" name="法人／事業所数" dataCellStyle="桁区切り"/>
    <tableColumn id="15" xr3:uid="{3D4D55AB-7903-4CE8-9609-4B8126B90117}" name="法人／構成比" dataDxfId="154"/>
    <tableColumn id="16" xr3:uid="{4D860D39-F3B5-41D5-BE1D-3F1960665CA5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A048-EB3F-4FFD-97F1-35B5891B2B60}">
  <dimension ref="A1:B48"/>
  <sheetViews>
    <sheetView tabSelected="1" workbookViewId="0"/>
  </sheetViews>
  <sheetFormatPr defaultRowHeight="13.2" x14ac:dyDescent="0.2"/>
  <sheetData>
    <row r="1" spans="1:2" x14ac:dyDescent="0.2">
      <c r="A1" t="s">
        <v>332</v>
      </c>
    </row>
    <row r="2" spans="1:2" x14ac:dyDescent="0.2">
      <c r="B2" s="13" t="s">
        <v>240</v>
      </c>
    </row>
    <row r="3" spans="1:2" x14ac:dyDescent="0.2">
      <c r="B3" s="13" t="s">
        <v>123</v>
      </c>
    </row>
    <row r="4" spans="1:2" x14ac:dyDescent="0.2">
      <c r="B4" s="13" t="s">
        <v>238</v>
      </c>
    </row>
    <row r="5" spans="1:2" x14ac:dyDescent="0.2">
      <c r="B5" s="13" t="s">
        <v>288</v>
      </c>
    </row>
    <row r="6" spans="1:2" x14ac:dyDescent="0.2">
      <c r="B6" s="13" t="s">
        <v>289</v>
      </c>
    </row>
    <row r="7" spans="1:2" x14ac:dyDescent="0.2">
      <c r="B7" s="13" t="s">
        <v>290</v>
      </c>
    </row>
    <row r="8" spans="1:2" x14ac:dyDescent="0.2">
      <c r="B8" s="13" t="s">
        <v>291</v>
      </c>
    </row>
    <row r="9" spans="1:2" x14ac:dyDescent="0.2">
      <c r="B9" s="13" t="s">
        <v>292</v>
      </c>
    </row>
    <row r="10" spans="1:2" x14ac:dyDescent="0.2">
      <c r="B10" s="13" t="s">
        <v>293</v>
      </c>
    </row>
    <row r="11" spans="1:2" x14ac:dyDescent="0.2">
      <c r="B11" s="13" t="s">
        <v>294</v>
      </c>
    </row>
    <row r="12" spans="1:2" x14ac:dyDescent="0.2">
      <c r="B12" s="13" t="s">
        <v>295</v>
      </c>
    </row>
    <row r="13" spans="1:2" x14ac:dyDescent="0.2">
      <c r="B13" s="13" t="s">
        <v>296</v>
      </c>
    </row>
    <row r="14" spans="1:2" x14ac:dyDescent="0.2">
      <c r="B14" s="13" t="s">
        <v>297</v>
      </c>
    </row>
    <row r="15" spans="1:2" x14ac:dyDescent="0.2">
      <c r="B15" s="13" t="s">
        <v>298</v>
      </c>
    </row>
    <row r="16" spans="1:2" x14ac:dyDescent="0.2">
      <c r="B16" s="13" t="s">
        <v>299</v>
      </c>
    </row>
    <row r="17" spans="2:2" x14ac:dyDescent="0.2">
      <c r="B17" s="13" t="s">
        <v>300</v>
      </c>
    </row>
    <row r="18" spans="2:2" x14ac:dyDescent="0.2">
      <c r="B18" s="13" t="s">
        <v>301</v>
      </c>
    </row>
    <row r="19" spans="2:2" x14ac:dyDescent="0.2">
      <c r="B19" s="13" t="s">
        <v>302</v>
      </c>
    </row>
    <row r="20" spans="2:2" x14ac:dyDescent="0.2">
      <c r="B20" s="13" t="s">
        <v>303</v>
      </c>
    </row>
    <row r="21" spans="2:2" x14ac:dyDescent="0.2">
      <c r="B21" s="13" t="s">
        <v>304</v>
      </c>
    </row>
    <row r="22" spans="2:2" x14ac:dyDescent="0.2">
      <c r="B22" s="13" t="s">
        <v>305</v>
      </c>
    </row>
    <row r="23" spans="2:2" x14ac:dyDescent="0.2">
      <c r="B23" s="13" t="s">
        <v>306</v>
      </c>
    </row>
    <row r="24" spans="2:2" x14ac:dyDescent="0.2">
      <c r="B24" s="13" t="s">
        <v>307</v>
      </c>
    </row>
    <row r="25" spans="2:2" x14ac:dyDescent="0.2">
      <c r="B25" s="13" t="s">
        <v>308</v>
      </c>
    </row>
    <row r="26" spans="2:2" x14ac:dyDescent="0.2">
      <c r="B26" s="13" t="s">
        <v>309</v>
      </c>
    </row>
    <row r="27" spans="2:2" x14ac:dyDescent="0.2">
      <c r="B27" s="13" t="s">
        <v>310</v>
      </c>
    </row>
    <row r="28" spans="2:2" x14ac:dyDescent="0.2">
      <c r="B28" s="13" t="s">
        <v>311</v>
      </c>
    </row>
    <row r="29" spans="2:2" x14ac:dyDescent="0.2">
      <c r="B29" s="13" t="s">
        <v>312</v>
      </c>
    </row>
    <row r="30" spans="2:2" x14ac:dyDescent="0.2">
      <c r="B30" s="13" t="s">
        <v>313</v>
      </c>
    </row>
    <row r="31" spans="2:2" x14ac:dyDescent="0.2">
      <c r="B31" s="13" t="s">
        <v>314</v>
      </c>
    </row>
    <row r="32" spans="2:2" x14ac:dyDescent="0.2">
      <c r="B32" s="13" t="s">
        <v>315</v>
      </c>
    </row>
    <row r="33" spans="2:2" x14ac:dyDescent="0.2">
      <c r="B33" s="13" t="s">
        <v>316</v>
      </c>
    </row>
    <row r="34" spans="2:2" x14ac:dyDescent="0.2">
      <c r="B34" s="13" t="s">
        <v>317</v>
      </c>
    </row>
    <row r="35" spans="2:2" x14ac:dyDescent="0.2">
      <c r="B35" s="13" t="s">
        <v>318</v>
      </c>
    </row>
    <row r="36" spans="2:2" x14ac:dyDescent="0.2">
      <c r="B36" s="13" t="s">
        <v>319</v>
      </c>
    </row>
    <row r="37" spans="2:2" x14ac:dyDescent="0.2">
      <c r="B37" s="13" t="s">
        <v>320</v>
      </c>
    </row>
    <row r="38" spans="2:2" x14ac:dyDescent="0.2">
      <c r="B38" s="13" t="s">
        <v>321</v>
      </c>
    </row>
    <row r="39" spans="2:2" x14ac:dyDescent="0.2">
      <c r="B39" s="13" t="s">
        <v>322</v>
      </c>
    </row>
    <row r="40" spans="2:2" x14ac:dyDescent="0.2">
      <c r="B40" s="13" t="s">
        <v>323</v>
      </c>
    </row>
    <row r="41" spans="2:2" x14ac:dyDescent="0.2">
      <c r="B41" s="13" t="s">
        <v>324</v>
      </c>
    </row>
    <row r="42" spans="2:2" x14ac:dyDescent="0.2">
      <c r="B42" s="13" t="s">
        <v>325</v>
      </c>
    </row>
    <row r="43" spans="2:2" x14ac:dyDescent="0.2">
      <c r="B43" s="13" t="s">
        <v>326</v>
      </c>
    </row>
    <row r="44" spans="2:2" x14ac:dyDescent="0.2">
      <c r="B44" s="13" t="s">
        <v>327</v>
      </c>
    </row>
    <row r="45" spans="2:2" x14ac:dyDescent="0.2">
      <c r="B45" s="13" t="s">
        <v>328</v>
      </c>
    </row>
    <row r="46" spans="2:2" x14ac:dyDescent="0.2">
      <c r="B46" s="13" t="s">
        <v>329</v>
      </c>
    </row>
    <row r="47" spans="2:2" x14ac:dyDescent="0.2">
      <c r="B47" s="13" t="s">
        <v>330</v>
      </c>
    </row>
    <row r="48" spans="2:2" x14ac:dyDescent="0.2">
      <c r="B48" s="13" t="s">
        <v>331</v>
      </c>
    </row>
  </sheetData>
  <phoneticPr fontId="1"/>
  <hyperlinks>
    <hyperlink ref="B2" location="'産業大分類'!a1" display="産業大分類" xr:uid="{237F50C5-6F56-4DC0-A3CC-9F634E10CDE2}"/>
    <hyperlink ref="B3" location="'産業中分類'!a1" display="産業中分類" xr:uid="{EC401E48-112F-418D-BF0A-7DA138957269}"/>
    <hyperlink ref="B4" location="'産業小分類'!a1" display="産業小分類" xr:uid="{5C515E82-CE92-49C1-A1C8-4C9652F5FB22}"/>
    <hyperlink ref="B5" location="'鹿児島県'!a1" display="鹿児島県" xr:uid="{549F52F6-AD4B-4FF9-A756-590469B77492}"/>
    <hyperlink ref="B6" location="'鹿児島市'!a1" display="鹿児島市" xr:uid="{DB4FFEC8-12E5-4922-9868-F902B360D4CE}"/>
    <hyperlink ref="B7" location="'鹿屋市'!a1" display="鹿屋市" xr:uid="{95BEC636-743F-4C90-A7AC-427434253EE9}"/>
    <hyperlink ref="B8" location="'枕崎市'!a1" display="枕崎市" xr:uid="{28D8D807-7C0F-4308-8F7F-890216852948}"/>
    <hyperlink ref="B9" location="'阿久根市'!a1" display="阿久根市" xr:uid="{41ED4D7F-52BB-437F-BA9B-3A17B5533C09}"/>
    <hyperlink ref="B10" location="'出水市'!a1" display="出水市" xr:uid="{639AAC88-5BC2-4AED-8048-9353E4FC0D19}"/>
    <hyperlink ref="B11" location="'指宿市'!a1" display="指宿市" xr:uid="{AE87321D-4229-4BFC-A107-3C147B4279F4}"/>
    <hyperlink ref="B12" location="'西之表市'!a1" display="西之表市" xr:uid="{3F853AEA-462D-429E-8DD5-E8D978BB2CC6}"/>
    <hyperlink ref="B13" location="'垂水市'!a1" display="垂水市" xr:uid="{811C9449-2C54-4208-9452-044CE57627CE}"/>
    <hyperlink ref="B14" location="'薩摩川内市'!a1" display="薩摩川内市" xr:uid="{B7D164E2-EC4F-4AF6-81F1-9F5060D5A721}"/>
    <hyperlink ref="B15" location="'日置市'!a1" display="日置市" xr:uid="{7B365781-9E94-405E-B117-FB5556E27FD4}"/>
    <hyperlink ref="B16" location="'曽於市'!a1" display="曽於市" xr:uid="{4A49A57F-8E83-4673-9A22-85FCA3B4BBBA}"/>
    <hyperlink ref="B17" location="'霧島市'!a1" display="霧島市" xr:uid="{9BA8545D-09E2-48DB-9B6F-42158DA94CAB}"/>
    <hyperlink ref="B18" location="'いちき串木野市'!a1" display="いちき串木野市" xr:uid="{D8B606B6-D400-497A-948D-FB11748C831D}"/>
    <hyperlink ref="B19" location="'南さつま市'!a1" display="南さつま市" xr:uid="{B2CDC0BA-5181-4D21-96EC-26238F7D0572}"/>
    <hyperlink ref="B20" location="'志布志市'!a1" display="志布志市" xr:uid="{A74DD86B-5C16-467D-9C45-0447F2129F16}"/>
    <hyperlink ref="B21" location="'奄美市'!a1" display="奄美市" xr:uid="{94347B17-A9C5-4002-92E2-0BE9E514FF72}"/>
    <hyperlink ref="B22" location="'南九州市'!a1" display="南九州市" xr:uid="{D20ED76C-021B-4EBD-B76F-D23085639DC9}"/>
    <hyperlink ref="B23" location="'伊佐市'!a1" display="伊佐市" xr:uid="{035E019F-325F-4BE9-A2D6-00F82035F67C}"/>
    <hyperlink ref="B24" location="'姶良市'!a1" display="姶良市" xr:uid="{0F7460F1-D20C-4695-B8E2-69DC1A4C1B3F}"/>
    <hyperlink ref="B25" location="'鹿児島郡三島村'!a1" display="鹿児島郡三島村" xr:uid="{6D6FC6D9-FD57-43C8-8D3F-FBBBCF786325}"/>
    <hyperlink ref="B26" location="'鹿児島郡十島村'!a1" display="鹿児島郡十島村" xr:uid="{02DD6B40-A1FC-4B69-892D-A79F33D6A6AA}"/>
    <hyperlink ref="B27" location="'薩摩郡さつま町'!a1" display="薩摩郡さつま町" xr:uid="{AEDE6740-DEE4-4C47-BC00-0BCF1E206E24}"/>
    <hyperlink ref="B28" location="'出水郡長島町'!a1" display="出水郡長島町" xr:uid="{083843DF-070C-4BB9-BE30-673769E29795}"/>
    <hyperlink ref="B29" location="'姶良郡湧水町'!a1" display="姶良郡湧水町" xr:uid="{9B59C65A-7C49-48FC-BF4A-5F9C91E99A97}"/>
    <hyperlink ref="B30" location="'曽於郡大崎町'!a1" display="曽於郡大崎町" xr:uid="{5377A571-E63C-451D-9EF7-9D4D741573F8}"/>
    <hyperlink ref="B31" location="'肝属郡東串良町'!a1" display="肝属郡東串良町" xr:uid="{77D1FF72-19B5-48B8-8C54-68D8ADEB8FA3}"/>
    <hyperlink ref="B32" location="'肝属郡錦江町'!a1" display="肝属郡錦江町" xr:uid="{B969D689-2ACC-43B1-B0D4-469B37FEF4FB}"/>
    <hyperlink ref="B33" location="'肝属郡南大隅町'!a1" display="肝属郡南大隅町" xr:uid="{EDB553B0-56D8-4FAA-831E-1796659ECC11}"/>
    <hyperlink ref="B34" location="'肝属郡肝付町'!a1" display="肝属郡肝付町" xr:uid="{4B9D811D-3F27-4959-BF9D-B6D133764689}"/>
    <hyperlink ref="B35" location="'熊毛郡中種子町'!a1" display="熊毛郡中種子町" xr:uid="{5D038024-17E2-4806-AEC1-F8ECF403BA97}"/>
    <hyperlink ref="B36" location="'熊毛郡南種子町'!a1" display="熊毛郡南種子町" xr:uid="{7309AD41-19EF-4254-A488-D55E47327C90}"/>
    <hyperlink ref="B37" location="'熊毛郡屋久島町'!a1" display="熊毛郡屋久島町" xr:uid="{90565E1F-68FC-42C7-A9FC-ED6C09062A61}"/>
    <hyperlink ref="B38" location="'大島郡大和村'!a1" display="大島郡大和村" xr:uid="{7F0D12CE-0088-464D-82C0-364510E79A35}"/>
    <hyperlink ref="B39" location="'大島郡宇検村'!a1" display="大島郡宇検村" xr:uid="{6F562CDC-0132-4C98-A313-C2381C38860A}"/>
    <hyperlink ref="B40" location="'大島郡瀬戸内町'!a1" display="大島郡瀬戸内町" xr:uid="{06EA8313-CDAB-44E2-939D-99DB8BF03D39}"/>
    <hyperlink ref="B41" location="'大島郡龍郷町'!a1" display="大島郡龍郷町" xr:uid="{1C302E6F-A0BD-4CA0-A69C-F1BBD4216723}"/>
    <hyperlink ref="B42" location="'大島郡喜界町'!a1" display="大島郡喜界町" xr:uid="{46E57F24-D147-4792-AB96-7D9B07907164}"/>
    <hyperlink ref="B43" location="'大島郡徳之島町'!a1" display="大島郡徳之島町" xr:uid="{2E23304F-251C-4649-9FF3-5C41FD0211EE}"/>
    <hyperlink ref="B44" location="'大島郡天城町'!a1" display="大島郡天城町" xr:uid="{29A56442-E9C1-4672-9C20-745995429D19}"/>
    <hyperlink ref="B45" location="'大島郡伊仙町'!a1" display="大島郡伊仙町" xr:uid="{26C94FCB-DF6D-447C-A802-C99C25874C10}"/>
    <hyperlink ref="B46" location="'大島郡和泊町'!a1" display="大島郡和泊町" xr:uid="{1B7DE7B8-94A7-43E6-97D3-430ACE3689F1}"/>
    <hyperlink ref="B47" location="'大島郡知名町'!a1" display="大島郡知名町" xr:uid="{2F8F9C8A-8F7F-4F03-BE8A-32A70A041F46}"/>
    <hyperlink ref="B48" location="'大島郡与論町'!a1" display="大島郡与論町" xr:uid="{B8DE0EBF-5403-45D1-82B5-432D5FFB5DA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1362-A048-49F1-823B-7034B9CA602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138</v>
      </c>
      <c r="D6" s="8">
        <v>10.29</v>
      </c>
      <c r="E6" s="12">
        <v>43</v>
      </c>
      <c r="F6" s="8">
        <v>5.39</v>
      </c>
      <c r="G6" s="12">
        <v>95</v>
      </c>
      <c r="H6" s="8">
        <v>17.920000000000002</v>
      </c>
      <c r="I6" s="12">
        <v>0</v>
      </c>
    </row>
    <row r="7" spans="2:9" ht="15" customHeight="1" x14ac:dyDescent="0.2">
      <c r="B7" t="s">
        <v>46</v>
      </c>
      <c r="C7" s="12">
        <v>99</v>
      </c>
      <c r="D7" s="8">
        <v>7.38</v>
      </c>
      <c r="E7" s="12">
        <v>35</v>
      </c>
      <c r="F7" s="8">
        <v>4.3899999999999997</v>
      </c>
      <c r="G7" s="12">
        <v>64</v>
      </c>
      <c r="H7" s="8">
        <v>12.08</v>
      </c>
      <c r="I7" s="12">
        <v>0</v>
      </c>
    </row>
    <row r="8" spans="2:9" ht="15" customHeight="1" x14ac:dyDescent="0.2">
      <c r="B8" t="s">
        <v>47</v>
      </c>
      <c r="C8" s="12">
        <v>9</v>
      </c>
      <c r="D8" s="8">
        <v>0.67</v>
      </c>
      <c r="E8" s="12">
        <v>0</v>
      </c>
      <c r="F8" s="8">
        <v>0</v>
      </c>
      <c r="G8" s="12">
        <v>9</v>
      </c>
      <c r="H8" s="8">
        <v>1.7</v>
      </c>
      <c r="I8" s="12">
        <v>0</v>
      </c>
    </row>
    <row r="9" spans="2:9" ht="15" customHeight="1" x14ac:dyDescent="0.2">
      <c r="B9" t="s">
        <v>48</v>
      </c>
      <c r="C9" s="12">
        <v>6</v>
      </c>
      <c r="D9" s="8">
        <v>0.45</v>
      </c>
      <c r="E9" s="12">
        <v>1</v>
      </c>
      <c r="F9" s="8">
        <v>0.13</v>
      </c>
      <c r="G9" s="12">
        <v>5</v>
      </c>
      <c r="H9" s="8">
        <v>0.94</v>
      </c>
      <c r="I9" s="12">
        <v>0</v>
      </c>
    </row>
    <row r="10" spans="2:9" ht="15" customHeight="1" x14ac:dyDescent="0.2">
      <c r="B10" t="s">
        <v>49</v>
      </c>
      <c r="C10" s="12">
        <v>14</v>
      </c>
      <c r="D10" s="8">
        <v>1.04</v>
      </c>
      <c r="E10" s="12">
        <v>3</v>
      </c>
      <c r="F10" s="8">
        <v>0.38</v>
      </c>
      <c r="G10" s="12">
        <v>10</v>
      </c>
      <c r="H10" s="8">
        <v>1.89</v>
      </c>
      <c r="I10" s="12">
        <v>1</v>
      </c>
    </row>
    <row r="11" spans="2:9" ht="15" customHeight="1" x14ac:dyDescent="0.2">
      <c r="B11" t="s">
        <v>50</v>
      </c>
      <c r="C11" s="12">
        <v>345</v>
      </c>
      <c r="D11" s="8">
        <v>25.73</v>
      </c>
      <c r="E11" s="12">
        <v>172</v>
      </c>
      <c r="F11" s="8">
        <v>21.55</v>
      </c>
      <c r="G11" s="12">
        <v>169</v>
      </c>
      <c r="H11" s="8">
        <v>31.89</v>
      </c>
      <c r="I11" s="12">
        <v>4</v>
      </c>
    </row>
    <row r="12" spans="2:9" ht="15" customHeight="1" x14ac:dyDescent="0.2">
      <c r="B12" t="s">
        <v>51</v>
      </c>
      <c r="C12" s="12">
        <v>12</v>
      </c>
      <c r="D12" s="8">
        <v>0.89</v>
      </c>
      <c r="E12" s="12">
        <v>0</v>
      </c>
      <c r="F12" s="8">
        <v>0</v>
      </c>
      <c r="G12" s="12">
        <v>12</v>
      </c>
      <c r="H12" s="8">
        <v>2.2599999999999998</v>
      </c>
      <c r="I12" s="12">
        <v>0</v>
      </c>
    </row>
    <row r="13" spans="2:9" ht="15" customHeight="1" x14ac:dyDescent="0.2">
      <c r="B13" t="s">
        <v>52</v>
      </c>
      <c r="C13" s="12">
        <v>69</v>
      </c>
      <c r="D13" s="8">
        <v>5.15</v>
      </c>
      <c r="E13" s="12">
        <v>25</v>
      </c>
      <c r="F13" s="8">
        <v>3.13</v>
      </c>
      <c r="G13" s="12">
        <v>44</v>
      </c>
      <c r="H13" s="8">
        <v>8.3000000000000007</v>
      </c>
      <c r="I13" s="12">
        <v>0</v>
      </c>
    </row>
    <row r="14" spans="2:9" ht="15" customHeight="1" x14ac:dyDescent="0.2">
      <c r="B14" t="s">
        <v>53</v>
      </c>
      <c r="C14" s="12">
        <v>61</v>
      </c>
      <c r="D14" s="8">
        <v>4.55</v>
      </c>
      <c r="E14" s="12">
        <v>44</v>
      </c>
      <c r="F14" s="8">
        <v>5.51</v>
      </c>
      <c r="G14" s="12">
        <v>17</v>
      </c>
      <c r="H14" s="8">
        <v>3.21</v>
      </c>
      <c r="I14" s="12">
        <v>0</v>
      </c>
    </row>
    <row r="15" spans="2:9" ht="15" customHeight="1" x14ac:dyDescent="0.2">
      <c r="B15" t="s">
        <v>54</v>
      </c>
      <c r="C15" s="12">
        <v>196</v>
      </c>
      <c r="D15" s="8">
        <v>14.62</v>
      </c>
      <c r="E15" s="12">
        <v>167</v>
      </c>
      <c r="F15" s="8">
        <v>20.93</v>
      </c>
      <c r="G15" s="12">
        <v>26</v>
      </c>
      <c r="H15" s="8">
        <v>4.91</v>
      </c>
      <c r="I15" s="12">
        <v>0</v>
      </c>
    </row>
    <row r="16" spans="2:9" ht="15" customHeight="1" x14ac:dyDescent="0.2">
      <c r="B16" t="s">
        <v>55</v>
      </c>
      <c r="C16" s="12">
        <v>191</v>
      </c>
      <c r="D16" s="8">
        <v>14.24</v>
      </c>
      <c r="E16" s="12">
        <v>166</v>
      </c>
      <c r="F16" s="8">
        <v>20.8</v>
      </c>
      <c r="G16" s="12">
        <v>24</v>
      </c>
      <c r="H16" s="8">
        <v>4.53</v>
      </c>
      <c r="I16" s="12">
        <v>0</v>
      </c>
    </row>
    <row r="17" spans="2:9" ht="15" customHeight="1" x14ac:dyDescent="0.2">
      <c r="B17" t="s">
        <v>56</v>
      </c>
      <c r="C17" s="12">
        <v>48</v>
      </c>
      <c r="D17" s="8">
        <v>3.58</v>
      </c>
      <c r="E17" s="12">
        <v>38</v>
      </c>
      <c r="F17" s="8">
        <v>4.76</v>
      </c>
      <c r="G17" s="12">
        <v>9</v>
      </c>
      <c r="H17" s="8">
        <v>1.7</v>
      </c>
      <c r="I17" s="12">
        <v>0</v>
      </c>
    </row>
    <row r="18" spans="2:9" ht="15" customHeight="1" x14ac:dyDescent="0.2">
      <c r="B18" t="s">
        <v>57</v>
      </c>
      <c r="C18" s="12">
        <v>96</v>
      </c>
      <c r="D18" s="8">
        <v>7.16</v>
      </c>
      <c r="E18" s="12">
        <v>66</v>
      </c>
      <c r="F18" s="8">
        <v>8.27</v>
      </c>
      <c r="G18" s="12">
        <v>30</v>
      </c>
      <c r="H18" s="8">
        <v>5.66</v>
      </c>
      <c r="I18" s="12">
        <v>0</v>
      </c>
    </row>
    <row r="19" spans="2:9" ht="15" customHeight="1" x14ac:dyDescent="0.2">
      <c r="B19" t="s">
        <v>58</v>
      </c>
      <c r="C19" s="12">
        <v>57</v>
      </c>
      <c r="D19" s="8">
        <v>4.25</v>
      </c>
      <c r="E19" s="12">
        <v>38</v>
      </c>
      <c r="F19" s="8">
        <v>4.76</v>
      </c>
      <c r="G19" s="12">
        <v>16</v>
      </c>
      <c r="H19" s="8">
        <v>3.02</v>
      </c>
      <c r="I19" s="12">
        <v>0</v>
      </c>
    </row>
    <row r="20" spans="2:9" ht="15" customHeight="1" x14ac:dyDescent="0.2">
      <c r="B20" s="9" t="s">
        <v>241</v>
      </c>
      <c r="C20" s="12">
        <f>SUM(LTBL_46208[総数／事業所数])</f>
        <v>1341</v>
      </c>
      <c r="E20" s="12">
        <f>SUBTOTAL(109,LTBL_46208[個人／事業所数])</f>
        <v>798</v>
      </c>
      <c r="G20" s="12">
        <f>SUBTOTAL(109,LTBL_46208[法人／事業所数])</f>
        <v>530</v>
      </c>
      <c r="I20" s="12">
        <f>SUBTOTAL(109,LTBL_46208[法人以外の団体／事業所数])</f>
        <v>5</v>
      </c>
    </row>
    <row r="21" spans="2:9" ht="15" customHeight="1" x14ac:dyDescent="0.2">
      <c r="E21" s="11">
        <f>LTBL_46208[[#Totals],[個人／事業所数]]/LTBL_46208[[#Totals],[総数／事業所数]]</f>
        <v>0.59507829977628635</v>
      </c>
      <c r="G21" s="11">
        <f>LTBL_46208[[#Totals],[法人／事業所数]]/LTBL_46208[[#Totals],[総数／事業所数]]</f>
        <v>0.39522744220730799</v>
      </c>
      <c r="I21" s="11">
        <f>LTBL_46208[[#Totals],[法人以外の団体／事業所数]]/LTBL_46208[[#Totals],[総数／事業所数]]</f>
        <v>3.7285607755406414E-3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171</v>
      </c>
      <c r="D24" s="8">
        <v>12.75</v>
      </c>
      <c r="E24" s="12">
        <v>159</v>
      </c>
      <c r="F24" s="8">
        <v>19.920000000000002</v>
      </c>
      <c r="G24" s="12">
        <v>12</v>
      </c>
      <c r="H24" s="8">
        <v>2.2599999999999998</v>
      </c>
      <c r="I24" s="12">
        <v>0</v>
      </c>
    </row>
    <row r="25" spans="2:9" ht="15" customHeight="1" x14ac:dyDescent="0.2">
      <c r="B25" t="s">
        <v>81</v>
      </c>
      <c r="C25" s="12">
        <v>165</v>
      </c>
      <c r="D25" s="8">
        <v>12.3</v>
      </c>
      <c r="E25" s="12">
        <v>153</v>
      </c>
      <c r="F25" s="8">
        <v>19.170000000000002</v>
      </c>
      <c r="G25" s="12">
        <v>12</v>
      </c>
      <c r="H25" s="8">
        <v>2.2599999999999998</v>
      </c>
      <c r="I25" s="12">
        <v>0</v>
      </c>
    </row>
    <row r="26" spans="2:9" ht="15" customHeight="1" x14ac:dyDescent="0.2">
      <c r="B26" t="s">
        <v>75</v>
      </c>
      <c r="C26" s="12">
        <v>112</v>
      </c>
      <c r="D26" s="8">
        <v>8.35</v>
      </c>
      <c r="E26" s="12">
        <v>44</v>
      </c>
      <c r="F26" s="8">
        <v>5.51</v>
      </c>
      <c r="G26" s="12">
        <v>65</v>
      </c>
      <c r="H26" s="8">
        <v>12.26</v>
      </c>
      <c r="I26" s="12">
        <v>3</v>
      </c>
    </row>
    <row r="27" spans="2:9" ht="15" customHeight="1" x14ac:dyDescent="0.2">
      <c r="B27" t="s">
        <v>73</v>
      </c>
      <c r="C27" s="12">
        <v>84</v>
      </c>
      <c r="D27" s="8">
        <v>6.26</v>
      </c>
      <c r="E27" s="12">
        <v>67</v>
      </c>
      <c r="F27" s="8">
        <v>8.4</v>
      </c>
      <c r="G27" s="12">
        <v>17</v>
      </c>
      <c r="H27" s="8">
        <v>3.21</v>
      </c>
      <c r="I27" s="12">
        <v>0</v>
      </c>
    </row>
    <row r="28" spans="2:9" ht="15" customHeight="1" x14ac:dyDescent="0.2">
      <c r="B28" t="s">
        <v>67</v>
      </c>
      <c r="C28" s="12">
        <v>67</v>
      </c>
      <c r="D28" s="8">
        <v>5</v>
      </c>
      <c r="E28" s="12">
        <v>17</v>
      </c>
      <c r="F28" s="8">
        <v>2.13</v>
      </c>
      <c r="G28" s="12">
        <v>50</v>
      </c>
      <c r="H28" s="8">
        <v>9.43</v>
      </c>
      <c r="I28" s="12">
        <v>0</v>
      </c>
    </row>
    <row r="29" spans="2:9" ht="15" customHeight="1" x14ac:dyDescent="0.2">
      <c r="B29" t="s">
        <v>84</v>
      </c>
      <c r="C29" s="12">
        <v>67</v>
      </c>
      <c r="D29" s="8">
        <v>5</v>
      </c>
      <c r="E29" s="12">
        <v>66</v>
      </c>
      <c r="F29" s="8">
        <v>8.27</v>
      </c>
      <c r="G29" s="12">
        <v>1</v>
      </c>
      <c r="H29" s="8">
        <v>0.19</v>
      </c>
      <c r="I29" s="12">
        <v>0</v>
      </c>
    </row>
    <row r="30" spans="2:9" ht="15" customHeight="1" x14ac:dyDescent="0.2">
      <c r="B30" t="s">
        <v>74</v>
      </c>
      <c r="C30" s="12">
        <v>48</v>
      </c>
      <c r="D30" s="8">
        <v>3.58</v>
      </c>
      <c r="E30" s="12">
        <v>29</v>
      </c>
      <c r="F30" s="8">
        <v>3.63</v>
      </c>
      <c r="G30" s="12">
        <v>19</v>
      </c>
      <c r="H30" s="8">
        <v>3.58</v>
      </c>
      <c r="I30" s="12">
        <v>0</v>
      </c>
    </row>
    <row r="31" spans="2:9" ht="15" customHeight="1" x14ac:dyDescent="0.2">
      <c r="B31" t="s">
        <v>83</v>
      </c>
      <c r="C31" s="12">
        <v>48</v>
      </c>
      <c r="D31" s="8">
        <v>3.58</v>
      </c>
      <c r="E31" s="12">
        <v>38</v>
      </c>
      <c r="F31" s="8">
        <v>4.76</v>
      </c>
      <c r="G31" s="12">
        <v>9</v>
      </c>
      <c r="H31" s="8">
        <v>1.7</v>
      </c>
      <c r="I31" s="12">
        <v>0</v>
      </c>
    </row>
    <row r="32" spans="2:9" ht="15" customHeight="1" x14ac:dyDescent="0.2">
      <c r="B32" t="s">
        <v>68</v>
      </c>
      <c r="C32" s="12">
        <v>44</v>
      </c>
      <c r="D32" s="8">
        <v>3.28</v>
      </c>
      <c r="E32" s="12">
        <v>21</v>
      </c>
      <c r="F32" s="8">
        <v>2.63</v>
      </c>
      <c r="G32" s="12">
        <v>23</v>
      </c>
      <c r="H32" s="8">
        <v>4.34</v>
      </c>
      <c r="I32" s="12">
        <v>0</v>
      </c>
    </row>
    <row r="33" spans="2:9" ht="15" customHeight="1" x14ac:dyDescent="0.2">
      <c r="B33" t="s">
        <v>78</v>
      </c>
      <c r="C33" s="12">
        <v>37</v>
      </c>
      <c r="D33" s="8">
        <v>2.76</v>
      </c>
      <c r="E33" s="12">
        <v>30</v>
      </c>
      <c r="F33" s="8">
        <v>3.76</v>
      </c>
      <c r="G33" s="12">
        <v>7</v>
      </c>
      <c r="H33" s="8">
        <v>1.32</v>
      </c>
      <c r="I33" s="12">
        <v>0</v>
      </c>
    </row>
    <row r="34" spans="2:9" ht="15" customHeight="1" x14ac:dyDescent="0.2">
      <c r="B34" t="s">
        <v>77</v>
      </c>
      <c r="C34" s="12">
        <v>36</v>
      </c>
      <c r="D34" s="8">
        <v>2.68</v>
      </c>
      <c r="E34" s="12">
        <v>10</v>
      </c>
      <c r="F34" s="8">
        <v>1.25</v>
      </c>
      <c r="G34" s="12">
        <v>26</v>
      </c>
      <c r="H34" s="8">
        <v>4.91</v>
      </c>
      <c r="I34" s="12">
        <v>0</v>
      </c>
    </row>
    <row r="35" spans="2:9" ht="15" customHeight="1" x14ac:dyDescent="0.2">
      <c r="B35" t="s">
        <v>86</v>
      </c>
      <c r="C35" s="12">
        <v>31</v>
      </c>
      <c r="D35" s="8">
        <v>2.31</v>
      </c>
      <c r="E35" s="12">
        <v>31</v>
      </c>
      <c r="F35" s="8">
        <v>3.88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29</v>
      </c>
      <c r="D36" s="8">
        <v>2.16</v>
      </c>
      <c r="E36" s="12">
        <v>12</v>
      </c>
      <c r="F36" s="8">
        <v>1.5</v>
      </c>
      <c r="G36" s="12">
        <v>17</v>
      </c>
      <c r="H36" s="8">
        <v>3.21</v>
      </c>
      <c r="I36" s="12">
        <v>0</v>
      </c>
    </row>
    <row r="37" spans="2:9" ht="15" customHeight="1" x14ac:dyDescent="0.2">
      <c r="B37" t="s">
        <v>85</v>
      </c>
      <c r="C37" s="12">
        <v>29</v>
      </c>
      <c r="D37" s="8">
        <v>2.16</v>
      </c>
      <c r="E37" s="12">
        <v>0</v>
      </c>
      <c r="F37" s="8">
        <v>0</v>
      </c>
      <c r="G37" s="12">
        <v>29</v>
      </c>
      <c r="H37" s="8">
        <v>5.47</v>
      </c>
      <c r="I37" s="12">
        <v>0</v>
      </c>
    </row>
    <row r="38" spans="2:9" ht="15" customHeight="1" x14ac:dyDescent="0.2">
      <c r="B38" t="s">
        <v>69</v>
      </c>
      <c r="C38" s="12">
        <v>27</v>
      </c>
      <c r="D38" s="8">
        <v>2.0099999999999998</v>
      </c>
      <c r="E38" s="12">
        <v>5</v>
      </c>
      <c r="F38" s="8">
        <v>0.63</v>
      </c>
      <c r="G38" s="12">
        <v>22</v>
      </c>
      <c r="H38" s="8">
        <v>4.1500000000000004</v>
      </c>
      <c r="I38" s="12">
        <v>0</v>
      </c>
    </row>
    <row r="39" spans="2:9" ht="15" customHeight="1" x14ac:dyDescent="0.2">
      <c r="B39" t="s">
        <v>79</v>
      </c>
      <c r="C39" s="12">
        <v>24</v>
      </c>
      <c r="D39" s="8">
        <v>1.79</v>
      </c>
      <c r="E39" s="12">
        <v>14</v>
      </c>
      <c r="F39" s="8">
        <v>1.75</v>
      </c>
      <c r="G39" s="12">
        <v>10</v>
      </c>
      <c r="H39" s="8">
        <v>1.89</v>
      </c>
      <c r="I39" s="12">
        <v>0</v>
      </c>
    </row>
    <row r="40" spans="2:9" ht="15" customHeight="1" x14ac:dyDescent="0.2">
      <c r="B40" t="s">
        <v>70</v>
      </c>
      <c r="C40" s="12">
        <v>22</v>
      </c>
      <c r="D40" s="8">
        <v>1.64</v>
      </c>
      <c r="E40" s="12">
        <v>8</v>
      </c>
      <c r="F40" s="8">
        <v>1</v>
      </c>
      <c r="G40" s="12">
        <v>14</v>
      </c>
      <c r="H40" s="8">
        <v>2.64</v>
      </c>
      <c r="I40" s="12">
        <v>0</v>
      </c>
    </row>
    <row r="41" spans="2:9" ht="15" customHeight="1" x14ac:dyDescent="0.2">
      <c r="B41" t="s">
        <v>89</v>
      </c>
      <c r="C41" s="12">
        <v>20</v>
      </c>
      <c r="D41" s="8">
        <v>1.49</v>
      </c>
      <c r="E41" s="12">
        <v>11</v>
      </c>
      <c r="F41" s="8">
        <v>1.38</v>
      </c>
      <c r="G41" s="12">
        <v>8</v>
      </c>
      <c r="H41" s="8">
        <v>1.51</v>
      </c>
      <c r="I41" s="12">
        <v>1</v>
      </c>
    </row>
    <row r="42" spans="2:9" ht="15" customHeight="1" x14ac:dyDescent="0.2">
      <c r="B42" t="s">
        <v>76</v>
      </c>
      <c r="C42" s="12">
        <v>20</v>
      </c>
      <c r="D42" s="8">
        <v>1.49</v>
      </c>
      <c r="E42" s="12">
        <v>14</v>
      </c>
      <c r="F42" s="8">
        <v>1.75</v>
      </c>
      <c r="G42" s="12">
        <v>6</v>
      </c>
      <c r="H42" s="8">
        <v>1.1299999999999999</v>
      </c>
      <c r="I42" s="12">
        <v>0</v>
      </c>
    </row>
    <row r="43" spans="2:9" ht="15" customHeight="1" x14ac:dyDescent="0.2">
      <c r="B43" t="s">
        <v>87</v>
      </c>
      <c r="C43" s="12">
        <v>18</v>
      </c>
      <c r="D43" s="8">
        <v>1.34</v>
      </c>
      <c r="E43" s="12">
        <v>4</v>
      </c>
      <c r="F43" s="8">
        <v>0.5</v>
      </c>
      <c r="G43" s="12">
        <v>14</v>
      </c>
      <c r="H43" s="8">
        <v>2.64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97</v>
      </c>
      <c r="D47" s="8">
        <v>7.23</v>
      </c>
      <c r="E47" s="12">
        <v>93</v>
      </c>
      <c r="F47" s="8">
        <v>11.65</v>
      </c>
      <c r="G47" s="12">
        <v>4</v>
      </c>
      <c r="H47" s="8">
        <v>0.75</v>
      </c>
      <c r="I47" s="12">
        <v>0</v>
      </c>
    </row>
    <row r="48" spans="2:9" ht="15" customHeight="1" x14ac:dyDescent="0.2">
      <c r="B48" t="s">
        <v>138</v>
      </c>
      <c r="C48" s="12">
        <v>59</v>
      </c>
      <c r="D48" s="8">
        <v>4.4000000000000004</v>
      </c>
      <c r="E48" s="12">
        <v>58</v>
      </c>
      <c r="F48" s="8">
        <v>7.27</v>
      </c>
      <c r="G48" s="12">
        <v>1</v>
      </c>
      <c r="H48" s="8">
        <v>0.19</v>
      </c>
      <c r="I48" s="12">
        <v>0</v>
      </c>
    </row>
    <row r="49" spans="2:9" ht="15" customHeight="1" x14ac:dyDescent="0.2">
      <c r="B49" t="s">
        <v>142</v>
      </c>
      <c r="C49" s="12">
        <v>57</v>
      </c>
      <c r="D49" s="8">
        <v>4.25</v>
      </c>
      <c r="E49" s="12">
        <v>57</v>
      </c>
      <c r="F49" s="8">
        <v>7.14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136</v>
      </c>
      <c r="C50" s="12">
        <v>37</v>
      </c>
      <c r="D50" s="8">
        <v>2.76</v>
      </c>
      <c r="E50" s="12">
        <v>33</v>
      </c>
      <c r="F50" s="8">
        <v>4.1399999999999997</v>
      </c>
      <c r="G50" s="12">
        <v>4</v>
      </c>
      <c r="H50" s="8">
        <v>0.75</v>
      </c>
      <c r="I50" s="12">
        <v>0</v>
      </c>
    </row>
    <row r="51" spans="2:9" ht="15" customHeight="1" x14ac:dyDescent="0.2">
      <c r="B51" t="s">
        <v>139</v>
      </c>
      <c r="C51" s="12">
        <v>37</v>
      </c>
      <c r="D51" s="8">
        <v>2.76</v>
      </c>
      <c r="E51" s="12">
        <v>37</v>
      </c>
      <c r="F51" s="8">
        <v>4.6399999999999997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32</v>
      </c>
      <c r="D52" s="8">
        <v>2.39</v>
      </c>
      <c r="E52" s="12">
        <v>23</v>
      </c>
      <c r="F52" s="8">
        <v>2.88</v>
      </c>
      <c r="G52" s="12">
        <v>9</v>
      </c>
      <c r="H52" s="8">
        <v>1.7</v>
      </c>
      <c r="I52" s="12">
        <v>0</v>
      </c>
    </row>
    <row r="53" spans="2:9" ht="15" customHeight="1" x14ac:dyDescent="0.2">
      <c r="B53" t="s">
        <v>130</v>
      </c>
      <c r="C53" s="12">
        <v>31</v>
      </c>
      <c r="D53" s="8">
        <v>2.31</v>
      </c>
      <c r="E53" s="12">
        <v>19</v>
      </c>
      <c r="F53" s="8">
        <v>2.38</v>
      </c>
      <c r="G53" s="12">
        <v>12</v>
      </c>
      <c r="H53" s="8">
        <v>2.2599999999999998</v>
      </c>
      <c r="I53" s="12">
        <v>0</v>
      </c>
    </row>
    <row r="54" spans="2:9" ht="15" customHeight="1" x14ac:dyDescent="0.2">
      <c r="B54" t="s">
        <v>143</v>
      </c>
      <c r="C54" s="12">
        <v>31</v>
      </c>
      <c r="D54" s="8">
        <v>2.31</v>
      </c>
      <c r="E54" s="12">
        <v>31</v>
      </c>
      <c r="F54" s="8">
        <v>3.88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141</v>
      </c>
      <c r="C55" s="12">
        <v>30</v>
      </c>
      <c r="D55" s="8">
        <v>2.2400000000000002</v>
      </c>
      <c r="E55" s="12">
        <v>27</v>
      </c>
      <c r="F55" s="8">
        <v>3.38</v>
      </c>
      <c r="G55" s="12">
        <v>3</v>
      </c>
      <c r="H55" s="8">
        <v>0.56999999999999995</v>
      </c>
      <c r="I55" s="12">
        <v>0</v>
      </c>
    </row>
    <row r="56" spans="2:9" ht="15" customHeight="1" x14ac:dyDescent="0.2">
      <c r="B56" t="s">
        <v>137</v>
      </c>
      <c r="C56" s="12">
        <v>29</v>
      </c>
      <c r="D56" s="8">
        <v>2.16</v>
      </c>
      <c r="E56" s="12">
        <v>27</v>
      </c>
      <c r="F56" s="8">
        <v>3.38</v>
      </c>
      <c r="G56" s="12">
        <v>2</v>
      </c>
      <c r="H56" s="8">
        <v>0.38</v>
      </c>
      <c r="I56" s="12">
        <v>0</v>
      </c>
    </row>
    <row r="57" spans="2:9" ht="15" customHeight="1" x14ac:dyDescent="0.2">
      <c r="B57" t="s">
        <v>131</v>
      </c>
      <c r="C57" s="12">
        <v>24</v>
      </c>
      <c r="D57" s="8">
        <v>1.79</v>
      </c>
      <c r="E57" s="12">
        <v>8</v>
      </c>
      <c r="F57" s="8">
        <v>1</v>
      </c>
      <c r="G57" s="12">
        <v>16</v>
      </c>
      <c r="H57" s="8">
        <v>3.02</v>
      </c>
      <c r="I57" s="12">
        <v>0</v>
      </c>
    </row>
    <row r="58" spans="2:9" ht="15" customHeight="1" x14ac:dyDescent="0.2">
      <c r="B58" t="s">
        <v>134</v>
      </c>
      <c r="C58" s="12">
        <v>24</v>
      </c>
      <c r="D58" s="8">
        <v>1.79</v>
      </c>
      <c r="E58" s="12">
        <v>10</v>
      </c>
      <c r="F58" s="8">
        <v>1.25</v>
      </c>
      <c r="G58" s="12">
        <v>14</v>
      </c>
      <c r="H58" s="8">
        <v>2.64</v>
      </c>
      <c r="I58" s="12">
        <v>0</v>
      </c>
    </row>
    <row r="59" spans="2:9" ht="15" customHeight="1" x14ac:dyDescent="0.2">
      <c r="B59" t="s">
        <v>124</v>
      </c>
      <c r="C59" s="12">
        <v>23</v>
      </c>
      <c r="D59" s="8">
        <v>1.72</v>
      </c>
      <c r="E59" s="12">
        <v>1</v>
      </c>
      <c r="F59" s="8">
        <v>0.13</v>
      </c>
      <c r="G59" s="12">
        <v>22</v>
      </c>
      <c r="H59" s="8">
        <v>4.1500000000000004</v>
      </c>
      <c r="I59" s="12">
        <v>0</v>
      </c>
    </row>
    <row r="60" spans="2:9" ht="15" customHeight="1" x14ac:dyDescent="0.2">
      <c r="B60" t="s">
        <v>133</v>
      </c>
      <c r="C60" s="12">
        <v>22</v>
      </c>
      <c r="D60" s="8">
        <v>1.64</v>
      </c>
      <c r="E60" s="12">
        <v>11</v>
      </c>
      <c r="F60" s="8">
        <v>1.38</v>
      </c>
      <c r="G60" s="12">
        <v>11</v>
      </c>
      <c r="H60" s="8">
        <v>2.08</v>
      </c>
      <c r="I60" s="12">
        <v>0</v>
      </c>
    </row>
    <row r="61" spans="2:9" ht="15" customHeight="1" x14ac:dyDescent="0.2">
      <c r="B61" t="s">
        <v>128</v>
      </c>
      <c r="C61" s="12">
        <v>21</v>
      </c>
      <c r="D61" s="8">
        <v>1.57</v>
      </c>
      <c r="E61" s="12">
        <v>17</v>
      </c>
      <c r="F61" s="8">
        <v>2.13</v>
      </c>
      <c r="G61" s="12">
        <v>4</v>
      </c>
      <c r="H61" s="8">
        <v>0.75</v>
      </c>
      <c r="I61" s="12">
        <v>0</v>
      </c>
    </row>
    <row r="62" spans="2:9" ht="15" customHeight="1" x14ac:dyDescent="0.2">
      <c r="B62" t="s">
        <v>146</v>
      </c>
      <c r="C62" s="12">
        <v>21</v>
      </c>
      <c r="D62" s="8">
        <v>1.57</v>
      </c>
      <c r="E62" s="12">
        <v>18</v>
      </c>
      <c r="F62" s="8">
        <v>2.2599999999999998</v>
      </c>
      <c r="G62" s="12">
        <v>3</v>
      </c>
      <c r="H62" s="8">
        <v>0.56999999999999995</v>
      </c>
      <c r="I62" s="12">
        <v>0</v>
      </c>
    </row>
    <row r="63" spans="2:9" ht="15" customHeight="1" x14ac:dyDescent="0.2">
      <c r="B63" t="s">
        <v>132</v>
      </c>
      <c r="C63" s="12">
        <v>20</v>
      </c>
      <c r="D63" s="8">
        <v>1.49</v>
      </c>
      <c r="E63" s="12">
        <v>2</v>
      </c>
      <c r="F63" s="8">
        <v>0.25</v>
      </c>
      <c r="G63" s="12">
        <v>18</v>
      </c>
      <c r="H63" s="8">
        <v>3.4</v>
      </c>
      <c r="I63" s="12">
        <v>0</v>
      </c>
    </row>
    <row r="64" spans="2:9" ht="15" customHeight="1" x14ac:dyDescent="0.2">
      <c r="B64" t="s">
        <v>157</v>
      </c>
      <c r="C64" s="12">
        <v>18</v>
      </c>
      <c r="D64" s="8">
        <v>1.34</v>
      </c>
      <c r="E64" s="12">
        <v>10</v>
      </c>
      <c r="F64" s="8">
        <v>1.25</v>
      </c>
      <c r="G64" s="12">
        <v>8</v>
      </c>
      <c r="H64" s="8">
        <v>1.51</v>
      </c>
      <c r="I64" s="12">
        <v>0</v>
      </c>
    </row>
    <row r="65" spans="2:9" ht="15" customHeight="1" x14ac:dyDescent="0.2">
      <c r="B65" t="s">
        <v>144</v>
      </c>
      <c r="C65" s="12">
        <v>18</v>
      </c>
      <c r="D65" s="8">
        <v>1.34</v>
      </c>
      <c r="E65" s="12">
        <v>14</v>
      </c>
      <c r="F65" s="8">
        <v>1.75</v>
      </c>
      <c r="G65" s="12">
        <v>4</v>
      </c>
      <c r="H65" s="8">
        <v>0.75</v>
      </c>
      <c r="I65" s="12">
        <v>0</v>
      </c>
    </row>
    <row r="66" spans="2:9" ht="15" customHeight="1" x14ac:dyDescent="0.2">
      <c r="B66" t="s">
        <v>126</v>
      </c>
      <c r="C66" s="12">
        <v>16</v>
      </c>
      <c r="D66" s="8">
        <v>1.19</v>
      </c>
      <c r="E66" s="12">
        <v>3</v>
      </c>
      <c r="F66" s="8">
        <v>0.38</v>
      </c>
      <c r="G66" s="12">
        <v>13</v>
      </c>
      <c r="H66" s="8">
        <v>2.4500000000000002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9C64-D6A1-4BC0-A17D-7DDBE6567B1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154</v>
      </c>
      <c r="D6" s="8">
        <v>12.39</v>
      </c>
      <c r="E6" s="12">
        <v>74</v>
      </c>
      <c r="F6" s="8">
        <v>9.19</v>
      </c>
      <c r="G6" s="12">
        <v>80</v>
      </c>
      <c r="H6" s="8">
        <v>18.690000000000001</v>
      </c>
      <c r="I6" s="12">
        <v>0</v>
      </c>
    </row>
    <row r="7" spans="2:9" ht="15" customHeight="1" x14ac:dyDescent="0.2">
      <c r="B7" t="s">
        <v>46</v>
      </c>
      <c r="C7" s="12">
        <v>94</v>
      </c>
      <c r="D7" s="8">
        <v>7.56</v>
      </c>
      <c r="E7" s="12">
        <v>45</v>
      </c>
      <c r="F7" s="8">
        <v>5.59</v>
      </c>
      <c r="G7" s="12">
        <v>49</v>
      </c>
      <c r="H7" s="8">
        <v>11.45</v>
      </c>
      <c r="I7" s="12">
        <v>0</v>
      </c>
    </row>
    <row r="8" spans="2:9" ht="15" customHeight="1" x14ac:dyDescent="0.2">
      <c r="B8" t="s">
        <v>47</v>
      </c>
      <c r="C8" s="12">
        <v>7</v>
      </c>
      <c r="D8" s="8">
        <v>0.56000000000000005</v>
      </c>
      <c r="E8" s="12">
        <v>0</v>
      </c>
      <c r="F8" s="8">
        <v>0</v>
      </c>
      <c r="G8" s="12">
        <v>7</v>
      </c>
      <c r="H8" s="8">
        <v>1.64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0.24</v>
      </c>
      <c r="E9" s="12">
        <v>0</v>
      </c>
      <c r="F9" s="8">
        <v>0</v>
      </c>
      <c r="G9" s="12">
        <v>3</v>
      </c>
      <c r="H9" s="8">
        <v>0.7</v>
      </c>
      <c r="I9" s="12">
        <v>0</v>
      </c>
    </row>
    <row r="10" spans="2:9" ht="15" customHeight="1" x14ac:dyDescent="0.2">
      <c r="B10" t="s">
        <v>49</v>
      </c>
      <c r="C10" s="12">
        <v>18</v>
      </c>
      <c r="D10" s="8">
        <v>1.45</v>
      </c>
      <c r="E10" s="12">
        <v>8</v>
      </c>
      <c r="F10" s="8">
        <v>0.99</v>
      </c>
      <c r="G10" s="12">
        <v>10</v>
      </c>
      <c r="H10" s="8">
        <v>2.34</v>
      </c>
      <c r="I10" s="12">
        <v>0</v>
      </c>
    </row>
    <row r="11" spans="2:9" ht="15" customHeight="1" x14ac:dyDescent="0.2">
      <c r="B11" t="s">
        <v>50</v>
      </c>
      <c r="C11" s="12">
        <v>373</v>
      </c>
      <c r="D11" s="8">
        <v>30.01</v>
      </c>
      <c r="E11" s="12">
        <v>220</v>
      </c>
      <c r="F11" s="8">
        <v>27.33</v>
      </c>
      <c r="G11" s="12">
        <v>152</v>
      </c>
      <c r="H11" s="8">
        <v>35.51</v>
      </c>
      <c r="I11" s="12">
        <v>1</v>
      </c>
    </row>
    <row r="12" spans="2:9" ht="15" customHeight="1" x14ac:dyDescent="0.2">
      <c r="B12" t="s">
        <v>51</v>
      </c>
      <c r="C12" s="12">
        <v>10</v>
      </c>
      <c r="D12" s="8">
        <v>0.8</v>
      </c>
      <c r="E12" s="12">
        <v>4</v>
      </c>
      <c r="F12" s="8">
        <v>0.5</v>
      </c>
      <c r="G12" s="12">
        <v>6</v>
      </c>
      <c r="H12" s="8">
        <v>1.4</v>
      </c>
      <c r="I12" s="12">
        <v>0</v>
      </c>
    </row>
    <row r="13" spans="2:9" ht="15" customHeight="1" x14ac:dyDescent="0.2">
      <c r="B13" t="s">
        <v>52</v>
      </c>
      <c r="C13" s="12">
        <v>41</v>
      </c>
      <c r="D13" s="8">
        <v>3.3</v>
      </c>
      <c r="E13" s="12">
        <v>21</v>
      </c>
      <c r="F13" s="8">
        <v>2.61</v>
      </c>
      <c r="G13" s="12">
        <v>20</v>
      </c>
      <c r="H13" s="8">
        <v>4.67</v>
      </c>
      <c r="I13" s="12">
        <v>0</v>
      </c>
    </row>
    <row r="14" spans="2:9" ht="15" customHeight="1" x14ac:dyDescent="0.2">
      <c r="B14" t="s">
        <v>53</v>
      </c>
      <c r="C14" s="12">
        <v>47</v>
      </c>
      <c r="D14" s="8">
        <v>3.78</v>
      </c>
      <c r="E14" s="12">
        <v>31</v>
      </c>
      <c r="F14" s="8">
        <v>3.85</v>
      </c>
      <c r="G14" s="12">
        <v>15</v>
      </c>
      <c r="H14" s="8">
        <v>3.5</v>
      </c>
      <c r="I14" s="12">
        <v>0</v>
      </c>
    </row>
    <row r="15" spans="2:9" ht="15" customHeight="1" x14ac:dyDescent="0.2">
      <c r="B15" t="s">
        <v>54</v>
      </c>
      <c r="C15" s="12">
        <v>174</v>
      </c>
      <c r="D15" s="8">
        <v>14</v>
      </c>
      <c r="E15" s="12">
        <v>146</v>
      </c>
      <c r="F15" s="8">
        <v>18.14</v>
      </c>
      <c r="G15" s="12">
        <v>26</v>
      </c>
      <c r="H15" s="8">
        <v>6.07</v>
      </c>
      <c r="I15" s="12">
        <v>0</v>
      </c>
    </row>
    <row r="16" spans="2:9" ht="15" customHeight="1" x14ac:dyDescent="0.2">
      <c r="B16" t="s">
        <v>55</v>
      </c>
      <c r="C16" s="12">
        <v>168</v>
      </c>
      <c r="D16" s="8">
        <v>13.52</v>
      </c>
      <c r="E16" s="12">
        <v>141</v>
      </c>
      <c r="F16" s="8">
        <v>17.52</v>
      </c>
      <c r="G16" s="12">
        <v>25</v>
      </c>
      <c r="H16" s="8">
        <v>5.84</v>
      </c>
      <c r="I16" s="12">
        <v>2</v>
      </c>
    </row>
    <row r="17" spans="2:9" ht="15" customHeight="1" x14ac:dyDescent="0.2">
      <c r="B17" t="s">
        <v>56</v>
      </c>
      <c r="C17" s="12">
        <v>42</v>
      </c>
      <c r="D17" s="8">
        <v>3.38</v>
      </c>
      <c r="E17" s="12">
        <v>37</v>
      </c>
      <c r="F17" s="8">
        <v>4.5999999999999996</v>
      </c>
      <c r="G17" s="12">
        <v>4</v>
      </c>
      <c r="H17" s="8">
        <v>0.93</v>
      </c>
      <c r="I17" s="12">
        <v>1</v>
      </c>
    </row>
    <row r="18" spans="2:9" ht="15" customHeight="1" x14ac:dyDescent="0.2">
      <c r="B18" t="s">
        <v>57</v>
      </c>
      <c r="C18" s="12">
        <v>51</v>
      </c>
      <c r="D18" s="8">
        <v>4.0999999999999996</v>
      </c>
      <c r="E18" s="12">
        <v>37</v>
      </c>
      <c r="F18" s="8">
        <v>4.5999999999999996</v>
      </c>
      <c r="G18" s="12">
        <v>14</v>
      </c>
      <c r="H18" s="8">
        <v>3.27</v>
      </c>
      <c r="I18" s="12">
        <v>0</v>
      </c>
    </row>
    <row r="19" spans="2:9" ht="15" customHeight="1" x14ac:dyDescent="0.2">
      <c r="B19" t="s">
        <v>58</v>
      </c>
      <c r="C19" s="12">
        <v>61</v>
      </c>
      <c r="D19" s="8">
        <v>4.91</v>
      </c>
      <c r="E19" s="12">
        <v>41</v>
      </c>
      <c r="F19" s="8">
        <v>5.09</v>
      </c>
      <c r="G19" s="12">
        <v>17</v>
      </c>
      <c r="H19" s="8">
        <v>3.97</v>
      </c>
      <c r="I19" s="12">
        <v>2</v>
      </c>
    </row>
    <row r="20" spans="2:9" ht="15" customHeight="1" x14ac:dyDescent="0.2">
      <c r="B20" s="9" t="s">
        <v>241</v>
      </c>
      <c r="C20" s="12">
        <f>SUM(LTBL_46210[総数／事業所数])</f>
        <v>1243</v>
      </c>
      <c r="E20" s="12">
        <f>SUBTOTAL(109,LTBL_46210[個人／事業所数])</f>
        <v>805</v>
      </c>
      <c r="G20" s="12">
        <f>SUBTOTAL(109,LTBL_46210[法人／事業所数])</f>
        <v>428</v>
      </c>
      <c r="I20" s="12">
        <f>SUBTOTAL(109,LTBL_46210[法人以外の団体／事業所数])</f>
        <v>6</v>
      </c>
    </row>
    <row r="21" spans="2:9" ht="15" customHeight="1" x14ac:dyDescent="0.2">
      <c r="E21" s="11">
        <f>LTBL_46210[[#Totals],[個人／事業所数]]/LTBL_46210[[#Totals],[総数／事業所数]]</f>
        <v>0.64762670957361224</v>
      </c>
      <c r="G21" s="11">
        <f>LTBL_46210[[#Totals],[法人／事業所数]]/LTBL_46210[[#Totals],[総数／事業所数]]</f>
        <v>0.34432823813354785</v>
      </c>
      <c r="I21" s="11">
        <f>LTBL_46210[[#Totals],[法人以外の団体／事業所数]]/LTBL_46210[[#Totals],[総数／事業所数]]</f>
        <v>4.8270313757039418E-3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141</v>
      </c>
      <c r="D24" s="8">
        <v>11.34</v>
      </c>
      <c r="E24" s="12">
        <v>129</v>
      </c>
      <c r="F24" s="8">
        <v>16.02</v>
      </c>
      <c r="G24" s="12">
        <v>11</v>
      </c>
      <c r="H24" s="8">
        <v>2.57</v>
      </c>
      <c r="I24" s="12">
        <v>1</v>
      </c>
    </row>
    <row r="25" spans="2:9" ht="15" customHeight="1" x14ac:dyDescent="0.2">
      <c r="B25" t="s">
        <v>81</v>
      </c>
      <c r="C25" s="12">
        <v>132</v>
      </c>
      <c r="D25" s="8">
        <v>10.62</v>
      </c>
      <c r="E25" s="12">
        <v>121</v>
      </c>
      <c r="F25" s="8">
        <v>15.03</v>
      </c>
      <c r="G25" s="12">
        <v>11</v>
      </c>
      <c r="H25" s="8">
        <v>2.57</v>
      </c>
      <c r="I25" s="12">
        <v>0</v>
      </c>
    </row>
    <row r="26" spans="2:9" ht="15" customHeight="1" x14ac:dyDescent="0.2">
      <c r="B26" t="s">
        <v>75</v>
      </c>
      <c r="C26" s="12">
        <v>120</v>
      </c>
      <c r="D26" s="8">
        <v>9.65</v>
      </c>
      <c r="E26" s="12">
        <v>63</v>
      </c>
      <c r="F26" s="8">
        <v>7.83</v>
      </c>
      <c r="G26" s="12">
        <v>57</v>
      </c>
      <c r="H26" s="8">
        <v>13.32</v>
      </c>
      <c r="I26" s="12">
        <v>0</v>
      </c>
    </row>
    <row r="27" spans="2:9" ht="15" customHeight="1" x14ac:dyDescent="0.2">
      <c r="B27" t="s">
        <v>73</v>
      </c>
      <c r="C27" s="12">
        <v>113</v>
      </c>
      <c r="D27" s="8">
        <v>9.09</v>
      </c>
      <c r="E27" s="12">
        <v>83</v>
      </c>
      <c r="F27" s="8">
        <v>10.31</v>
      </c>
      <c r="G27" s="12">
        <v>29</v>
      </c>
      <c r="H27" s="8">
        <v>6.78</v>
      </c>
      <c r="I27" s="12">
        <v>1</v>
      </c>
    </row>
    <row r="28" spans="2:9" ht="15" customHeight="1" x14ac:dyDescent="0.2">
      <c r="B28" t="s">
        <v>67</v>
      </c>
      <c r="C28" s="12">
        <v>63</v>
      </c>
      <c r="D28" s="8">
        <v>5.07</v>
      </c>
      <c r="E28" s="12">
        <v>21</v>
      </c>
      <c r="F28" s="8">
        <v>2.61</v>
      </c>
      <c r="G28" s="12">
        <v>42</v>
      </c>
      <c r="H28" s="8">
        <v>9.81</v>
      </c>
      <c r="I28" s="12">
        <v>0</v>
      </c>
    </row>
    <row r="29" spans="2:9" ht="15" customHeight="1" x14ac:dyDescent="0.2">
      <c r="B29" t="s">
        <v>68</v>
      </c>
      <c r="C29" s="12">
        <v>55</v>
      </c>
      <c r="D29" s="8">
        <v>4.42</v>
      </c>
      <c r="E29" s="12">
        <v>39</v>
      </c>
      <c r="F29" s="8">
        <v>4.84</v>
      </c>
      <c r="G29" s="12">
        <v>16</v>
      </c>
      <c r="H29" s="8">
        <v>3.74</v>
      </c>
      <c r="I29" s="12">
        <v>0</v>
      </c>
    </row>
    <row r="30" spans="2:9" ht="15" customHeight="1" x14ac:dyDescent="0.2">
      <c r="B30" t="s">
        <v>74</v>
      </c>
      <c r="C30" s="12">
        <v>52</v>
      </c>
      <c r="D30" s="8">
        <v>4.18</v>
      </c>
      <c r="E30" s="12">
        <v>38</v>
      </c>
      <c r="F30" s="8">
        <v>4.72</v>
      </c>
      <c r="G30" s="12">
        <v>14</v>
      </c>
      <c r="H30" s="8">
        <v>3.27</v>
      </c>
      <c r="I30" s="12">
        <v>0</v>
      </c>
    </row>
    <row r="31" spans="2:9" ht="15" customHeight="1" x14ac:dyDescent="0.2">
      <c r="B31" t="s">
        <v>83</v>
      </c>
      <c r="C31" s="12">
        <v>42</v>
      </c>
      <c r="D31" s="8">
        <v>3.38</v>
      </c>
      <c r="E31" s="12">
        <v>37</v>
      </c>
      <c r="F31" s="8">
        <v>4.5999999999999996</v>
      </c>
      <c r="G31" s="12">
        <v>4</v>
      </c>
      <c r="H31" s="8">
        <v>0.93</v>
      </c>
      <c r="I31" s="12">
        <v>1</v>
      </c>
    </row>
    <row r="32" spans="2:9" ht="15" customHeight="1" x14ac:dyDescent="0.2">
      <c r="B32" t="s">
        <v>84</v>
      </c>
      <c r="C32" s="12">
        <v>40</v>
      </c>
      <c r="D32" s="8">
        <v>3.22</v>
      </c>
      <c r="E32" s="12">
        <v>37</v>
      </c>
      <c r="F32" s="8">
        <v>4.5999999999999996</v>
      </c>
      <c r="G32" s="12">
        <v>3</v>
      </c>
      <c r="H32" s="8">
        <v>0.7</v>
      </c>
      <c r="I32" s="12">
        <v>0</v>
      </c>
    </row>
    <row r="33" spans="2:9" ht="15" customHeight="1" x14ac:dyDescent="0.2">
      <c r="B33" t="s">
        <v>69</v>
      </c>
      <c r="C33" s="12">
        <v>36</v>
      </c>
      <c r="D33" s="8">
        <v>2.9</v>
      </c>
      <c r="E33" s="12">
        <v>14</v>
      </c>
      <c r="F33" s="8">
        <v>1.74</v>
      </c>
      <c r="G33" s="12">
        <v>22</v>
      </c>
      <c r="H33" s="8">
        <v>5.14</v>
      </c>
      <c r="I33" s="12">
        <v>0</v>
      </c>
    </row>
    <row r="34" spans="2:9" ht="15" customHeight="1" x14ac:dyDescent="0.2">
      <c r="B34" t="s">
        <v>70</v>
      </c>
      <c r="C34" s="12">
        <v>36</v>
      </c>
      <c r="D34" s="8">
        <v>2.9</v>
      </c>
      <c r="E34" s="12">
        <v>10</v>
      </c>
      <c r="F34" s="8">
        <v>1.24</v>
      </c>
      <c r="G34" s="12">
        <v>26</v>
      </c>
      <c r="H34" s="8">
        <v>6.07</v>
      </c>
      <c r="I34" s="12">
        <v>0</v>
      </c>
    </row>
    <row r="35" spans="2:9" ht="15" customHeight="1" x14ac:dyDescent="0.2">
      <c r="B35" t="s">
        <v>80</v>
      </c>
      <c r="C35" s="12">
        <v>29</v>
      </c>
      <c r="D35" s="8">
        <v>2.33</v>
      </c>
      <c r="E35" s="12">
        <v>19</v>
      </c>
      <c r="F35" s="8">
        <v>2.36</v>
      </c>
      <c r="G35" s="12">
        <v>10</v>
      </c>
      <c r="H35" s="8">
        <v>2.34</v>
      </c>
      <c r="I35" s="12">
        <v>0</v>
      </c>
    </row>
    <row r="36" spans="2:9" ht="15" customHeight="1" x14ac:dyDescent="0.2">
      <c r="B36" t="s">
        <v>79</v>
      </c>
      <c r="C36" s="12">
        <v>28</v>
      </c>
      <c r="D36" s="8">
        <v>2.25</v>
      </c>
      <c r="E36" s="12">
        <v>14</v>
      </c>
      <c r="F36" s="8">
        <v>1.74</v>
      </c>
      <c r="G36" s="12">
        <v>13</v>
      </c>
      <c r="H36" s="8">
        <v>3.04</v>
      </c>
      <c r="I36" s="12">
        <v>0</v>
      </c>
    </row>
    <row r="37" spans="2:9" ht="15" customHeight="1" x14ac:dyDescent="0.2">
      <c r="B37" t="s">
        <v>86</v>
      </c>
      <c r="C37" s="12">
        <v>28</v>
      </c>
      <c r="D37" s="8">
        <v>2.25</v>
      </c>
      <c r="E37" s="12">
        <v>27</v>
      </c>
      <c r="F37" s="8">
        <v>3.35</v>
      </c>
      <c r="G37" s="12">
        <v>1</v>
      </c>
      <c r="H37" s="8">
        <v>0.23</v>
      </c>
      <c r="I37" s="12">
        <v>0</v>
      </c>
    </row>
    <row r="38" spans="2:9" ht="15" customHeight="1" x14ac:dyDescent="0.2">
      <c r="B38" t="s">
        <v>71</v>
      </c>
      <c r="C38" s="12">
        <v>26</v>
      </c>
      <c r="D38" s="8">
        <v>2.09</v>
      </c>
      <c r="E38" s="12">
        <v>11</v>
      </c>
      <c r="F38" s="8">
        <v>1.37</v>
      </c>
      <c r="G38" s="12">
        <v>15</v>
      </c>
      <c r="H38" s="8">
        <v>3.5</v>
      </c>
      <c r="I38" s="12">
        <v>0</v>
      </c>
    </row>
    <row r="39" spans="2:9" ht="15" customHeight="1" x14ac:dyDescent="0.2">
      <c r="B39" t="s">
        <v>72</v>
      </c>
      <c r="C39" s="12">
        <v>25</v>
      </c>
      <c r="D39" s="8">
        <v>2.0099999999999998</v>
      </c>
      <c r="E39" s="12">
        <v>10</v>
      </c>
      <c r="F39" s="8">
        <v>1.24</v>
      </c>
      <c r="G39" s="12">
        <v>15</v>
      </c>
      <c r="H39" s="8">
        <v>3.5</v>
      </c>
      <c r="I39" s="12">
        <v>0</v>
      </c>
    </row>
    <row r="40" spans="2:9" ht="15" customHeight="1" x14ac:dyDescent="0.2">
      <c r="B40" t="s">
        <v>77</v>
      </c>
      <c r="C40" s="12">
        <v>24</v>
      </c>
      <c r="D40" s="8">
        <v>1.93</v>
      </c>
      <c r="E40" s="12">
        <v>11</v>
      </c>
      <c r="F40" s="8">
        <v>1.37</v>
      </c>
      <c r="G40" s="12">
        <v>13</v>
      </c>
      <c r="H40" s="8">
        <v>3.04</v>
      </c>
      <c r="I40" s="12">
        <v>0</v>
      </c>
    </row>
    <row r="41" spans="2:9" ht="15" customHeight="1" x14ac:dyDescent="0.2">
      <c r="B41" t="s">
        <v>78</v>
      </c>
      <c r="C41" s="12">
        <v>19</v>
      </c>
      <c r="D41" s="8">
        <v>1.53</v>
      </c>
      <c r="E41" s="12">
        <v>17</v>
      </c>
      <c r="F41" s="8">
        <v>2.11</v>
      </c>
      <c r="G41" s="12">
        <v>2</v>
      </c>
      <c r="H41" s="8">
        <v>0.47</v>
      </c>
      <c r="I41" s="12">
        <v>0</v>
      </c>
    </row>
    <row r="42" spans="2:9" ht="15" customHeight="1" x14ac:dyDescent="0.2">
      <c r="B42" t="s">
        <v>95</v>
      </c>
      <c r="C42" s="12">
        <v>18</v>
      </c>
      <c r="D42" s="8">
        <v>1.45</v>
      </c>
      <c r="E42" s="12">
        <v>9</v>
      </c>
      <c r="F42" s="8">
        <v>1.1200000000000001</v>
      </c>
      <c r="G42" s="12">
        <v>9</v>
      </c>
      <c r="H42" s="8">
        <v>2.1</v>
      </c>
      <c r="I42" s="12">
        <v>0</v>
      </c>
    </row>
    <row r="43" spans="2:9" ht="15" customHeight="1" x14ac:dyDescent="0.2">
      <c r="B43" t="s">
        <v>94</v>
      </c>
      <c r="C43" s="12">
        <v>14</v>
      </c>
      <c r="D43" s="8">
        <v>1.1299999999999999</v>
      </c>
      <c r="E43" s="12">
        <v>5</v>
      </c>
      <c r="F43" s="8">
        <v>0.62</v>
      </c>
      <c r="G43" s="12">
        <v>8</v>
      </c>
      <c r="H43" s="8">
        <v>1.87</v>
      </c>
      <c r="I43" s="12">
        <v>1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69</v>
      </c>
      <c r="D47" s="8">
        <v>5.55</v>
      </c>
      <c r="E47" s="12">
        <v>65</v>
      </c>
      <c r="F47" s="8">
        <v>8.07</v>
      </c>
      <c r="G47" s="12">
        <v>4</v>
      </c>
      <c r="H47" s="8">
        <v>0.93</v>
      </c>
      <c r="I47" s="12">
        <v>0</v>
      </c>
    </row>
    <row r="48" spans="2:9" ht="15" customHeight="1" x14ac:dyDescent="0.2">
      <c r="B48" t="s">
        <v>129</v>
      </c>
      <c r="C48" s="12">
        <v>50</v>
      </c>
      <c r="D48" s="8">
        <v>4.0199999999999996</v>
      </c>
      <c r="E48" s="12">
        <v>33</v>
      </c>
      <c r="F48" s="8">
        <v>4.0999999999999996</v>
      </c>
      <c r="G48" s="12">
        <v>17</v>
      </c>
      <c r="H48" s="8">
        <v>3.97</v>
      </c>
      <c r="I48" s="12">
        <v>0</v>
      </c>
    </row>
    <row r="49" spans="2:9" ht="15" customHeight="1" x14ac:dyDescent="0.2">
      <c r="B49" t="s">
        <v>137</v>
      </c>
      <c r="C49" s="12">
        <v>43</v>
      </c>
      <c r="D49" s="8">
        <v>3.46</v>
      </c>
      <c r="E49" s="12">
        <v>38</v>
      </c>
      <c r="F49" s="8">
        <v>4.72</v>
      </c>
      <c r="G49" s="12">
        <v>5</v>
      </c>
      <c r="H49" s="8">
        <v>1.17</v>
      </c>
      <c r="I49" s="12">
        <v>0</v>
      </c>
    </row>
    <row r="50" spans="2:9" ht="15" customHeight="1" x14ac:dyDescent="0.2">
      <c r="B50" t="s">
        <v>139</v>
      </c>
      <c r="C50" s="12">
        <v>39</v>
      </c>
      <c r="D50" s="8">
        <v>3.14</v>
      </c>
      <c r="E50" s="12">
        <v>39</v>
      </c>
      <c r="F50" s="8">
        <v>4.84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34</v>
      </c>
      <c r="D51" s="8">
        <v>2.74</v>
      </c>
      <c r="E51" s="12">
        <v>25</v>
      </c>
      <c r="F51" s="8">
        <v>3.11</v>
      </c>
      <c r="G51" s="12">
        <v>9</v>
      </c>
      <c r="H51" s="8">
        <v>2.1</v>
      </c>
      <c r="I51" s="12">
        <v>0</v>
      </c>
    </row>
    <row r="52" spans="2:9" ht="15" customHeight="1" x14ac:dyDescent="0.2">
      <c r="B52" t="s">
        <v>138</v>
      </c>
      <c r="C52" s="12">
        <v>33</v>
      </c>
      <c r="D52" s="8">
        <v>2.65</v>
      </c>
      <c r="E52" s="12">
        <v>32</v>
      </c>
      <c r="F52" s="8">
        <v>3.98</v>
      </c>
      <c r="G52" s="12">
        <v>1</v>
      </c>
      <c r="H52" s="8">
        <v>0.23</v>
      </c>
      <c r="I52" s="12">
        <v>0</v>
      </c>
    </row>
    <row r="53" spans="2:9" ht="15" customHeight="1" x14ac:dyDescent="0.2">
      <c r="B53" t="s">
        <v>142</v>
      </c>
      <c r="C53" s="12">
        <v>32</v>
      </c>
      <c r="D53" s="8">
        <v>2.57</v>
      </c>
      <c r="E53" s="12">
        <v>30</v>
      </c>
      <c r="F53" s="8">
        <v>3.73</v>
      </c>
      <c r="G53" s="12">
        <v>2</v>
      </c>
      <c r="H53" s="8">
        <v>0.47</v>
      </c>
      <c r="I53" s="12">
        <v>0</v>
      </c>
    </row>
    <row r="54" spans="2:9" ht="15" customHeight="1" x14ac:dyDescent="0.2">
      <c r="B54" t="s">
        <v>132</v>
      </c>
      <c r="C54" s="12">
        <v>29</v>
      </c>
      <c r="D54" s="8">
        <v>2.33</v>
      </c>
      <c r="E54" s="12">
        <v>8</v>
      </c>
      <c r="F54" s="8">
        <v>0.99</v>
      </c>
      <c r="G54" s="12">
        <v>21</v>
      </c>
      <c r="H54" s="8">
        <v>4.91</v>
      </c>
      <c r="I54" s="12">
        <v>0</v>
      </c>
    </row>
    <row r="55" spans="2:9" ht="15" customHeight="1" x14ac:dyDescent="0.2">
      <c r="B55" t="s">
        <v>141</v>
      </c>
      <c r="C55" s="12">
        <v>28</v>
      </c>
      <c r="D55" s="8">
        <v>2.25</v>
      </c>
      <c r="E55" s="12">
        <v>25</v>
      </c>
      <c r="F55" s="8">
        <v>3.11</v>
      </c>
      <c r="G55" s="12">
        <v>3</v>
      </c>
      <c r="H55" s="8">
        <v>0.7</v>
      </c>
      <c r="I55" s="12">
        <v>0</v>
      </c>
    </row>
    <row r="56" spans="2:9" ht="15" customHeight="1" x14ac:dyDescent="0.2">
      <c r="B56" t="s">
        <v>143</v>
      </c>
      <c r="C56" s="12">
        <v>28</v>
      </c>
      <c r="D56" s="8">
        <v>2.25</v>
      </c>
      <c r="E56" s="12">
        <v>27</v>
      </c>
      <c r="F56" s="8">
        <v>3.35</v>
      </c>
      <c r="G56" s="12">
        <v>1</v>
      </c>
      <c r="H56" s="8">
        <v>0.23</v>
      </c>
      <c r="I56" s="12">
        <v>0</v>
      </c>
    </row>
    <row r="57" spans="2:9" ht="15" customHeight="1" x14ac:dyDescent="0.2">
      <c r="B57" t="s">
        <v>136</v>
      </c>
      <c r="C57" s="12">
        <v>26</v>
      </c>
      <c r="D57" s="8">
        <v>2.09</v>
      </c>
      <c r="E57" s="12">
        <v>23</v>
      </c>
      <c r="F57" s="8">
        <v>2.86</v>
      </c>
      <c r="G57" s="12">
        <v>3</v>
      </c>
      <c r="H57" s="8">
        <v>0.7</v>
      </c>
      <c r="I57" s="12">
        <v>0</v>
      </c>
    </row>
    <row r="58" spans="2:9" ht="15" customHeight="1" x14ac:dyDescent="0.2">
      <c r="B58" t="s">
        <v>126</v>
      </c>
      <c r="C58" s="12">
        <v>25</v>
      </c>
      <c r="D58" s="8">
        <v>2.0099999999999998</v>
      </c>
      <c r="E58" s="12">
        <v>12</v>
      </c>
      <c r="F58" s="8">
        <v>1.49</v>
      </c>
      <c r="G58" s="12">
        <v>13</v>
      </c>
      <c r="H58" s="8">
        <v>3.04</v>
      </c>
      <c r="I58" s="12">
        <v>0</v>
      </c>
    </row>
    <row r="59" spans="2:9" ht="15" customHeight="1" x14ac:dyDescent="0.2">
      <c r="B59" t="s">
        <v>133</v>
      </c>
      <c r="C59" s="12">
        <v>25</v>
      </c>
      <c r="D59" s="8">
        <v>2.0099999999999998</v>
      </c>
      <c r="E59" s="12">
        <v>15</v>
      </c>
      <c r="F59" s="8">
        <v>1.86</v>
      </c>
      <c r="G59" s="12">
        <v>10</v>
      </c>
      <c r="H59" s="8">
        <v>2.34</v>
      </c>
      <c r="I59" s="12">
        <v>0</v>
      </c>
    </row>
    <row r="60" spans="2:9" ht="15" customHeight="1" x14ac:dyDescent="0.2">
      <c r="B60" t="s">
        <v>128</v>
      </c>
      <c r="C60" s="12">
        <v>22</v>
      </c>
      <c r="D60" s="8">
        <v>1.77</v>
      </c>
      <c r="E60" s="12">
        <v>14</v>
      </c>
      <c r="F60" s="8">
        <v>1.74</v>
      </c>
      <c r="G60" s="12">
        <v>7</v>
      </c>
      <c r="H60" s="8">
        <v>1.64</v>
      </c>
      <c r="I60" s="12">
        <v>1</v>
      </c>
    </row>
    <row r="61" spans="2:9" ht="15" customHeight="1" x14ac:dyDescent="0.2">
      <c r="B61" t="s">
        <v>127</v>
      </c>
      <c r="C61" s="12">
        <v>20</v>
      </c>
      <c r="D61" s="8">
        <v>1.61</v>
      </c>
      <c r="E61" s="12">
        <v>16</v>
      </c>
      <c r="F61" s="8">
        <v>1.99</v>
      </c>
      <c r="G61" s="12">
        <v>4</v>
      </c>
      <c r="H61" s="8">
        <v>0.93</v>
      </c>
      <c r="I61" s="12">
        <v>0</v>
      </c>
    </row>
    <row r="62" spans="2:9" ht="15" customHeight="1" x14ac:dyDescent="0.2">
      <c r="B62" t="s">
        <v>158</v>
      </c>
      <c r="C62" s="12">
        <v>20</v>
      </c>
      <c r="D62" s="8">
        <v>1.61</v>
      </c>
      <c r="E62" s="12">
        <v>15</v>
      </c>
      <c r="F62" s="8">
        <v>1.86</v>
      </c>
      <c r="G62" s="12">
        <v>5</v>
      </c>
      <c r="H62" s="8">
        <v>1.17</v>
      </c>
      <c r="I62" s="12">
        <v>0</v>
      </c>
    </row>
    <row r="63" spans="2:9" ht="15" customHeight="1" x14ac:dyDescent="0.2">
      <c r="B63" t="s">
        <v>124</v>
      </c>
      <c r="C63" s="12">
        <v>19</v>
      </c>
      <c r="D63" s="8">
        <v>1.53</v>
      </c>
      <c r="E63" s="12">
        <v>4</v>
      </c>
      <c r="F63" s="8">
        <v>0.5</v>
      </c>
      <c r="G63" s="12">
        <v>15</v>
      </c>
      <c r="H63" s="8">
        <v>3.5</v>
      </c>
      <c r="I63" s="12">
        <v>0</v>
      </c>
    </row>
    <row r="64" spans="2:9" ht="15" customHeight="1" x14ac:dyDescent="0.2">
      <c r="B64" t="s">
        <v>125</v>
      </c>
      <c r="C64" s="12">
        <v>19</v>
      </c>
      <c r="D64" s="8">
        <v>1.53</v>
      </c>
      <c r="E64" s="12">
        <v>4</v>
      </c>
      <c r="F64" s="8">
        <v>0.5</v>
      </c>
      <c r="G64" s="12">
        <v>15</v>
      </c>
      <c r="H64" s="8">
        <v>3.5</v>
      </c>
      <c r="I64" s="12">
        <v>0</v>
      </c>
    </row>
    <row r="65" spans="2:9" ht="15" customHeight="1" x14ac:dyDescent="0.2">
      <c r="B65" t="s">
        <v>134</v>
      </c>
      <c r="C65" s="12">
        <v>19</v>
      </c>
      <c r="D65" s="8">
        <v>1.53</v>
      </c>
      <c r="E65" s="12">
        <v>11</v>
      </c>
      <c r="F65" s="8">
        <v>1.37</v>
      </c>
      <c r="G65" s="12">
        <v>8</v>
      </c>
      <c r="H65" s="8">
        <v>1.87</v>
      </c>
      <c r="I65" s="12">
        <v>0</v>
      </c>
    </row>
    <row r="66" spans="2:9" ht="15" customHeight="1" x14ac:dyDescent="0.2">
      <c r="B66" t="s">
        <v>154</v>
      </c>
      <c r="C66" s="12">
        <v>18</v>
      </c>
      <c r="D66" s="8">
        <v>1.45</v>
      </c>
      <c r="E66" s="12">
        <v>8</v>
      </c>
      <c r="F66" s="8">
        <v>0.99</v>
      </c>
      <c r="G66" s="12">
        <v>10</v>
      </c>
      <c r="H66" s="8">
        <v>2.34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BA21-A432-4855-A4AA-47B4AE94D5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49</v>
      </c>
      <c r="D6" s="8">
        <v>9.39</v>
      </c>
      <c r="E6" s="12">
        <v>15</v>
      </c>
      <c r="F6" s="8">
        <v>4.5199999999999996</v>
      </c>
      <c r="G6" s="12">
        <v>34</v>
      </c>
      <c r="H6" s="8">
        <v>18.48</v>
      </c>
      <c r="I6" s="12">
        <v>0</v>
      </c>
    </row>
    <row r="7" spans="2:9" ht="15" customHeight="1" x14ac:dyDescent="0.2">
      <c r="B7" t="s">
        <v>46</v>
      </c>
      <c r="C7" s="12">
        <v>40</v>
      </c>
      <c r="D7" s="8">
        <v>7.66</v>
      </c>
      <c r="E7" s="12">
        <v>24</v>
      </c>
      <c r="F7" s="8">
        <v>7.23</v>
      </c>
      <c r="G7" s="12">
        <v>16</v>
      </c>
      <c r="H7" s="8">
        <v>8.6999999999999993</v>
      </c>
      <c r="I7" s="12">
        <v>0</v>
      </c>
    </row>
    <row r="8" spans="2:9" ht="15" customHeight="1" x14ac:dyDescent="0.2">
      <c r="B8" t="s">
        <v>47</v>
      </c>
      <c r="C8" s="12">
        <v>2</v>
      </c>
      <c r="D8" s="8">
        <v>0.38</v>
      </c>
      <c r="E8" s="12">
        <v>0</v>
      </c>
      <c r="F8" s="8">
        <v>0</v>
      </c>
      <c r="G8" s="12">
        <v>1</v>
      </c>
      <c r="H8" s="8">
        <v>0.54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0.38</v>
      </c>
      <c r="E9" s="12">
        <v>0</v>
      </c>
      <c r="F9" s="8">
        <v>0</v>
      </c>
      <c r="G9" s="12">
        <v>1</v>
      </c>
      <c r="H9" s="8">
        <v>0.54</v>
      </c>
      <c r="I9" s="12">
        <v>1</v>
      </c>
    </row>
    <row r="10" spans="2:9" ht="15" customHeight="1" x14ac:dyDescent="0.2">
      <c r="B10" t="s">
        <v>49</v>
      </c>
      <c r="C10" s="12">
        <v>3</v>
      </c>
      <c r="D10" s="8">
        <v>0.56999999999999995</v>
      </c>
      <c r="E10" s="12">
        <v>1</v>
      </c>
      <c r="F10" s="8">
        <v>0.3</v>
      </c>
      <c r="G10" s="12">
        <v>2</v>
      </c>
      <c r="H10" s="8">
        <v>1.0900000000000001</v>
      </c>
      <c r="I10" s="12">
        <v>0</v>
      </c>
    </row>
    <row r="11" spans="2:9" ht="15" customHeight="1" x14ac:dyDescent="0.2">
      <c r="B11" t="s">
        <v>50</v>
      </c>
      <c r="C11" s="12">
        <v>160</v>
      </c>
      <c r="D11" s="8">
        <v>30.65</v>
      </c>
      <c r="E11" s="12">
        <v>94</v>
      </c>
      <c r="F11" s="8">
        <v>28.31</v>
      </c>
      <c r="G11" s="12">
        <v>66</v>
      </c>
      <c r="H11" s="8">
        <v>35.869999999999997</v>
      </c>
      <c r="I11" s="12">
        <v>0</v>
      </c>
    </row>
    <row r="12" spans="2:9" ht="15" customHeight="1" x14ac:dyDescent="0.2">
      <c r="B12" t="s">
        <v>51</v>
      </c>
      <c r="C12" s="12">
        <v>3</v>
      </c>
      <c r="D12" s="8">
        <v>0.56999999999999995</v>
      </c>
      <c r="E12" s="12">
        <v>1</v>
      </c>
      <c r="F12" s="8">
        <v>0.3</v>
      </c>
      <c r="G12" s="12">
        <v>2</v>
      </c>
      <c r="H12" s="8">
        <v>1.0900000000000001</v>
      </c>
      <c r="I12" s="12">
        <v>0</v>
      </c>
    </row>
    <row r="13" spans="2:9" ht="15" customHeight="1" x14ac:dyDescent="0.2">
      <c r="B13" t="s">
        <v>52</v>
      </c>
      <c r="C13" s="12">
        <v>22</v>
      </c>
      <c r="D13" s="8">
        <v>4.21</v>
      </c>
      <c r="E13" s="12">
        <v>10</v>
      </c>
      <c r="F13" s="8">
        <v>3.01</v>
      </c>
      <c r="G13" s="12">
        <v>12</v>
      </c>
      <c r="H13" s="8">
        <v>6.52</v>
      </c>
      <c r="I13" s="12">
        <v>0</v>
      </c>
    </row>
    <row r="14" spans="2:9" ht="15" customHeight="1" x14ac:dyDescent="0.2">
      <c r="B14" t="s">
        <v>53</v>
      </c>
      <c r="C14" s="12">
        <v>25</v>
      </c>
      <c r="D14" s="8">
        <v>4.79</v>
      </c>
      <c r="E14" s="12">
        <v>12</v>
      </c>
      <c r="F14" s="8">
        <v>3.61</v>
      </c>
      <c r="G14" s="12">
        <v>13</v>
      </c>
      <c r="H14" s="8">
        <v>7.07</v>
      </c>
      <c r="I14" s="12">
        <v>0</v>
      </c>
    </row>
    <row r="15" spans="2:9" ht="15" customHeight="1" x14ac:dyDescent="0.2">
      <c r="B15" t="s">
        <v>54</v>
      </c>
      <c r="C15" s="12">
        <v>91</v>
      </c>
      <c r="D15" s="8">
        <v>17.43</v>
      </c>
      <c r="E15" s="12">
        <v>81</v>
      </c>
      <c r="F15" s="8">
        <v>24.4</v>
      </c>
      <c r="G15" s="12">
        <v>10</v>
      </c>
      <c r="H15" s="8">
        <v>5.43</v>
      </c>
      <c r="I15" s="12">
        <v>0</v>
      </c>
    </row>
    <row r="16" spans="2:9" ht="15" customHeight="1" x14ac:dyDescent="0.2">
      <c r="B16" t="s">
        <v>55</v>
      </c>
      <c r="C16" s="12">
        <v>67</v>
      </c>
      <c r="D16" s="8">
        <v>12.84</v>
      </c>
      <c r="E16" s="12">
        <v>62</v>
      </c>
      <c r="F16" s="8">
        <v>18.670000000000002</v>
      </c>
      <c r="G16" s="12">
        <v>5</v>
      </c>
      <c r="H16" s="8">
        <v>2.72</v>
      </c>
      <c r="I16" s="12">
        <v>0</v>
      </c>
    </row>
    <row r="17" spans="2:9" ht="15" customHeight="1" x14ac:dyDescent="0.2">
      <c r="B17" t="s">
        <v>56</v>
      </c>
      <c r="C17" s="12">
        <v>9</v>
      </c>
      <c r="D17" s="8">
        <v>1.72</v>
      </c>
      <c r="E17" s="12">
        <v>6</v>
      </c>
      <c r="F17" s="8">
        <v>1.81</v>
      </c>
      <c r="G17" s="12">
        <v>3</v>
      </c>
      <c r="H17" s="8">
        <v>1.63</v>
      </c>
      <c r="I17" s="12">
        <v>0</v>
      </c>
    </row>
    <row r="18" spans="2:9" ht="15" customHeight="1" x14ac:dyDescent="0.2">
      <c r="B18" t="s">
        <v>57</v>
      </c>
      <c r="C18" s="12">
        <v>26</v>
      </c>
      <c r="D18" s="8">
        <v>4.9800000000000004</v>
      </c>
      <c r="E18" s="12">
        <v>12</v>
      </c>
      <c r="F18" s="8">
        <v>3.61</v>
      </c>
      <c r="G18" s="12">
        <v>13</v>
      </c>
      <c r="H18" s="8">
        <v>7.07</v>
      </c>
      <c r="I18" s="12">
        <v>0</v>
      </c>
    </row>
    <row r="19" spans="2:9" ht="15" customHeight="1" x14ac:dyDescent="0.2">
      <c r="B19" t="s">
        <v>58</v>
      </c>
      <c r="C19" s="12">
        <v>23</v>
      </c>
      <c r="D19" s="8">
        <v>4.41</v>
      </c>
      <c r="E19" s="12">
        <v>14</v>
      </c>
      <c r="F19" s="8">
        <v>4.22</v>
      </c>
      <c r="G19" s="12">
        <v>6</v>
      </c>
      <c r="H19" s="8">
        <v>3.26</v>
      </c>
      <c r="I19" s="12">
        <v>1</v>
      </c>
    </row>
    <row r="20" spans="2:9" ht="15" customHeight="1" x14ac:dyDescent="0.2">
      <c r="B20" s="9" t="s">
        <v>241</v>
      </c>
      <c r="C20" s="12">
        <f>SUM(LTBL_46213[総数／事業所数])</f>
        <v>522</v>
      </c>
      <c r="E20" s="12">
        <f>SUBTOTAL(109,LTBL_46213[個人／事業所数])</f>
        <v>332</v>
      </c>
      <c r="G20" s="12">
        <f>SUBTOTAL(109,LTBL_46213[法人／事業所数])</f>
        <v>184</v>
      </c>
      <c r="I20" s="12">
        <f>SUBTOTAL(109,LTBL_46213[法人以外の団体／事業所数])</f>
        <v>2</v>
      </c>
    </row>
    <row r="21" spans="2:9" ht="15" customHeight="1" x14ac:dyDescent="0.2">
      <c r="E21" s="11">
        <f>LTBL_46213[[#Totals],[個人／事業所数]]/LTBL_46213[[#Totals],[総数／事業所数]]</f>
        <v>0.63601532567049812</v>
      </c>
      <c r="G21" s="11">
        <f>LTBL_46213[[#Totals],[法人／事業所数]]/LTBL_46213[[#Totals],[総数／事業所数]]</f>
        <v>0.35249042145593867</v>
      </c>
      <c r="I21" s="11">
        <f>LTBL_46213[[#Totals],[法人以外の団体／事業所数]]/LTBL_46213[[#Totals],[総数／事業所数]]</f>
        <v>3.8314176245210726E-3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70</v>
      </c>
      <c r="D24" s="8">
        <v>13.41</v>
      </c>
      <c r="E24" s="12">
        <v>65</v>
      </c>
      <c r="F24" s="8">
        <v>19.579999999999998</v>
      </c>
      <c r="G24" s="12">
        <v>5</v>
      </c>
      <c r="H24" s="8">
        <v>2.72</v>
      </c>
      <c r="I24" s="12">
        <v>0</v>
      </c>
    </row>
    <row r="25" spans="2:9" ht="15" customHeight="1" x14ac:dyDescent="0.2">
      <c r="B25" t="s">
        <v>82</v>
      </c>
      <c r="C25" s="12">
        <v>61</v>
      </c>
      <c r="D25" s="8">
        <v>11.69</v>
      </c>
      <c r="E25" s="12">
        <v>60</v>
      </c>
      <c r="F25" s="8">
        <v>18.07</v>
      </c>
      <c r="G25" s="12">
        <v>1</v>
      </c>
      <c r="H25" s="8">
        <v>0.54</v>
      </c>
      <c r="I25" s="12">
        <v>0</v>
      </c>
    </row>
    <row r="26" spans="2:9" ht="15" customHeight="1" x14ac:dyDescent="0.2">
      <c r="B26" t="s">
        <v>75</v>
      </c>
      <c r="C26" s="12">
        <v>51</v>
      </c>
      <c r="D26" s="8">
        <v>9.77</v>
      </c>
      <c r="E26" s="12">
        <v>30</v>
      </c>
      <c r="F26" s="8">
        <v>9.0399999999999991</v>
      </c>
      <c r="G26" s="12">
        <v>21</v>
      </c>
      <c r="H26" s="8">
        <v>11.41</v>
      </c>
      <c r="I26" s="12">
        <v>0</v>
      </c>
    </row>
    <row r="27" spans="2:9" ht="15" customHeight="1" x14ac:dyDescent="0.2">
      <c r="B27" t="s">
        <v>73</v>
      </c>
      <c r="C27" s="12">
        <v>48</v>
      </c>
      <c r="D27" s="8">
        <v>9.1999999999999993</v>
      </c>
      <c r="E27" s="12">
        <v>33</v>
      </c>
      <c r="F27" s="8">
        <v>9.94</v>
      </c>
      <c r="G27" s="12">
        <v>15</v>
      </c>
      <c r="H27" s="8">
        <v>8.15</v>
      </c>
      <c r="I27" s="12">
        <v>0</v>
      </c>
    </row>
    <row r="28" spans="2:9" ht="15" customHeight="1" x14ac:dyDescent="0.2">
      <c r="B28" t="s">
        <v>67</v>
      </c>
      <c r="C28" s="12">
        <v>26</v>
      </c>
      <c r="D28" s="8">
        <v>4.9800000000000004</v>
      </c>
      <c r="E28" s="12">
        <v>4</v>
      </c>
      <c r="F28" s="8">
        <v>1.2</v>
      </c>
      <c r="G28" s="12">
        <v>22</v>
      </c>
      <c r="H28" s="8">
        <v>11.96</v>
      </c>
      <c r="I28" s="12">
        <v>0</v>
      </c>
    </row>
    <row r="29" spans="2:9" ht="15" customHeight="1" x14ac:dyDescent="0.2">
      <c r="B29" t="s">
        <v>74</v>
      </c>
      <c r="C29" s="12">
        <v>24</v>
      </c>
      <c r="D29" s="8">
        <v>4.5999999999999996</v>
      </c>
      <c r="E29" s="12">
        <v>16</v>
      </c>
      <c r="F29" s="8">
        <v>4.82</v>
      </c>
      <c r="G29" s="12">
        <v>8</v>
      </c>
      <c r="H29" s="8">
        <v>4.3499999999999996</v>
      </c>
      <c r="I29" s="12">
        <v>0</v>
      </c>
    </row>
    <row r="30" spans="2:9" ht="15" customHeight="1" x14ac:dyDescent="0.2">
      <c r="B30" t="s">
        <v>80</v>
      </c>
      <c r="C30" s="12">
        <v>20</v>
      </c>
      <c r="D30" s="8">
        <v>3.83</v>
      </c>
      <c r="E30" s="12">
        <v>16</v>
      </c>
      <c r="F30" s="8">
        <v>4.82</v>
      </c>
      <c r="G30" s="12">
        <v>4</v>
      </c>
      <c r="H30" s="8">
        <v>2.17</v>
      </c>
      <c r="I30" s="12">
        <v>0</v>
      </c>
    </row>
    <row r="31" spans="2:9" ht="15" customHeight="1" x14ac:dyDescent="0.2">
      <c r="B31" t="s">
        <v>70</v>
      </c>
      <c r="C31" s="12">
        <v>19</v>
      </c>
      <c r="D31" s="8">
        <v>3.64</v>
      </c>
      <c r="E31" s="12">
        <v>11</v>
      </c>
      <c r="F31" s="8">
        <v>3.31</v>
      </c>
      <c r="G31" s="12">
        <v>8</v>
      </c>
      <c r="H31" s="8">
        <v>4.3499999999999996</v>
      </c>
      <c r="I31" s="12">
        <v>0</v>
      </c>
    </row>
    <row r="32" spans="2:9" ht="15" customHeight="1" x14ac:dyDescent="0.2">
      <c r="B32" t="s">
        <v>79</v>
      </c>
      <c r="C32" s="12">
        <v>15</v>
      </c>
      <c r="D32" s="8">
        <v>2.87</v>
      </c>
      <c r="E32" s="12">
        <v>3</v>
      </c>
      <c r="F32" s="8">
        <v>0.9</v>
      </c>
      <c r="G32" s="12">
        <v>12</v>
      </c>
      <c r="H32" s="8">
        <v>6.52</v>
      </c>
      <c r="I32" s="12">
        <v>0</v>
      </c>
    </row>
    <row r="33" spans="2:9" ht="15" customHeight="1" x14ac:dyDescent="0.2">
      <c r="B33" t="s">
        <v>84</v>
      </c>
      <c r="C33" s="12">
        <v>14</v>
      </c>
      <c r="D33" s="8">
        <v>2.68</v>
      </c>
      <c r="E33" s="12">
        <v>12</v>
      </c>
      <c r="F33" s="8">
        <v>3.61</v>
      </c>
      <c r="G33" s="12">
        <v>2</v>
      </c>
      <c r="H33" s="8">
        <v>1.0900000000000001</v>
      </c>
      <c r="I33" s="12">
        <v>0</v>
      </c>
    </row>
    <row r="34" spans="2:9" ht="15" customHeight="1" x14ac:dyDescent="0.2">
      <c r="B34" t="s">
        <v>69</v>
      </c>
      <c r="C34" s="12">
        <v>12</v>
      </c>
      <c r="D34" s="8">
        <v>2.2999999999999998</v>
      </c>
      <c r="E34" s="12">
        <v>6</v>
      </c>
      <c r="F34" s="8">
        <v>1.81</v>
      </c>
      <c r="G34" s="12">
        <v>6</v>
      </c>
      <c r="H34" s="8">
        <v>3.26</v>
      </c>
      <c r="I34" s="12">
        <v>0</v>
      </c>
    </row>
    <row r="35" spans="2:9" ht="15" customHeight="1" x14ac:dyDescent="0.2">
      <c r="B35" t="s">
        <v>77</v>
      </c>
      <c r="C35" s="12">
        <v>12</v>
      </c>
      <c r="D35" s="8">
        <v>2.2999999999999998</v>
      </c>
      <c r="E35" s="12">
        <v>7</v>
      </c>
      <c r="F35" s="8">
        <v>2.11</v>
      </c>
      <c r="G35" s="12">
        <v>5</v>
      </c>
      <c r="H35" s="8">
        <v>2.72</v>
      </c>
      <c r="I35" s="12">
        <v>0</v>
      </c>
    </row>
    <row r="36" spans="2:9" ht="15" customHeight="1" x14ac:dyDescent="0.2">
      <c r="B36" t="s">
        <v>85</v>
      </c>
      <c r="C36" s="12">
        <v>12</v>
      </c>
      <c r="D36" s="8">
        <v>2.2999999999999998</v>
      </c>
      <c r="E36" s="12">
        <v>0</v>
      </c>
      <c r="F36" s="8">
        <v>0</v>
      </c>
      <c r="G36" s="12">
        <v>11</v>
      </c>
      <c r="H36" s="8">
        <v>5.98</v>
      </c>
      <c r="I36" s="12">
        <v>0</v>
      </c>
    </row>
    <row r="37" spans="2:9" ht="15" customHeight="1" x14ac:dyDescent="0.2">
      <c r="B37" t="s">
        <v>68</v>
      </c>
      <c r="C37" s="12">
        <v>11</v>
      </c>
      <c r="D37" s="8">
        <v>2.11</v>
      </c>
      <c r="E37" s="12">
        <v>5</v>
      </c>
      <c r="F37" s="8">
        <v>1.51</v>
      </c>
      <c r="G37" s="12">
        <v>6</v>
      </c>
      <c r="H37" s="8">
        <v>3.26</v>
      </c>
      <c r="I37" s="12">
        <v>0</v>
      </c>
    </row>
    <row r="38" spans="2:9" ht="15" customHeight="1" x14ac:dyDescent="0.2">
      <c r="B38" t="s">
        <v>86</v>
      </c>
      <c r="C38" s="12">
        <v>11</v>
      </c>
      <c r="D38" s="8">
        <v>2.11</v>
      </c>
      <c r="E38" s="12">
        <v>9</v>
      </c>
      <c r="F38" s="8">
        <v>2.71</v>
      </c>
      <c r="G38" s="12">
        <v>2</v>
      </c>
      <c r="H38" s="8">
        <v>1.0900000000000001</v>
      </c>
      <c r="I38" s="12">
        <v>0</v>
      </c>
    </row>
    <row r="39" spans="2:9" ht="15" customHeight="1" x14ac:dyDescent="0.2">
      <c r="B39" t="s">
        <v>78</v>
      </c>
      <c r="C39" s="12">
        <v>9</v>
      </c>
      <c r="D39" s="8">
        <v>1.72</v>
      </c>
      <c r="E39" s="12">
        <v>8</v>
      </c>
      <c r="F39" s="8">
        <v>2.41</v>
      </c>
      <c r="G39" s="12">
        <v>1</v>
      </c>
      <c r="H39" s="8">
        <v>0.54</v>
      </c>
      <c r="I39" s="12">
        <v>0</v>
      </c>
    </row>
    <row r="40" spans="2:9" ht="15" customHeight="1" x14ac:dyDescent="0.2">
      <c r="B40" t="s">
        <v>83</v>
      </c>
      <c r="C40" s="12">
        <v>9</v>
      </c>
      <c r="D40" s="8">
        <v>1.72</v>
      </c>
      <c r="E40" s="12">
        <v>6</v>
      </c>
      <c r="F40" s="8">
        <v>1.81</v>
      </c>
      <c r="G40" s="12">
        <v>3</v>
      </c>
      <c r="H40" s="8">
        <v>1.63</v>
      </c>
      <c r="I40" s="12">
        <v>0</v>
      </c>
    </row>
    <row r="41" spans="2:9" ht="15" customHeight="1" x14ac:dyDescent="0.2">
      <c r="B41" t="s">
        <v>71</v>
      </c>
      <c r="C41" s="12">
        <v>8</v>
      </c>
      <c r="D41" s="8">
        <v>1.53</v>
      </c>
      <c r="E41" s="12">
        <v>3</v>
      </c>
      <c r="F41" s="8">
        <v>0.9</v>
      </c>
      <c r="G41" s="12">
        <v>5</v>
      </c>
      <c r="H41" s="8">
        <v>2.72</v>
      </c>
      <c r="I41" s="12">
        <v>0</v>
      </c>
    </row>
    <row r="42" spans="2:9" ht="15" customHeight="1" x14ac:dyDescent="0.2">
      <c r="B42" t="s">
        <v>90</v>
      </c>
      <c r="C42" s="12">
        <v>7</v>
      </c>
      <c r="D42" s="8">
        <v>1.34</v>
      </c>
      <c r="E42" s="12">
        <v>4</v>
      </c>
      <c r="F42" s="8">
        <v>1.2</v>
      </c>
      <c r="G42" s="12">
        <v>3</v>
      </c>
      <c r="H42" s="8">
        <v>1.63</v>
      </c>
      <c r="I42" s="12">
        <v>0</v>
      </c>
    </row>
    <row r="43" spans="2:9" ht="15" customHeight="1" x14ac:dyDescent="0.2">
      <c r="B43" t="s">
        <v>87</v>
      </c>
      <c r="C43" s="12">
        <v>7</v>
      </c>
      <c r="D43" s="8">
        <v>1.34</v>
      </c>
      <c r="E43" s="12">
        <v>5</v>
      </c>
      <c r="F43" s="8">
        <v>1.51</v>
      </c>
      <c r="G43" s="12">
        <v>2</v>
      </c>
      <c r="H43" s="8">
        <v>1.0900000000000001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40</v>
      </c>
      <c r="D47" s="8">
        <v>7.66</v>
      </c>
      <c r="E47" s="12">
        <v>40</v>
      </c>
      <c r="F47" s="8">
        <v>12.05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137</v>
      </c>
      <c r="C48" s="12">
        <v>25</v>
      </c>
      <c r="D48" s="8">
        <v>4.79</v>
      </c>
      <c r="E48" s="12">
        <v>22</v>
      </c>
      <c r="F48" s="8">
        <v>6.63</v>
      </c>
      <c r="G48" s="12">
        <v>3</v>
      </c>
      <c r="H48" s="8">
        <v>1.63</v>
      </c>
      <c r="I48" s="12">
        <v>0</v>
      </c>
    </row>
    <row r="49" spans="2:9" ht="15" customHeight="1" x14ac:dyDescent="0.2">
      <c r="B49" t="s">
        <v>138</v>
      </c>
      <c r="C49" s="12">
        <v>21</v>
      </c>
      <c r="D49" s="8">
        <v>4.0199999999999996</v>
      </c>
      <c r="E49" s="12">
        <v>21</v>
      </c>
      <c r="F49" s="8">
        <v>6.33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139</v>
      </c>
      <c r="C50" s="12">
        <v>19</v>
      </c>
      <c r="D50" s="8">
        <v>3.64</v>
      </c>
      <c r="E50" s="12">
        <v>19</v>
      </c>
      <c r="F50" s="8">
        <v>5.72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158</v>
      </c>
      <c r="C51" s="12">
        <v>17</v>
      </c>
      <c r="D51" s="8">
        <v>3.26</v>
      </c>
      <c r="E51" s="12">
        <v>14</v>
      </c>
      <c r="F51" s="8">
        <v>4.22</v>
      </c>
      <c r="G51" s="12">
        <v>3</v>
      </c>
      <c r="H51" s="8">
        <v>1.63</v>
      </c>
      <c r="I51" s="12">
        <v>0</v>
      </c>
    </row>
    <row r="52" spans="2:9" ht="15" customHeight="1" x14ac:dyDescent="0.2">
      <c r="B52" t="s">
        <v>129</v>
      </c>
      <c r="C52" s="12">
        <v>15</v>
      </c>
      <c r="D52" s="8">
        <v>2.87</v>
      </c>
      <c r="E52" s="12">
        <v>10</v>
      </c>
      <c r="F52" s="8">
        <v>3.01</v>
      </c>
      <c r="G52" s="12">
        <v>5</v>
      </c>
      <c r="H52" s="8">
        <v>2.72</v>
      </c>
      <c r="I52" s="12">
        <v>0</v>
      </c>
    </row>
    <row r="53" spans="2:9" ht="15" customHeight="1" x14ac:dyDescent="0.2">
      <c r="B53" t="s">
        <v>130</v>
      </c>
      <c r="C53" s="12">
        <v>15</v>
      </c>
      <c r="D53" s="8">
        <v>2.87</v>
      </c>
      <c r="E53" s="12">
        <v>11</v>
      </c>
      <c r="F53" s="8">
        <v>3.31</v>
      </c>
      <c r="G53" s="12">
        <v>4</v>
      </c>
      <c r="H53" s="8">
        <v>2.17</v>
      </c>
      <c r="I53" s="12">
        <v>0</v>
      </c>
    </row>
    <row r="54" spans="2:9" ht="15" customHeight="1" x14ac:dyDescent="0.2">
      <c r="B54" t="s">
        <v>132</v>
      </c>
      <c r="C54" s="12">
        <v>14</v>
      </c>
      <c r="D54" s="8">
        <v>2.68</v>
      </c>
      <c r="E54" s="12">
        <v>6</v>
      </c>
      <c r="F54" s="8">
        <v>1.81</v>
      </c>
      <c r="G54" s="12">
        <v>8</v>
      </c>
      <c r="H54" s="8">
        <v>4.3499999999999996</v>
      </c>
      <c r="I54" s="12">
        <v>0</v>
      </c>
    </row>
    <row r="55" spans="2:9" ht="15" customHeight="1" x14ac:dyDescent="0.2">
      <c r="B55" t="s">
        <v>124</v>
      </c>
      <c r="C55" s="12">
        <v>12</v>
      </c>
      <c r="D55" s="8">
        <v>2.2999999999999998</v>
      </c>
      <c r="E55" s="12">
        <v>0</v>
      </c>
      <c r="F55" s="8">
        <v>0</v>
      </c>
      <c r="G55" s="12">
        <v>12</v>
      </c>
      <c r="H55" s="8">
        <v>6.52</v>
      </c>
      <c r="I55" s="12">
        <v>0</v>
      </c>
    </row>
    <row r="56" spans="2:9" ht="15" customHeight="1" x14ac:dyDescent="0.2">
      <c r="B56" t="s">
        <v>133</v>
      </c>
      <c r="C56" s="12">
        <v>12</v>
      </c>
      <c r="D56" s="8">
        <v>2.2999999999999998</v>
      </c>
      <c r="E56" s="12">
        <v>10</v>
      </c>
      <c r="F56" s="8">
        <v>3.01</v>
      </c>
      <c r="G56" s="12">
        <v>2</v>
      </c>
      <c r="H56" s="8">
        <v>1.0900000000000001</v>
      </c>
      <c r="I56" s="12">
        <v>0</v>
      </c>
    </row>
    <row r="57" spans="2:9" ht="15" customHeight="1" x14ac:dyDescent="0.2">
      <c r="B57" t="s">
        <v>143</v>
      </c>
      <c r="C57" s="12">
        <v>11</v>
      </c>
      <c r="D57" s="8">
        <v>2.11</v>
      </c>
      <c r="E57" s="12">
        <v>9</v>
      </c>
      <c r="F57" s="8">
        <v>2.71</v>
      </c>
      <c r="G57" s="12">
        <v>2</v>
      </c>
      <c r="H57" s="8">
        <v>1.0900000000000001</v>
      </c>
      <c r="I57" s="12">
        <v>0</v>
      </c>
    </row>
    <row r="58" spans="2:9" ht="15" customHeight="1" x14ac:dyDescent="0.2">
      <c r="B58" t="s">
        <v>128</v>
      </c>
      <c r="C58" s="12">
        <v>10</v>
      </c>
      <c r="D58" s="8">
        <v>1.92</v>
      </c>
      <c r="E58" s="12">
        <v>5</v>
      </c>
      <c r="F58" s="8">
        <v>1.51</v>
      </c>
      <c r="G58" s="12">
        <v>5</v>
      </c>
      <c r="H58" s="8">
        <v>2.72</v>
      </c>
      <c r="I58" s="12">
        <v>0</v>
      </c>
    </row>
    <row r="59" spans="2:9" ht="15" customHeight="1" x14ac:dyDescent="0.2">
      <c r="B59" t="s">
        <v>136</v>
      </c>
      <c r="C59" s="12">
        <v>10</v>
      </c>
      <c r="D59" s="8">
        <v>1.92</v>
      </c>
      <c r="E59" s="12">
        <v>10</v>
      </c>
      <c r="F59" s="8">
        <v>3.01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142</v>
      </c>
      <c r="C60" s="12">
        <v>10</v>
      </c>
      <c r="D60" s="8">
        <v>1.92</v>
      </c>
      <c r="E60" s="12">
        <v>10</v>
      </c>
      <c r="F60" s="8">
        <v>3.01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147</v>
      </c>
      <c r="C61" s="12">
        <v>9</v>
      </c>
      <c r="D61" s="8">
        <v>1.72</v>
      </c>
      <c r="E61" s="12">
        <v>5</v>
      </c>
      <c r="F61" s="8">
        <v>1.51</v>
      </c>
      <c r="G61" s="12">
        <v>4</v>
      </c>
      <c r="H61" s="8">
        <v>2.17</v>
      </c>
      <c r="I61" s="12">
        <v>0</v>
      </c>
    </row>
    <row r="62" spans="2:9" ht="15" customHeight="1" x14ac:dyDescent="0.2">
      <c r="B62" t="s">
        <v>135</v>
      </c>
      <c r="C62" s="12">
        <v>9</v>
      </c>
      <c r="D62" s="8">
        <v>1.72</v>
      </c>
      <c r="E62" s="12">
        <v>2</v>
      </c>
      <c r="F62" s="8">
        <v>0.6</v>
      </c>
      <c r="G62" s="12">
        <v>7</v>
      </c>
      <c r="H62" s="8">
        <v>3.8</v>
      </c>
      <c r="I62" s="12">
        <v>0</v>
      </c>
    </row>
    <row r="63" spans="2:9" ht="15" customHeight="1" x14ac:dyDescent="0.2">
      <c r="B63" t="s">
        <v>126</v>
      </c>
      <c r="C63" s="12">
        <v>7</v>
      </c>
      <c r="D63" s="8">
        <v>1.34</v>
      </c>
      <c r="E63" s="12">
        <v>3</v>
      </c>
      <c r="F63" s="8">
        <v>0.9</v>
      </c>
      <c r="G63" s="12">
        <v>4</v>
      </c>
      <c r="H63" s="8">
        <v>2.17</v>
      </c>
      <c r="I63" s="12">
        <v>0</v>
      </c>
    </row>
    <row r="64" spans="2:9" ht="15" customHeight="1" x14ac:dyDescent="0.2">
      <c r="B64" t="s">
        <v>159</v>
      </c>
      <c r="C64" s="12">
        <v>7</v>
      </c>
      <c r="D64" s="8">
        <v>1.34</v>
      </c>
      <c r="E64" s="12">
        <v>5</v>
      </c>
      <c r="F64" s="8">
        <v>1.51</v>
      </c>
      <c r="G64" s="12">
        <v>2</v>
      </c>
      <c r="H64" s="8">
        <v>1.0900000000000001</v>
      </c>
      <c r="I64" s="12">
        <v>0</v>
      </c>
    </row>
    <row r="65" spans="2:9" ht="15" customHeight="1" x14ac:dyDescent="0.2">
      <c r="B65" t="s">
        <v>160</v>
      </c>
      <c r="C65" s="12">
        <v>7</v>
      </c>
      <c r="D65" s="8">
        <v>1.34</v>
      </c>
      <c r="E65" s="12">
        <v>5</v>
      </c>
      <c r="F65" s="8">
        <v>1.51</v>
      </c>
      <c r="G65" s="12">
        <v>2</v>
      </c>
      <c r="H65" s="8">
        <v>1.0900000000000001</v>
      </c>
      <c r="I65" s="12">
        <v>0</v>
      </c>
    </row>
    <row r="66" spans="2:9" ht="15" customHeight="1" x14ac:dyDescent="0.2">
      <c r="B66" t="s">
        <v>141</v>
      </c>
      <c r="C66" s="12">
        <v>7</v>
      </c>
      <c r="D66" s="8">
        <v>1.34</v>
      </c>
      <c r="E66" s="12">
        <v>5</v>
      </c>
      <c r="F66" s="8">
        <v>1.51</v>
      </c>
      <c r="G66" s="12">
        <v>2</v>
      </c>
      <c r="H66" s="8">
        <v>1.0900000000000001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3B4A-5633-4BEA-9777-C66602B8436B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42</v>
      </c>
      <c r="D6" s="8">
        <v>10.97</v>
      </c>
      <c r="E6" s="12">
        <v>13</v>
      </c>
      <c r="F6" s="8">
        <v>5.88</v>
      </c>
      <c r="G6" s="12">
        <v>29</v>
      </c>
      <c r="H6" s="8">
        <v>19.86</v>
      </c>
      <c r="I6" s="12">
        <v>0</v>
      </c>
    </row>
    <row r="7" spans="2:9" ht="15" customHeight="1" x14ac:dyDescent="0.2">
      <c r="B7" t="s">
        <v>46</v>
      </c>
      <c r="C7" s="12">
        <v>40</v>
      </c>
      <c r="D7" s="8">
        <v>10.44</v>
      </c>
      <c r="E7" s="12">
        <v>16</v>
      </c>
      <c r="F7" s="8">
        <v>7.24</v>
      </c>
      <c r="G7" s="12">
        <v>23</v>
      </c>
      <c r="H7" s="8">
        <v>15.75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0.26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0.78</v>
      </c>
      <c r="E9" s="12">
        <v>0</v>
      </c>
      <c r="F9" s="8">
        <v>0</v>
      </c>
      <c r="G9" s="12">
        <v>3</v>
      </c>
      <c r="H9" s="8">
        <v>2.0499999999999998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1.04</v>
      </c>
      <c r="E10" s="12">
        <v>1</v>
      </c>
      <c r="F10" s="8">
        <v>0.45</v>
      </c>
      <c r="G10" s="12">
        <v>3</v>
      </c>
      <c r="H10" s="8">
        <v>2.0499999999999998</v>
      </c>
      <c r="I10" s="12">
        <v>0</v>
      </c>
    </row>
    <row r="11" spans="2:9" ht="15" customHeight="1" x14ac:dyDescent="0.2">
      <c r="B11" t="s">
        <v>50</v>
      </c>
      <c r="C11" s="12">
        <v>132</v>
      </c>
      <c r="D11" s="8">
        <v>34.46</v>
      </c>
      <c r="E11" s="12">
        <v>82</v>
      </c>
      <c r="F11" s="8">
        <v>37.1</v>
      </c>
      <c r="G11" s="12">
        <v>50</v>
      </c>
      <c r="H11" s="8">
        <v>34.25</v>
      </c>
      <c r="I11" s="12">
        <v>0</v>
      </c>
    </row>
    <row r="12" spans="2:9" ht="15" customHeight="1" x14ac:dyDescent="0.2">
      <c r="B12" t="s">
        <v>51</v>
      </c>
      <c r="C12" s="12">
        <v>6</v>
      </c>
      <c r="D12" s="8">
        <v>1.57</v>
      </c>
      <c r="E12" s="12">
        <v>3</v>
      </c>
      <c r="F12" s="8">
        <v>1.36</v>
      </c>
      <c r="G12" s="12">
        <v>3</v>
      </c>
      <c r="H12" s="8">
        <v>2.0499999999999998</v>
      </c>
      <c r="I12" s="12">
        <v>0</v>
      </c>
    </row>
    <row r="13" spans="2:9" ht="15" customHeight="1" x14ac:dyDescent="0.2">
      <c r="B13" t="s">
        <v>52</v>
      </c>
      <c r="C13" s="12">
        <v>7</v>
      </c>
      <c r="D13" s="8">
        <v>1.83</v>
      </c>
      <c r="E13" s="12">
        <v>2</v>
      </c>
      <c r="F13" s="8">
        <v>0.9</v>
      </c>
      <c r="G13" s="12">
        <v>5</v>
      </c>
      <c r="H13" s="8">
        <v>3.42</v>
      </c>
      <c r="I13" s="12">
        <v>0</v>
      </c>
    </row>
    <row r="14" spans="2:9" ht="15" customHeight="1" x14ac:dyDescent="0.2">
      <c r="B14" t="s">
        <v>53</v>
      </c>
      <c r="C14" s="12">
        <v>4</v>
      </c>
      <c r="D14" s="8">
        <v>1.04</v>
      </c>
      <c r="E14" s="12">
        <v>3</v>
      </c>
      <c r="F14" s="8">
        <v>1.36</v>
      </c>
      <c r="G14" s="12">
        <v>1</v>
      </c>
      <c r="H14" s="8">
        <v>0.68</v>
      </c>
      <c r="I14" s="12">
        <v>0</v>
      </c>
    </row>
    <row r="15" spans="2:9" ht="15" customHeight="1" x14ac:dyDescent="0.2">
      <c r="B15" t="s">
        <v>54</v>
      </c>
      <c r="C15" s="12">
        <v>42</v>
      </c>
      <c r="D15" s="8">
        <v>10.97</v>
      </c>
      <c r="E15" s="12">
        <v>31</v>
      </c>
      <c r="F15" s="8">
        <v>14.03</v>
      </c>
      <c r="G15" s="12">
        <v>11</v>
      </c>
      <c r="H15" s="8">
        <v>7.53</v>
      </c>
      <c r="I15" s="12">
        <v>0</v>
      </c>
    </row>
    <row r="16" spans="2:9" ht="15" customHeight="1" x14ac:dyDescent="0.2">
      <c r="B16" t="s">
        <v>55</v>
      </c>
      <c r="C16" s="12">
        <v>50</v>
      </c>
      <c r="D16" s="8">
        <v>13.05</v>
      </c>
      <c r="E16" s="12">
        <v>42</v>
      </c>
      <c r="F16" s="8">
        <v>19</v>
      </c>
      <c r="G16" s="12">
        <v>7</v>
      </c>
      <c r="H16" s="8">
        <v>4.79</v>
      </c>
      <c r="I16" s="12">
        <v>0</v>
      </c>
    </row>
    <row r="17" spans="2:9" ht="15" customHeight="1" x14ac:dyDescent="0.2">
      <c r="B17" t="s">
        <v>56</v>
      </c>
      <c r="C17" s="12">
        <v>17</v>
      </c>
      <c r="D17" s="8">
        <v>4.4400000000000004</v>
      </c>
      <c r="E17" s="12">
        <v>7</v>
      </c>
      <c r="F17" s="8">
        <v>3.17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21</v>
      </c>
      <c r="D18" s="8">
        <v>5.48</v>
      </c>
      <c r="E18" s="12">
        <v>12</v>
      </c>
      <c r="F18" s="8">
        <v>5.43</v>
      </c>
      <c r="G18" s="12">
        <v>9</v>
      </c>
      <c r="H18" s="8">
        <v>6.16</v>
      </c>
      <c r="I18" s="12">
        <v>0</v>
      </c>
    </row>
    <row r="19" spans="2:9" ht="15" customHeight="1" x14ac:dyDescent="0.2">
      <c r="B19" t="s">
        <v>58</v>
      </c>
      <c r="C19" s="12">
        <v>14</v>
      </c>
      <c r="D19" s="8">
        <v>3.66</v>
      </c>
      <c r="E19" s="12">
        <v>9</v>
      </c>
      <c r="F19" s="8">
        <v>4.07</v>
      </c>
      <c r="G19" s="12">
        <v>2</v>
      </c>
      <c r="H19" s="8">
        <v>1.37</v>
      </c>
      <c r="I19" s="12">
        <v>1</v>
      </c>
    </row>
    <row r="20" spans="2:9" ht="15" customHeight="1" x14ac:dyDescent="0.2">
      <c r="B20" s="9" t="s">
        <v>241</v>
      </c>
      <c r="C20" s="12">
        <f>SUM(LTBL_46214[総数／事業所数])</f>
        <v>383</v>
      </c>
      <c r="E20" s="12">
        <f>SUBTOTAL(109,LTBL_46214[個人／事業所数])</f>
        <v>221</v>
      </c>
      <c r="G20" s="12">
        <f>SUBTOTAL(109,LTBL_46214[法人／事業所数])</f>
        <v>146</v>
      </c>
      <c r="I20" s="12">
        <f>SUBTOTAL(109,LTBL_46214[法人以外の団体／事業所数])</f>
        <v>1</v>
      </c>
    </row>
    <row r="21" spans="2:9" ht="15" customHeight="1" x14ac:dyDescent="0.2">
      <c r="E21" s="11">
        <f>LTBL_46214[[#Totals],[個人／事業所数]]/LTBL_46214[[#Totals],[総数／事業所数]]</f>
        <v>0.57702349869451697</v>
      </c>
      <c r="G21" s="11">
        <f>LTBL_46214[[#Totals],[法人／事業所数]]/LTBL_46214[[#Totals],[総数／事業所数]]</f>
        <v>0.38120104438642299</v>
      </c>
      <c r="I21" s="11">
        <f>LTBL_46214[[#Totals],[法人以外の団体／事業所数]]/LTBL_46214[[#Totals],[総数／事業所数]]</f>
        <v>2.6109660574412533E-3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53</v>
      </c>
      <c r="D24" s="8">
        <v>13.84</v>
      </c>
      <c r="E24" s="12">
        <v>46</v>
      </c>
      <c r="F24" s="8">
        <v>20.81</v>
      </c>
      <c r="G24" s="12">
        <v>7</v>
      </c>
      <c r="H24" s="8">
        <v>4.79</v>
      </c>
      <c r="I24" s="12">
        <v>0</v>
      </c>
    </row>
    <row r="25" spans="2:9" ht="15" customHeight="1" x14ac:dyDescent="0.2">
      <c r="B25" t="s">
        <v>82</v>
      </c>
      <c r="C25" s="12">
        <v>42</v>
      </c>
      <c r="D25" s="8">
        <v>10.97</v>
      </c>
      <c r="E25" s="12">
        <v>37</v>
      </c>
      <c r="F25" s="8">
        <v>16.739999999999998</v>
      </c>
      <c r="G25" s="12">
        <v>5</v>
      </c>
      <c r="H25" s="8">
        <v>3.42</v>
      </c>
      <c r="I25" s="12">
        <v>0</v>
      </c>
    </row>
    <row r="26" spans="2:9" ht="15" customHeight="1" x14ac:dyDescent="0.2">
      <c r="B26" t="s">
        <v>81</v>
      </c>
      <c r="C26" s="12">
        <v>34</v>
      </c>
      <c r="D26" s="8">
        <v>8.8800000000000008</v>
      </c>
      <c r="E26" s="12">
        <v>28</v>
      </c>
      <c r="F26" s="8">
        <v>12.67</v>
      </c>
      <c r="G26" s="12">
        <v>6</v>
      </c>
      <c r="H26" s="8">
        <v>4.1100000000000003</v>
      </c>
      <c r="I26" s="12">
        <v>0</v>
      </c>
    </row>
    <row r="27" spans="2:9" ht="15" customHeight="1" x14ac:dyDescent="0.2">
      <c r="B27" t="s">
        <v>75</v>
      </c>
      <c r="C27" s="12">
        <v>33</v>
      </c>
      <c r="D27" s="8">
        <v>8.6199999999999992</v>
      </c>
      <c r="E27" s="12">
        <v>15</v>
      </c>
      <c r="F27" s="8">
        <v>6.79</v>
      </c>
      <c r="G27" s="12">
        <v>18</v>
      </c>
      <c r="H27" s="8">
        <v>12.33</v>
      </c>
      <c r="I27" s="12">
        <v>0</v>
      </c>
    </row>
    <row r="28" spans="2:9" ht="15" customHeight="1" x14ac:dyDescent="0.2">
      <c r="B28" t="s">
        <v>67</v>
      </c>
      <c r="C28" s="12">
        <v>27</v>
      </c>
      <c r="D28" s="8">
        <v>7.05</v>
      </c>
      <c r="E28" s="12">
        <v>6</v>
      </c>
      <c r="F28" s="8">
        <v>2.71</v>
      </c>
      <c r="G28" s="12">
        <v>21</v>
      </c>
      <c r="H28" s="8">
        <v>14.38</v>
      </c>
      <c r="I28" s="12">
        <v>0</v>
      </c>
    </row>
    <row r="29" spans="2:9" ht="15" customHeight="1" x14ac:dyDescent="0.2">
      <c r="B29" t="s">
        <v>83</v>
      </c>
      <c r="C29" s="12">
        <v>17</v>
      </c>
      <c r="D29" s="8">
        <v>4.4400000000000004</v>
      </c>
      <c r="E29" s="12">
        <v>7</v>
      </c>
      <c r="F29" s="8">
        <v>3.17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84</v>
      </c>
      <c r="C30" s="12">
        <v>15</v>
      </c>
      <c r="D30" s="8">
        <v>3.92</v>
      </c>
      <c r="E30" s="12">
        <v>12</v>
      </c>
      <c r="F30" s="8">
        <v>5.43</v>
      </c>
      <c r="G30" s="12">
        <v>3</v>
      </c>
      <c r="H30" s="8">
        <v>2.0499999999999998</v>
      </c>
      <c r="I30" s="12">
        <v>0</v>
      </c>
    </row>
    <row r="31" spans="2:9" ht="15" customHeight="1" x14ac:dyDescent="0.2">
      <c r="B31" t="s">
        <v>71</v>
      </c>
      <c r="C31" s="12">
        <v>13</v>
      </c>
      <c r="D31" s="8">
        <v>3.39</v>
      </c>
      <c r="E31" s="12">
        <v>3</v>
      </c>
      <c r="F31" s="8">
        <v>1.36</v>
      </c>
      <c r="G31" s="12">
        <v>10</v>
      </c>
      <c r="H31" s="8">
        <v>6.85</v>
      </c>
      <c r="I31" s="12">
        <v>0</v>
      </c>
    </row>
    <row r="32" spans="2:9" ht="15" customHeight="1" x14ac:dyDescent="0.2">
      <c r="B32" t="s">
        <v>74</v>
      </c>
      <c r="C32" s="12">
        <v>12</v>
      </c>
      <c r="D32" s="8">
        <v>3.13</v>
      </c>
      <c r="E32" s="12">
        <v>9</v>
      </c>
      <c r="F32" s="8">
        <v>4.07</v>
      </c>
      <c r="G32" s="12">
        <v>3</v>
      </c>
      <c r="H32" s="8">
        <v>2.0499999999999998</v>
      </c>
      <c r="I32" s="12">
        <v>0</v>
      </c>
    </row>
    <row r="33" spans="2:9" ht="15" customHeight="1" x14ac:dyDescent="0.2">
      <c r="B33" t="s">
        <v>70</v>
      </c>
      <c r="C33" s="12">
        <v>11</v>
      </c>
      <c r="D33" s="8">
        <v>2.87</v>
      </c>
      <c r="E33" s="12">
        <v>5</v>
      </c>
      <c r="F33" s="8">
        <v>2.2599999999999998</v>
      </c>
      <c r="G33" s="12">
        <v>6</v>
      </c>
      <c r="H33" s="8">
        <v>4.1100000000000003</v>
      </c>
      <c r="I33" s="12">
        <v>0</v>
      </c>
    </row>
    <row r="34" spans="2:9" ht="15" customHeight="1" x14ac:dyDescent="0.2">
      <c r="B34" t="s">
        <v>90</v>
      </c>
      <c r="C34" s="12">
        <v>9</v>
      </c>
      <c r="D34" s="8">
        <v>2.35</v>
      </c>
      <c r="E34" s="12">
        <v>1</v>
      </c>
      <c r="F34" s="8">
        <v>0.45</v>
      </c>
      <c r="G34" s="12">
        <v>7</v>
      </c>
      <c r="H34" s="8">
        <v>4.79</v>
      </c>
      <c r="I34" s="12">
        <v>0</v>
      </c>
    </row>
    <row r="35" spans="2:9" ht="15" customHeight="1" x14ac:dyDescent="0.2">
      <c r="B35" t="s">
        <v>69</v>
      </c>
      <c r="C35" s="12">
        <v>8</v>
      </c>
      <c r="D35" s="8">
        <v>2.09</v>
      </c>
      <c r="E35" s="12">
        <v>2</v>
      </c>
      <c r="F35" s="8">
        <v>0.9</v>
      </c>
      <c r="G35" s="12">
        <v>6</v>
      </c>
      <c r="H35" s="8">
        <v>4.1100000000000003</v>
      </c>
      <c r="I35" s="12">
        <v>0</v>
      </c>
    </row>
    <row r="36" spans="2:9" ht="15" customHeight="1" x14ac:dyDescent="0.2">
      <c r="B36" t="s">
        <v>68</v>
      </c>
      <c r="C36" s="12">
        <v>7</v>
      </c>
      <c r="D36" s="8">
        <v>1.83</v>
      </c>
      <c r="E36" s="12">
        <v>5</v>
      </c>
      <c r="F36" s="8">
        <v>2.2599999999999998</v>
      </c>
      <c r="G36" s="12">
        <v>2</v>
      </c>
      <c r="H36" s="8">
        <v>1.37</v>
      </c>
      <c r="I36" s="12">
        <v>0</v>
      </c>
    </row>
    <row r="37" spans="2:9" ht="15" customHeight="1" x14ac:dyDescent="0.2">
      <c r="B37" t="s">
        <v>80</v>
      </c>
      <c r="C37" s="12">
        <v>7</v>
      </c>
      <c r="D37" s="8">
        <v>1.83</v>
      </c>
      <c r="E37" s="12">
        <v>2</v>
      </c>
      <c r="F37" s="8">
        <v>0.9</v>
      </c>
      <c r="G37" s="12">
        <v>5</v>
      </c>
      <c r="H37" s="8">
        <v>3.42</v>
      </c>
      <c r="I37" s="12">
        <v>0</v>
      </c>
    </row>
    <row r="38" spans="2:9" ht="15" customHeight="1" x14ac:dyDescent="0.2">
      <c r="B38" t="s">
        <v>86</v>
      </c>
      <c r="C38" s="12">
        <v>7</v>
      </c>
      <c r="D38" s="8">
        <v>1.83</v>
      </c>
      <c r="E38" s="12">
        <v>7</v>
      </c>
      <c r="F38" s="8">
        <v>3.17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96</v>
      </c>
      <c r="C39" s="12">
        <v>6</v>
      </c>
      <c r="D39" s="8">
        <v>1.57</v>
      </c>
      <c r="E39" s="12">
        <v>3</v>
      </c>
      <c r="F39" s="8">
        <v>1.36</v>
      </c>
      <c r="G39" s="12">
        <v>3</v>
      </c>
      <c r="H39" s="8">
        <v>2.0499999999999998</v>
      </c>
      <c r="I39" s="12">
        <v>0</v>
      </c>
    </row>
    <row r="40" spans="2:9" ht="15" customHeight="1" x14ac:dyDescent="0.2">
      <c r="B40" t="s">
        <v>89</v>
      </c>
      <c r="C40" s="12">
        <v>6</v>
      </c>
      <c r="D40" s="8">
        <v>1.57</v>
      </c>
      <c r="E40" s="12">
        <v>2</v>
      </c>
      <c r="F40" s="8">
        <v>0.9</v>
      </c>
      <c r="G40" s="12">
        <v>4</v>
      </c>
      <c r="H40" s="8">
        <v>2.74</v>
      </c>
      <c r="I40" s="12">
        <v>0</v>
      </c>
    </row>
    <row r="41" spans="2:9" ht="15" customHeight="1" x14ac:dyDescent="0.2">
      <c r="B41" t="s">
        <v>72</v>
      </c>
      <c r="C41" s="12">
        <v>6</v>
      </c>
      <c r="D41" s="8">
        <v>1.57</v>
      </c>
      <c r="E41" s="12">
        <v>5</v>
      </c>
      <c r="F41" s="8">
        <v>2.2599999999999998</v>
      </c>
      <c r="G41" s="12">
        <v>1</v>
      </c>
      <c r="H41" s="8">
        <v>0.68</v>
      </c>
      <c r="I41" s="12">
        <v>0</v>
      </c>
    </row>
    <row r="42" spans="2:9" ht="15" customHeight="1" x14ac:dyDescent="0.2">
      <c r="B42" t="s">
        <v>97</v>
      </c>
      <c r="C42" s="12">
        <v>6</v>
      </c>
      <c r="D42" s="8">
        <v>1.57</v>
      </c>
      <c r="E42" s="12">
        <v>3</v>
      </c>
      <c r="F42" s="8">
        <v>1.36</v>
      </c>
      <c r="G42" s="12">
        <v>3</v>
      </c>
      <c r="H42" s="8">
        <v>2.0499999999999998</v>
      </c>
      <c r="I42" s="12">
        <v>0</v>
      </c>
    </row>
    <row r="43" spans="2:9" ht="15" customHeight="1" x14ac:dyDescent="0.2">
      <c r="B43" t="s">
        <v>85</v>
      </c>
      <c r="C43" s="12">
        <v>6</v>
      </c>
      <c r="D43" s="8">
        <v>1.57</v>
      </c>
      <c r="E43" s="12">
        <v>0</v>
      </c>
      <c r="F43" s="8">
        <v>0</v>
      </c>
      <c r="G43" s="12">
        <v>6</v>
      </c>
      <c r="H43" s="8">
        <v>4.1100000000000003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20</v>
      </c>
      <c r="D47" s="8">
        <v>5.22</v>
      </c>
      <c r="E47" s="12">
        <v>19</v>
      </c>
      <c r="F47" s="8">
        <v>8.6</v>
      </c>
      <c r="G47" s="12">
        <v>1</v>
      </c>
      <c r="H47" s="8">
        <v>0.68</v>
      </c>
      <c r="I47" s="12">
        <v>0</v>
      </c>
    </row>
    <row r="48" spans="2:9" ht="15" customHeight="1" x14ac:dyDescent="0.2">
      <c r="B48" t="s">
        <v>129</v>
      </c>
      <c r="C48" s="12">
        <v>17</v>
      </c>
      <c r="D48" s="8">
        <v>4.4400000000000004</v>
      </c>
      <c r="E48" s="12">
        <v>11</v>
      </c>
      <c r="F48" s="8">
        <v>4.9800000000000004</v>
      </c>
      <c r="G48" s="12">
        <v>6</v>
      </c>
      <c r="H48" s="8">
        <v>4.1100000000000003</v>
      </c>
      <c r="I48" s="12">
        <v>0</v>
      </c>
    </row>
    <row r="49" spans="2:9" ht="15" customHeight="1" x14ac:dyDescent="0.2">
      <c r="B49" t="s">
        <v>139</v>
      </c>
      <c r="C49" s="12">
        <v>16</v>
      </c>
      <c r="D49" s="8">
        <v>4.18</v>
      </c>
      <c r="E49" s="12">
        <v>15</v>
      </c>
      <c r="F49" s="8">
        <v>6.79</v>
      </c>
      <c r="G49" s="12">
        <v>1</v>
      </c>
      <c r="H49" s="8">
        <v>0.68</v>
      </c>
      <c r="I49" s="12">
        <v>0</v>
      </c>
    </row>
    <row r="50" spans="2:9" ht="15" customHeight="1" x14ac:dyDescent="0.2">
      <c r="B50" t="s">
        <v>124</v>
      </c>
      <c r="C50" s="12">
        <v>15</v>
      </c>
      <c r="D50" s="8">
        <v>3.92</v>
      </c>
      <c r="E50" s="12">
        <v>2</v>
      </c>
      <c r="F50" s="8">
        <v>0.9</v>
      </c>
      <c r="G50" s="12">
        <v>13</v>
      </c>
      <c r="H50" s="8">
        <v>8.9</v>
      </c>
      <c r="I50" s="12">
        <v>0</v>
      </c>
    </row>
    <row r="51" spans="2:9" ht="15" customHeight="1" x14ac:dyDescent="0.2">
      <c r="B51" t="s">
        <v>132</v>
      </c>
      <c r="C51" s="12">
        <v>15</v>
      </c>
      <c r="D51" s="8">
        <v>3.92</v>
      </c>
      <c r="E51" s="12">
        <v>5</v>
      </c>
      <c r="F51" s="8">
        <v>2.2599999999999998</v>
      </c>
      <c r="G51" s="12">
        <v>10</v>
      </c>
      <c r="H51" s="8">
        <v>6.85</v>
      </c>
      <c r="I51" s="12">
        <v>0</v>
      </c>
    </row>
    <row r="52" spans="2:9" ht="15" customHeight="1" x14ac:dyDescent="0.2">
      <c r="B52" t="s">
        <v>127</v>
      </c>
      <c r="C52" s="12">
        <v>14</v>
      </c>
      <c r="D52" s="8">
        <v>3.66</v>
      </c>
      <c r="E52" s="12">
        <v>13</v>
      </c>
      <c r="F52" s="8">
        <v>5.88</v>
      </c>
      <c r="G52" s="12">
        <v>1</v>
      </c>
      <c r="H52" s="8">
        <v>0.68</v>
      </c>
      <c r="I52" s="12">
        <v>0</v>
      </c>
    </row>
    <row r="53" spans="2:9" ht="15" customHeight="1" x14ac:dyDescent="0.2">
      <c r="B53" t="s">
        <v>128</v>
      </c>
      <c r="C53" s="12">
        <v>13</v>
      </c>
      <c r="D53" s="8">
        <v>3.39</v>
      </c>
      <c r="E53" s="12">
        <v>13</v>
      </c>
      <c r="F53" s="8">
        <v>5.88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154</v>
      </c>
      <c r="C54" s="12">
        <v>12</v>
      </c>
      <c r="D54" s="8">
        <v>3.13</v>
      </c>
      <c r="E54" s="12">
        <v>3</v>
      </c>
      <c r="F54" s="8">
        <v>1.36</v>
      </c>
      <c r="G54" s="12">
        <v>9</v>
      </c>
      <c r="H54" s="8">
        <v>6.16</v>
      </c>
      <c r="I54" s="12">
        <v>0</v>
      </c>
    </row>
    <row r="55" spans="2:9" ht="15" customHeight="1" x14ac:dyDescent="0.2">
      <c r="B55" t="s">
        <v>142</v>
      </c>
      <c r="C55" s="12">
        <v>12</v>
      </c>
      <c r="D55" s="8">
        <v>3.13</v>
      </c>
      <c r="E55" s="12">
        <v>10</v>
      </c>
      <c r="F55" s="8">
        <v>4.5199999999999996</v>
      </c>
      <c r="G55" s="12">
        <v>2</v>
      </c>
      <c r="H55" s="8">
        <v>1.37</v>
      </c>
      <c r="I55" s="12">
        <v>0</v>
      </c>
    </row>
    <row r="56" spans="2:9" ht="15" customHeight="1" x14ac:dyDescent="0.2">
      <c r="B56" t="s">
        <v>165</v>
      </c>
      <c r="C56" s="12">
        <v>10</v>
      </c>
      <c r="D56" s="8">
        <v>2.61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9</v>
      </c>
      <c r="D57" s="8">
        <v>2.35</v>
      </c>
      <c r="E57" s="12">
        <v>7</v>
      </c>
      <c r="F57" s="8">
        <v>3.17</v>
      </c>
      <c r="G57" s="12">
        <v>2</v>
      </c>
      <c r="H57" s="8">
        <v>1.37</v>
      </c>
      <c r="I57" s="12">
        <v>0</v>
      </c>
    </row>
    <row r="58" spans="2:9" ht="15" customHeight="1" x14ac:dyDescent="0.2">
      <c r="B58" t="s">
        <v>137</v>
      </c>
      <c r="C58" s="12">
        <v>9</v>
      </c>
      <c r="D58" s="8">
        <v>2.35</v>
      </c>
      <c r="E58" s="12">
        <v>9</v>
      </c>
      <c r="F58" s="8">
        <v>4.07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147</v>
      </c>
      <c r="C59" s="12">
        <v>8</v>
      </c>
      <c r="D59" s="8">
        <v>2.09</v>
      </c>
      <c r="E59" s="12">
        <v>5</v>
      </c>
      <c r="F59" s="8">
        <v>2.2599999999999998</v>
      </c>
      <c r="G59" s="12">
        <v>3</v>
      </c>
      <c r="H59" s="8">
        <v>2.0499999999999998</v>
      </c>
      <c r="I59" s="12">
        <v>0</v>
      </c>
    </row>
    <row r="60" spans="2:9" ht="15" customHeight="1" x14ac:dyDescent="0.2">
      <c r="B60" t="s">
        <v>138</v>
      </c>
      <c r="C60" s="12">
        <v>7</v>
      </c>
      <c r="D60" s="8">
        <v>1.83</v>
      </c>
      <c r="E60" s="12">
        <v>6</v>
      </c>
      <c r="F60" s="8">
        <v>2.71</v>
      </c>
      <c r="G60" s="12">
        <v>1</v>
      </c>
      <c r="H60" s="8">
        <v>0.68</v>
      </c>
      <c r="I60" s="12">
        <v>0</v>
      </c>
    </row>
    <row r="61" spans="2:9" ht="15" customHeight="1" x14ac:dyDescent="0.2">
      <c r="B61" t="s">
        <v>143</v>
      </c>
      <c r="C61" s="12">
        <v>7</v>
      </c>
      <c r="D61" s="8">
        <v>1.83</v>
      </c>
      <c r="E61" s="12">
        <v>7</v>
      </c>
      <c r="F61" s="8">
        <v>3.17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161</v>
      </c>
      <c r="C62" s="12">
        <v>6</v>
      </c>
      <c r="D62" s="8">
        <v>1.57</v>
      </c>
      <c r="E62" s="12">
        <v>0</v>
      </c>
      <c r="F62" s="8">
        <v>0</v>
      </c>
      <c r="G62" s="12">
        <v>6</v>
      </c>
      <c r="H62" s="8">
        <v>4.1100000000000003</v>
      </c>
      <c r="I62" s="12">
        <v>0</v>
      </c>
    </row>
    <row r="63" spans="2:9" ht="15" customHeight="1" x14ac:dyDescent="0.2">
      <c r="B63" t="s">
        <v>125</v>
      </c>
      <c r="C63" s="12">
        <v>5</v>
      </c>
      <c r="D63" s="8">
        <v>1.31</v>
      </c>
      <c r="E63" s="12">
        <v>2</v>
      </c>
      <c r="F63" s="8">
        <v>0.9</v>
      </c>
      <c r="G63" s="12">
        <v>3</v>
      </c>
      <c r="H63" s="8">
        <v>2.0499999999999998</v>
      </c>
      <c r="I63" s="12">
        <v>0</v>
      </c>
    </row>
    <row r="64" spans="2:9" ht="15" customHeight="1" x14ac:dyDescent="0.2">
      <c r="B64" t="s">
        <v>157</v>
      </c>
      <c r="C64" s="12">
        <v>5</v>
      </c>
      <c r="D64" s="8">
        <v>1.31</v>
      </c>
      <c r="E64" s="12">
        <v>2</v>
      </c>
      <c r="F64" s="8">
        <v>0.9</v>
      </c>
      <c r="G64" s="12">
        <v>3</v>
      </c>
      <c r="H64" s="8">
        <v>2.0499999999999998</v>
      </c>
      <c r="I64" s="12">
        <v>0</v>
      </c>
    </row>
    <row r="65" spans="2:9" ht="15" customHeight="1" x14ac:dyDescent="0.2">
      <c r="B65" t="s">
        <v>126</v>
      </c>
      <c r="C65" s="12">
        <v>5</v>
      </c>
      <c r="D65" s="8">
        <v>1.31</v>
      </c>
      <c r="E65" s="12">
        <v>1</v>
      </c>
      <c r="F65" s="8">
        <v>0.45</v>
      </c>
      <c r="G65" s="12">
        <v>4</v>
      </c>
      <c r="H65" s="8">
        <v>2.74</v>
      </c>
      <c r="I65" s="12">
        <v>0</v>
      </c>
    </row>
    <row r="66" spans="2:9" ht="15" customHeight="1" x14ac:dyDescent="0.2">
      <c r="B66" t="s">
        <v>162</v>
      </c>
      <c r="C66" s="12">
        <v>5</v>
      </c>
      <c r="D66" s="8">
        <v>1.31</v>
      </c>
      <c r="E66" s="12">
        <v>3</v>
      </c>
      <c r="F66" s="8">
        <v>1.36</v>
      </c>
      <c r="G66" s="12">
        <v>2</v>
      </c>
      <c r="H66" s="8">
        <v>1.37</v>
      </c>
      <c r="I66" s="12">
        <v>0</v>
      </c>
    </row>
    <row r="67" spans="2:9" ht="15" customHeight="1" x14ac:dyDescent="0.2">
      <c r="B67" t="s">
        <v>163</v>
      </c>
      <c r="C67" s="12">
        <v>5</v>
      </c>
      <c r="D67" s="8">
        <v>1.31</v>
      </c>
      <c r="E67" s="12">
        <v>2</v>
      </c>
      <c r="F67" s="8">
        <v>0.9</v>
      </c>
      <c r="G67" s="12">
        <v>3</v>
      </c>
      <c r="H67" s="8">
        <v>2.0499999999999998</v>
      </c>
      <c r="I67" s="12">
        <v>0</v>
      </c>
    </row>
    <row r="68" spans="2:9" ht="15" customHeight="1" x14ac:dyDescent="0.2">
      <c r="B68" t="s">
        <v>160</v>
      </c>
      <c r="C68" s="12">
        <v>5</v>
      </c>
      <c r="D68" s="8">
        <v>1.31</v>
      </c>
      <c r="E68" s="12">
        <v>5</v>
      </c>
      <c r="F68" s="8">
        <v>2.2599999999999998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133</v>
      </c>
      <c r="C69" s="12">
        <v>5</v>
      </c>
      <c r="D69" s="8">
        <v>1.31</v>
      </c>
      <c r="E69" s="12">
        <v>2</v>
      </c>
      <c r="F69" s="8">
        <v>0.9</v>
      </c>
      <c r="G69" s="12">
        <v>3</v>
      </c>
      <c r="H69" s="8">
        <v>2.0499999999999998</v>
      </c>
      <c r="I69" s="12">
        <v>0</v>
      </c>
    </row>
    <row r="70" spans="2:9" ht="15" customHeight="1" x14ac:dyDescent="0.2">
      <c r="B70" t="s">
        <v>164</v>
      </c>
      <c r="C70" s="12">
        <v>5</v>
      </c>
      <c r="D70" s="8">
        <v>1.31</v>
      </c>
      <c r="E70" s="12">
        <v>3</v>
      </c>
      <c r="F70" s="8">
        <v>1.36</v>
      </c>
      <c r="G70" s="12">
        <v>2</v>
      </c>
      <c r="H70" s="8">
        <v>1.37</v>
      </c>
      <c r="I70" s="12">
        <v>0</v>
      </c>
    </row>
    <row r="71" spans="2:9" ht="15" customHeight="1" x14ac:dyDescent="0.2">
      <c r="B71" t="s">
        <v>158</v>
      </c>
      <c r="C71" s="12">
        <v>5</v>
      </c>
      <c r="D71" s="8">
        <v>1.31</v>
      </c>
      <c r="E71" s="12">
        <v>2</v>
      </c>
      <c r="F71" s="8">
        <v>0.9</v>
      </c>
      <c r="G71" s="12">
        <v>3</v>
      </c>
      <c r="H71" s="8">
        <v>2.0499999999999998</v>
      </c>
      <c r="I71" s="12">
        <v>0</v>
      </c>
    </row>
    <row r="72" spans="2:9" ht="15" customHeight="1" x14ac:dyDescent="0.2">
      <c r="B72" t="s">
        <v>166</v>
      </c>
      <c r="C72" s="12">
        <v>5</v>
      </c>
      <c r="D72" s="8">
        <v>1.31</v>
      </c>
      <c r="E72" s="12">
        <v>5</v>
      </c>
      <c r="F72" s="8">
        <v>2.2599999999999998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8061A-1F0D-4F31-A724-2BA23F4EC4A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285</v>
      </c>
      <c r="D6" s="8">
        <v>13.46</v>
      </c>
      <c r="E6" s="12">
        <v>72</v>
      </c>
      <c r="F6" s="8">
        <v>6.34</v>
      </c>
      <c r="G6" s="12">
        <v>213</v>
      </c>
      <c r="H6" s="8">
        <v>22.42</v>
      </c>
      <c r="I6" s="12">
        <v>0</v>
      </c>
    </row>
    <row r="7" spans="2:9" ht="15" customHeight="1" x14ac:dyDescent="0.2">
      <c r="B7" t="s">
        <v>46</v>
      </c>
      <c r="C7" s="12">
        <v>140</v>
      </c>
      <c r="D7" s="8">
        <v>6.61</v>
      </c>
      <c r="E7" s="12">
        <v>38</v>
      </c>
      <c r="F7" s="8">
        <v>3.35</v>
      </c>
      <c r="G7" s="12">
        <v>102</v>
      </c>
      <c r="H7" s="8">
        <v>10.74</v>
      </c>
      <c r="I7" s="12">
        <v>0</v>
      </c>
    </row>
    <row r="8" spans="2:9" ht="15" customHeight="1" x14ac:dyDescent="0.2">
      <c r="B8" t="s">
        <v>47</v>
      </c>
      <c r="C8" s="12">
        <v>13</v>
      </c>
      <c r="D8" s="8">
        <v>0.61</v>
      </c>
      <c r="E8" s="12">
        <v>0</v>
      </c>
      <c r="F8" s="8">
        <v>0</v>
      </c>
      <c r="G8" s="12">
        <v>13</v>
      </c>
      <c r="H8" s="8">
        <v>1.37</v>
      </c>
      <c r="I8" s="12">
        <v>0</v>
      </c>
    </row>
    <row r="9" spans="2:9" ht="15" customHeight="1" x14ac:dyDescent="0.2">
      <c r="B9" t="s">
        <v>48</v>
      </c>
      <c r="C9" s="12">
        <v>9</v>
      </c>
      <c r="D9" s="8">
        <v>0.43</v>
      </c>
      <c r="E9" s="12">
        <v>0</v>
      </c>
      <c r="F9" s="8">
        <v>0</v>
      </c>
      <c r="G9" s="12">
        <v>9</v>
      </c>
      <c r="H9" s="8">
        <v>0.95</v>
      </c>
      <c r="I9" s="12">
        <v>0</v>
      </c>
    </row>
    <row r="10" spans="2:9" ht="15" customHeight="1" x14ac:dyDescent="0.2">
      <c r="B10" t="s">
        <v>49</v>
      </c>
      <c r="C10" s="12">
        <v>31</v>
      </c>
      <c r="D10" s="8">
        <v>1.46</v>
      </c>
      <c r="E10" s="12">
        <v>6</v>
      </c>
      <c r="F10" s="8">
        <v>0.53</v>
      </c>
      <c r="G10" s="12">
        <v>25</v>
      </c>
      <c r="H10" s="8">
        <v>2.63</v>
      </c>
      <c r="I10" s="12">
        <v>0</v>
      </c>
    </row>
    <row r="11" spans="2:9" ht="15" customHeight="1" x14ac:dyDescent="0.2">
      <c r="B11" t="s">
        <v>50</v>
      </c>
      <c r="C11" s="12">
        <v>588</v>
      </c>
      <c r="D11" s="8">
        <v>27.78</v>
      </c>
      <c r="E11" s="12">
        <v>285</v>
      </c>
      <c r="F11" s="8">
        <v>25.09</v>
      </c>
      <c r="G11" s="12">
        <v>301</v>
      </c>
      <c r="H11" s="8">
        <v>31.68</v>
      </c>
      <c r="I11" s="12">
        <v>2</v>
      </c>
    </row>
    <row r="12" spans="2:9" ht="15" customHeight="1" x14ac:dyDescent="0.2">
      <c r="B12" t="s">
        <v>51</v>
      </c>
      <c r="C12" s="12">
        <v>15</v>
      </c>
      <c r="D12" s="8">
        <v>0.71</v>
      </c>
      <c r="E12" s="12">
        <v>3</v>
      </c>
      <c r="F12" s="8">
        <v>0.26</v>
      </c>
      <c r="G12" s="12">
        <v>12</v>
      </c>
      <c r="H12" s="8">
        <v>1.26</v>
      </c>
      <c r="I12" s="12">
        <v>0</v>
      </c>
    </row>
    <row r="13" spans="2:9" ht="15" customHeight="1" x14ac:dyDescent="0.2">
      <c r="B13" t="s">
        <v>52</v>
      </c>
      <c r="C13" s="12">
        <v>94</v>
      </c>
      <c r="D13" s="8">
        <v>4.4400000000000004</v>
      </c>
      <c r="E13" s="12">
        <v>30</v>
      </c>
      <c r="F13" s="8">
        <v>2.64</v>
      </c>
      <c r="G13" s="12">
        <v>64</v>
      </c>
      <c r="H13" s="8">
        <v>6.74</v>
      </c>
      <c r="I13" s="12">
        <v>0</v>
      </c>
    </row>
    <row r="14" spans="2:9" ht="15" customHeight="1" x14ac:dyDescent="0.2">
      <c r="B14" t="s">
        <v>53</v>
      </c>
      <c r="C14" s="12">
        <v>82</v>
      </c>
      <c r="D14" s="8">
        <v>3.87</v>
      </c>
      <c r="E14" s="12">
        <v>51</v>
      </c>
      <c r="F14" s="8">
        <v>4.49</v>
      </c>
      <c r="G14" s="12">
        <v>30</v>
      </c>
      <c r="H14" s="8">
        <v>3.16</v>
      </c>
      <c r="I14" s="12">
        <v>0</v>
      </c>
    </row>
    <row r="15" spans="2:9" ht="15" customHeight="1" x14ac:dyDescent="0.2">
      <c r="B15" t="s">
        <v>54</v>
      </c>
      <c r="C15" s="12">
        <v>322</v>
      </c>
      <c r="D15" s="8">
        <v>15.21</v>
      </c>
      <c r="E15" s="12">
        <v>264</v>
      </c>
      <c r="F15" s="8">
        <v>23.24</v>
      </c>
      <c r="G15" s="12">
        <v>49</v>
      </c>
      <c r="H15" s="8">
        <v>5.16</v>
      </c>
      <c r="I15" s="12">
        <v>1</v>
      </c>
    </row>
    <row r="16" spans="2:9" ht="15" customHeight="1" x14ac:dyDescent="0.2">
      <c r="B16" t="s">
        <v>55</v>
      </c>
      <c r="C16" s="12">
        <v>292</v>
      </c>
      <c r="D16" s="8">
        <v>13.79</v>
      </c>
      <c r="E16" s="12">
        <v>251</v>
      </c>
      <c r="F16" s="8">
        <v>22.1</v>
      </c>
      <c r="G16" s="12">
        <v>41</v>
      </c>
      <c r="H16" s="8">
        <v>4.32</v>
      </c>
      <c r="I16" s="12">
        <v>0</v>
      </c>
    </row>
    <row r="17" spans="2:9" ht="15" customHeight="1" x14ac:dyDescent="0.2">
      <c r="B17" t="s">
        <v>56</v>
      </c>
      <c r="C17" s="12">
        <v>61</v>
      </c>
      <c r="D17" s="8">
        <v>2.88</v>
      </c>
      <c r="E17" s="12">
        <v>45</v>
      </c>
      <c r="F17" s="8">
        <v>3.96</v>
      </c>
      <c r="G17" s="12">
        <v>9</v>
      </c>
      <c r="H17" s="8">
        <v>0.95</v>
      </c>
      <c r="I17" s="12">
        <v>0</v>
      </c>
    </row>
    <row r="18" spans="2:9" ht="15" customHeight="1" x14ac:dyDescent="0.2">
      <c r="B18" t="s">
        <v>57</v>
      </c>
      <c r="C18" s="12">
        <v>94</v>
      </c>
      <c r="D18" s="8">
        <v>4.4400000000000004</v>
      </c>
      <c r="E18" s="12">
        <v>52</v>
      </c>
      <c r="F18" s="8">
        <v>4.58</v>
      </c>
      <c r="G18" s="12">
        <v>39</v>
      </c>
      <c r="H18" s="8">
        <v>4.1100000000000003</v>
      </c>
      <c r="I18" s="12">
        <v>1</v>
      </c>
    </row>
    <row r="19" spans="2:9" ht="15" customHeight="1" x14ac:dyDescent="0.2">
      <c r="B19" t="s">
        <v>58</v>
      </c>
      <c r="C19" s="12">
        <v>91</v>
      </c>
      <c r="D19" s="8">
        <v>4.3</v>
      </c>
      <c r="E19" s="12">
        <v>39</v>
      </c>
      <c r="F19" s="8">
        <v>3.43</v>
      </c>
      <c r="G19" s="12">
        <v>43</v>
      </c>
      <c r="H19" s="8">
        <v>4.53</v>
      </c>
      <c r="I19" s="12">
        <v>2</v>
      </c>
    </row>
    <row r="20" spans="2:9" ht="15" customHeight="1" x14ac:dyDescent="0.2">
      <c r="B20" s="9" t="s">
        <v>241</v>
      </c>
      <c r="C20" s="12">
        <f>SUM(LTBL_46215[総数／事業所数])</f>
        <v>2117</v>
      </c>
      <c r="E20" s="12">
        <f>SUBTOTAL(109,LTBL_46215[個人／事業所数])</f>
        <v>1136</v>
      </c>
      <c r="G20" s="12">
        <f>SUBTOTAL(109,LTBL_46215[法人／事業所数])</f>
        <v>950</v>
      </c>
      <c r="I20" s="12">
        <f>SUBTOTAL(109,LTBL_46215[法人以外の団体／事業所数])</f>
        <v>6</v>
      </c>
    </row>
    <row r="21" spans="2:9" ht="15" customHeight="1" x14ac:dyDescent="0.2">
      <c r="E21" s="11">
        <f>LTBL_46215[[#Totals],[個人／事業所数]]/LTBL_46215[[#Totals],[総数／事業所数]]</f>
        <v>0.53660840812470478</v>
      </c>
      <c r="G21" s="11">
        <f>LTBL_46215[[#Totals],[法人／事業所数]]/LTBL_46215[[#Totals],[総数／事業所数]]</f>
        <v>0.4487482286254133</v>
      </c>
      <c r="I21" s="11">
        <f>LTBL_46215[[#Totals],[法人以外の団体／事業所数]]/LTBL_46215[[#Totals],[総数／事業所数]]</f>
        <v>2.8341993386868211E-3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252</v>
      </c>
      <c r="D24" s="8">
        <v>11.9</v>
      </c>
      <c r="E24" s="12">
        <v>228</v>
      </c>
      <c r="F24" s="8">
        <v>20.07</v>
      </c>
      <c r="G24" s="12">
        <v>23</v>
      </c>
      <c r="H24" s="8">
        <v>2.42</v>
      </c>
      <c r="I24" s="12">
        <v>1</v>
      </c>
    </row>
    <row r="25" spans="2:9" ht="15" customHeight="1" x14ac:dyDescent="0.2">
      <c r="B25" t="s">
        <v>82</v>
      </c>
      <c r="C25" s="12">
        <v>241</v>
      </c>
      <c r="D25" s="8">
        <v>11.38</v>
      </c>
      <c r="E25" s="12">
        <v>217</v>
      </c>
      <c r="F25" s="8">
        <v>19.100000000000001</v>
      </c>
      <c r="G25" s="12">
        <v>24</v>
      </c>
      <c r="H25" s="8">
        <v>2.5299999999999998</v>
      </c>
      <c r="I25" s="12">
        <v>0</v>
      </c>
    </row>
    <row r="26" spans="2:9" ht="15" customHeight="1" x14ac:dyDescent="0.2">
      <c r="B26" t="s">
        <v>75</v>
      </c>
      <c r="C26" s="12">
        <v>190</v>
      </c>
      <c r="D26" s="8">
        <v>8.9700000000000006</v>
      </c>
      <c r="E26" s="12">
        <v>87</v>
      </c>
      <c r="F26" s="8">
        <v>7.66</v>
      </c>
      <c r="G26" s="12">
        <v>103</v>
      </c>
      <c r="H26" s="8">
        <v>10.84</v>
      </c>
      <c r="I26" s="12">
        <v>0</v>
      </c>
    </row>
    <row r="27" spans="2:9" ht="15" customHeight="1" x14ac:dyDescent="0.2">
      <c r="B27" t="s">
        <v>73</v>
      </c>
      <c r="C27" s="12">
        <v>151</v>
      </c>
      <c r="D27" s="8">
        <v>7.13</v>
      </c>
      <c r="E27" s="12">
        <v>107</v>
      </c>
      <c r="F27" s="8">
        <v>9.42</v>
      </c>
      <c r="G27" s="12">
        <v>42</v>
      </c>
      <c r="H27" s="8">
        <v>4.42</v>
      </c>
      <c r="I27" s="12">
        <v>2</v>
      </c>
    </row>
    <row r="28" spans="2:9" ht="15" customHeight="1" x14ac:dyDescent="0.2">
      <c r="B28" t="s">
        <v>67</v>
      </c>
      <c r="C28" s="12">
        <v>141</v>
      </c>
      <c r="D28" s="8">
        <v>6.66</v>
      </c>
      <c r="E28" s="12">
        <v>27</v>
      </c>
      <c r="F28" s="8">
        <v>2.38</v>
      </c>
      <c r="G28" s="12">
        <v>114</v>
      </c>
      <c r="H28" s="8">
        <v>12</v>
      </c>
      <c r="I28" s="12">
        <v>0</v>
      </c>
    </row>
    <row r="29" spans="2:9" ht="15" customHeight="1" x14ac:dyDescent="0.2">
      <c r="B29" t="s">
        <v>74</v>
      </c>
      <c r="C29" s="12">
        <v>85</v>
      </c>
      <c r="D29" s="8">
        <v>4.0199999999999996</v>
      </c>
      <c r="E29" s="12">
        <v>54</v>
      </c>
      <c r="F29" s="8">
        <v>4.75</v>
      </c>
      <c r="G29" s="12">
        <v>31</v>
      </c>
      <c r="H29" s="8">
        <v>3.26</v>
      </c>
      <c r="I29" s="12">
        <v>0</v>
      </c>
    </row>
    <row r="30" spans="2:9" ht="15" customHeight="1" x14ac:dyDescent="0.2">
      <c r="B30" t="s">
        <v>68</v>
      </c>
      <c r="C30" s="12">
        <v>75</v>
      </c>
      <c r="D30" s="8">
        <v>3.54</v>
      </c>
      <c r="E30" s="12">
        <v>27</v>
      </c>
      <c r="F30" s="8">
        <v>2.38</v>
      </c>
      <c r="G30" s="12">
        <v>48</v>
      </c>
      <c r="H30" s="8">
        <v>5.05</v>
      </c>
      <c r="I30" s="12">
        <v>0</v>
      </c>
    </row>
    <row r="31" spans="2:9" ht="15" customHeight="1" x14ac:dyDescent="0.2">
      <c r="B31" t="s">
        <v>69</v>
      </c>
      <c r="C31" s="12">
        <v>69</v>
      </c>
      <c r="D31" s="8">
        <v>3.26</v>
      </c>
      <c r="E31" s="12">
        <v>18</v>
      </c>
      <c r="F31" s="8">
        <v>1.58</v>
      </c>
      <c r="G31" s="12">
        <v>51</v>
      </c>
      <c r="H31" s="8">
        <v>5.37</v>
      </c>
      <c r="I31" s="12">
        <v>0</v>
      </c>
    </row>
    <row r="32" spans="2:9" ht="15" customHeight="1" x14ac:dyDescent="0.2">
      <c r="B32" t="s">
        <v>84</v>
      </c>
      <c r="C32" s="12">
        <v>63</v>
      </c>
      <c r="D32" s="8">
        <v>2.98</v>
      </c>
      <c r="E32" s="12">
        <v>50</v>
      </c>
      <c r="F32" s="8">
        <v>4.4000000000000004</v>
      </c>
      <c r="G32" s="12">
        <v>12</v>
      </c>
      <c r="H32" s="8">
        <v>1.26</v>
      </c>
      <c r="I32" s="12">
        <v>0</v>
      </c>
    </row>
    <row r="33" spans="2:9" ht="15" customHeight="1" x14ac:dyDescent="0.2">
      <c r="B33" t="s">
        <v>83</v>
      </c>
      <c r="C33" s="12">
        <v>61</v>
      </c>
      <c r="D33" s="8">
        <v>2.88</v>
      </c>
      <c r="E33" s="12">
        <v>45</v>
      </c>
      <c r="F33" s="8">
        <v>3.96</v>
      </c>
      <c r="G33" s="12">
        <v>9</v>
      </c>
      <c r="H33" s="8">
        <v>0.95</v>
      </c>
      <c r="I33" s="12">
        <v>0</v>
      </c>
    </row>
    <row r="34" spans="2:9" ht="15" customHeight="1" x14ac:dyDescent="0.2">
      <c r="B34" t="s">
        <v>72</v>
      </c>
      <c r="C34" s="12">
        <v>52</v>
      </c>
      <c r="D34" s="8">
        <v>2.46</v>
      </c>
      <c r="E34" s="12">
        <v>23</v>
      </c>
      <c r="F34" s="8">
        <v>2.02</v>
      </c>
      <c r="G34" s="12">
        <v>29</v>
      </c>
      <c r="H34" s="8">
        <v>3.05</v>
      </c>
      <c r="I34" s="12">
        <v>0</v>
      </c>
    </row>
    <row r="35" spans="2:9" ht="15" customHeight="1" x14ac:dyDescent="0.2">
      <c r="B35" t="s">
        <v>77</v>
      </c>
      <c r="C35" s="12">
        <v>52</v>
      </c>
      <c r="D35" s="8">
        <v>2.46</v>
      </c>
      <c r="E35" s="12">
        <v>19</v>
      </c>
      <c r="F35" s="8">
        <v>1.67</v>
      </c>
      <c r="G35" s="12">
        <v>33</v>
      </c>
      <c r="H35" s="8">
        <v>3.47</v>
      </c>
      <c r="I35" s="12">
        <v>0</v>
      </c>
    </row>
    <row r="36" spans="2:9" ht="15" customHeight="1" x14ac:dyDescent="0.2">
      <c r="B36" t="s">
        <v>80</v>
      </c>
      <c r="C36" s="12">
        <v>52</v>
      </c>
      <c r="D36" s="8">
        <v>2.46</v>
      </c>
      <c r="E36" s="12">
        <v>32</v>
      </c>
      <c r="F36" s="8">
        <v>2.82</v>
      </c>
      <c r="G36" s="12">
        <v>17</v>
      </c>
      <c r="H36" s="8">
        <v>1.79</v>
      </c>
      <c r="I36" s="12">
        <v>0</v>
      </c>
    </row>
    <row r="37" spans="2:9" ht="15" customHeight="1" x14ac:dyDescent="0.2">
      <c r="B37" t="s">
        <v>86</v>
      </c>
      <c r="C37" s="12">
        <v>42</v>
      </c>
      <c r="D37" s="8">
        <v>1.98</v>
      </c>
      <c r="E37" s="12">
        <v>32</v>
      </c>
      <c r="F37" s="8">
        <v>2.82</v>
      </c>
      <c r="G37" s="12">
        <v>10</v>
      </c>
      <c r="H37" s="8">
        <v>1.05</v>
      </c>
      <c r="I37" s="12">
        <v>0</v>
      </c>
    </row>
    <row r="38" spans="2:9" ht="15" customHeight="1" x14ac:dyDescent="0.2">
      <c r="B38" t="s">
        <v>78</v>
      </c>
      <c r="C38" s="12">
        <v>40</v>
      </c>
      <c r="D38" s="8">
        <v>1.89</v>
      </c>
      <c r="E38" s="12">
        <v>30</v>
      </c>
      <c r="F38" s="8">
        <v>2.64</v>
      </c>
      <c r="G38" s="12">
        <v>10</v>
      </c>
      <c r="H38" s="8">
        <v>1.05</v>
      </c>
      <c r="I38" s="12">
        <v>0</v>
      </c>
    </row>
    <row r="39" spans="2:9" ht="15" customHeight="1" x14ac:dyDescent="0.2">
      <c r="B39" t="s">
        <v>79</v>
      </c>
      <c r="C39" s="12">
        <v>40</v>
      </c>
      <c r="D39" s="8">
        <v>1.89</v>
      </c>
      <c r="E39" s="12">
        <v>21</v>
      </c>
      <c r="F39" s="8">
        <v>1.85</v>
      </c>
      <c r="G39" s="12">
        <v>18</v>
      </c>
      <c r="H39" s="8">
        <v>1.89</v>
      </c>
      <c r="I39" s="12">
        <v>0</v>
      </c>
    </row>
    <row r="40" spans="2:9" ht="15" customHeight="1" x14ac:dyDescent="0.2">
      <c r="B40" t="s">
        <v>87</v>
      </c>
      <c r="C40" s="12">
        <v>34</v>
      </c>
      <c r="D40" s="8">
        <v>1.61</v>
      </c>
      <c r="E40" s="12">
        <v>4</v>
      </c>
      <c r="F40" s="8">
        <v>0.35</v>
      </c>
      <c r="G40" s="12">
        <v>30</v>
      </c>
      <c r="H40" s="8">
        <v>3.16</v>
      </c>
      <c r="I40" s="12">
        <v>0</v>
      </c>
    </row>
    <row r="41" spans="2:9" ht="15" customHeight="1" x14ac:dyDescent="0.2">
      <c r="B41" t="s">
        <v>85</v>
      </c>
      <c r="C41" s="12">
        <v>31</v>
      </c>
      <c r="D41" s="8">
        <v>1.46</v>
      </c>
      <c r="E41" s="12">
        <v>2</v>
      </c>
      <c r="F41" s="8">
        <v>0.18</v>
      </c>
      <c r="G41" s="12">
        <v>27</v>
      </c>
      <c r="H41" s="8">
        <v>2.84</v>
      </c>
      <c r="I41" s="12">
        <v>1</v>
      </c>
    </row>
    <row r="42" spans="2:9" ht="15" customHeight="1" x14ac:dyDescent="0.2">
      <c r="B42" t="s">
        <v>91</v>
      </c>
      <c r="C42" s="12">
        <v>29</v>
      </c>
      <c r="D42" s="8">
        <v>1.37</v>
      </c>
      <c r="E42" s="12">
        <v>17</v>
      </c>
      <c r="F42" s="8">
        <v>1.5</v>
      </c>
      <c r="G42" s="12">
        <v>12</v>
      </c>
      <c r="H42" s="8">
        <v>1.26</v>
      </c>
      <c r="I42" s="12">
        <v>0</v>
      </c>
    </row>
    <row r="43" spans="2:9" ht="15" customHeight="1" x14ac:dyDescent="0.2">
      <c r="B43" t="s">
        <v>89</v>
      </c>
      <c r="C43" s="12">
        <v>27</v>
      </c>
      <c r="D43" s="8">
        <v>1.28</v>
      </c>
      <c r="E43" s="12">
        <v>4</v>
      </c>
      <c r="F43" s="8">
        <v>0.35</v>
      </c>
      <c r="G43" s="12">
        <v>23</v>
      </c>
      <c r="H43" s="8">
        <v>2.42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124</v>
      </c>
      <c r="D47" s="8">
        <v>5.86</v>
      </c>
      <c r="E47" s="12">
        <v>120</v>
      </c>
      <c r="F47" s="8">
        <v>10.56</v>
      </c>
      <c r="G47" s="12">
        <v>4</v>
      </c>
      <c r="H47" s="8">
        <v>0.42</v>
      </c>
      <c r="I47" s="12">
        <v>0</v>
      </c>
    </row>
    <row r="48" spans="2:9" ht="15" customHeight="1" x14ac:dyDescent="0.2">
      <c r="B48" t="s">
        <v>138</v>
      </c>
      <c r="C48" s="12">
        <v>69</v>
      </c>
      <c r="D48" s="8">
        <v>3.26</v>
      </c>
      <c r="E48" s="12">
        <v>68</v>
      </c>
      <c r="F48" s="8">
        <v>5.99</v>
      </c>
      <c r="G48" s="12">
        <v>1</v>
      </c>
      <c r="H48" s="8">
        <v>0.11</v>
      </c>
      <c r="I48" s="12">
        <v>0</v>
      </c>
    </row>
    <row r="49" spans="2:9" ht="15" customHeight="1" x14ac:dyDescent="0.2">
      <c r="B49" t="s">
        <v>137</v>
      </c>
      <c r="C49" s="12">
        <v>68</v>
      </c>
      <c r="D49" s="8">
        <v>3.21</v>
      </c>
      <c r="E49" s="12">
        <v>64</v>
      </c>
      <c r="F49" s="8">
        <v>5.63</v>
      </c>
      <c r="G49" s="12">
        <v>4</v>
      </c>
      <c r="H49" s="8">
        <v>0.42</v>
      </c>
      <c r="I49" s="12">
        <v>0</v>
      </c>
    </row>
    <row r="50" spans="2:9" ht="15" customHeight="1" x14ac:dyDescent="0.2">
      <c r="B50" t="s">
        <v>139</v>
      </c>
      <c r="C50" s="12">
        <v>67</v>
      </c>
      <c r="D50" s="8">
        <v>3.16</v>
      </c>
      <c r="E50" s="12">
        <v>65</v>
      </c>
      <c r="F50" s="8">
        <v>5.72</v>
      </c>
      <c r="G50" s="12">
        <v>2</v>
      </c>
      <c r="H50" s="8">
        <v>0.21</v>
      </c>
      <c r="I50" s="12">
        <v>0</v>
      </c>
    </row>
    <row r="51" spans="2:9" ht="15" customHeight="1" x14ac:dyDescent="0.2">
      <c r="B51" t="s">
        <v>130</v>
      </c>
      <c r="C51" s="12">
        <v>56</v>
      </c>
      <c r="D51" s="8">
        <v>2.65</v>
      </c>
      <c r="E51" s="12">
        <v>33</v>
      </c>
      <c r="F51" s="8">
        <v>2.9</v>
      </c>
      <c r="G51" s="12">
        <v>23</v>
      </c>
      <c r="H51" s="8">
        <v>2.42</v>
      </c>
      <c r="I51" s="12">
        <v>0</v>
      </c>
    </row>
    <row r="52" spans="2:9" ht="15" customHeight="1" x14ac:dyDescent="0.2">
      <c r="B52" t="s">
        <v>124</v>
      </c>
      <c r="C52" s="12">
        <v>53</v>
      </c>
      <c r="D52" s="8">
        <v>2.5</v>
      </c>
      <c r="E52" s="12">
        <v>1</v>
      </c>
      <c r="F52" s="8">
        <v>0.09</v>
      </c>
      <c r="G52" s="12">
        <v>52</v>
      </c>
      <c r="H52" s="8">
        <v>5.47</v>
      </c>
      <c r="I52" s="12">
        <v>0</v>
      </c>
    </row>
    <row r="53" spans="2:9" ht="15" customHeight="1" x14ac:dyDescent="0.2">
      <c r="B53" t="s">
        <v>129</v>
      </c>
      <c r="C53" s="12">
        <v>49</v>
      </c>
      <c r="D53" s="8">
        <v>2.31</v>
      </c>
      <c r="E53" s="12">
        <v>35</v>
      </c>
      <c r="F53" s="8">
        <v>3.08</v>
      </c>
      <c r="G53" s="12">
        <v>13</v>
      </c>
      <c r="H53" s="8">
        <v>1.37</v>
      </c>
      <c r="I53" s="12">
        <v>1</v>
      </c>
    </row>
    <row r="54" spans="2:9" ht="15" customHeight="1" x14ac:dyDescent="0.2">
      <c r="B54" t="s">
        <v>136</v>
      </c>
      <c r="C54" s="12">
        <v>49</v>
      </c>
      <c r="D54" s="8">
        <v>2.31</v>
      </c>
      <c r="E54" s="12">
        <v>39</v>
      </c>
      <c r="F54" s="8">
        <v>3.43</v>
      </c>
      <c r="G54" s="12">
        <v>10</v>
      </c>
      <c r="H54" s="8">
        <v>1.05</v>
      </c>
      <c r="I54" s="12">
        <v>0</v>
      </c>
    </row>
    <row r="55" spans="2:9" ht="15" customHeight="1" x14ac:dyDescent="0.2">
      <c r="B55" t="s">
        <v>133</v>
      </c>
      <c r="C55" s="12">
        <v>43</v>
      </c>
      <c r="D55" s="8">
        <v>2.0299999999999998</v>
      </c>
      <c r="E55" s="12">
        <v>27</v>
      </c>
      <c r="F55" s="8">
        <v>2.38</v>
      </c>
      <c r="G55" s="12">
        <v>16</v>
      </c>
      <c r="H55" s="8">
        <v>1.68</v>
      </c>
      <c r="I55" s="12">
        <v>0</v>
      </c>
    </row>
    <row r="56" spans="2:9" ht="15" customHeight="1" x14ac:dyDescent="0.2">
      <c r="B56" t="s">
        <v>142</v>
      </c>
      <c r="C56" s="12">
        <v>43</v>
      </c>
      <c r="D56" s="8">
        <v>2.0299999999999998</v>
      </c>
      <c r="E56" s="12">
        <v>40</v>
      </c>
      <c r="F56" s="8">
        <v>3.52</v>
      </c>
      <c r="G56" s="12">
        <v>3</v>
      </c>
      <c r="H56" s="8">
        <v>0.32</v>
      </c>
      <c r="I56" s="12">
        <v>0</v>
      </c>
    </row>
    <row r="57" spans="2:9" ht="15" customHeight="1" x14ac:dyDescent="0.2">
      <c r="B57" t="s">
        <v>143</v>
      </c>
      <c r="C57" s="12">
        <v>42</v>
      </c>
      <c r="D57" s="8">
        <v>1.98</v>
      </c>
      <c r="E57" s="12">
        <v>32</v>
      </c>
      <c r="F57" s="8">
        <v>2.82</v>
      </c>
      <c r="G57" s="12">
        <v>10</v>
      </c>
      <c r="H57" s="8">
        <v>1.05</v>
      </c>
      <c r="I57" s="12">
        <v>0</v>
      </c>
    </row>
    <row r="58" spans="2:9" ht="15" customHeight="1" x14ac:dyDescent="0.2">
      <c r="B58" t="s">
        <v>158</v>
      </c>
      <c r="C58" s="12">
        <v>38</v>
      </c>
      <c r="D58" s="8">
        <v>1.79</v>
      </c>
      <c r="E58" s="12">
        <v>29</v>
      </c>
      <c r="F58" s="8">
        <v>2.5499999999999998</v>
      </c>
      <c r="G58" s="12">
        <v>9</v>
      </c>
      <c r="H58" s="8">
        <v>0.95</v>
      </c>
      <c r="I58" s="12">
        <v>0</v>
      </c>
    </row>
    <row r="59" spans="2:9" ht="15" customHeight="1" x14ac:dyDescent="0.2">
      <c r="B59" t="s">
        <v>126</v>
      </c>
      <c r="C59" s="12">
        <v>37</v>
      </c>
      <c r="D59" s="8">
        <v>1.75</v>
      </c>
      <c r="E59" s="12">
        <v>13</v>
      </c>
      <c r="F59" s="8">
        <v>1.1399999999999999</v>
      </c>
      <c r="G59" s="12">
        <v>24</v>
      </c>
      <c r="H59" s="8">
        <v>2.5299999999999998</v>
      </c>
      <c r="I59" s="12">
        <v>0</v>
      </c>
    </row>
    <row r="60" spans="2:9" ht="15" customHeight="1" x14ac:dyDescent="0.2">
      <c r="B60" t="s">
        <v>127</v>
      </c>
      <c r="C60" s="12">
        <v>36</v>
      </c>
      <c r="D60" s="8">
        <v>1.7</v>
      </c>
      <c r="E60" s="12">
        <v>27</v>
      </c>
      <c r="F60" s="8">
        <v>2.38</v>
      </c>
      <c r="G60" s="12">
        <v>9</v>
      </c>
      <c r="H60" s="8">
        <v>0.95</v>
      </c>
      <c r="I60" s="12">
        <v>0</v>
      </c>
    </row>
    <row r="61" spans="2:9" ht="15" customHeight="1" x14ac:dyDescent="0.2">
      <c r="B61" t="s">
        <v>131</v>
      </c>
      <c r="C61" s="12">
        <v>34</v>
      </c>
      <c r="D61" s="8">
        <v>1.61</v>
      </c>
      <c r="E61" s="12">
        <v>11</v>
      </c>
      <c r="F61" s="8">
        <v>0.97</v>
      </c>
      <c r="G61" s="12">
        <v>23</v>
      </c>
      <c r="H61" s="8">
        <v>2.42</v>
      </c>
      <c r="I61" s="12">
        <v>0</v>
      </c>
    </row>
    <row r="62" spans="2:9" ht="15" customHeight="1" x14ac:dyDescent="0.2">
      <c r="B62" t="s">
        <v>157</v>
      </c>
      <c r="C62" s="12">
        <v>32</v>
      </c>
      <c r="D62" s="8">
        <v>1.51</v>
      </c>
      <c r="E62" s="12">
        <v>12</v>
      </c>
      <c r="F62" s="8">
        <v>1.06</v>
      </c>
      <c r="G62" s="12">
        <v>20</v>
      </c>
      <c r="H62" s="8">
        <v>2.11</v>
      </c>
      <c r="I62" s="12">
        <v>0</v>
      </c>
    </row>
    <row r="63" spans="2:9" ht="15" customHeight="1" x14ac:dyDescent="0.2">
      <c r="B63" t="s">
        <v>132</v>
      </c>
      <c r="C63" s="12">
        <v>32</v>
      </c>
      <c r="D63" s="8">
        <v>1.51</v>
      </c>
      <c r="E63" s="12">
        <v>5</v>
      </c>
      <c r="F63" s="8">
        <v>0.44</v>
      </c>
      <c r="G63" s="12">
        <v>27</v>
      </c>
      <c r="H63" s="8">
        <v>2.84</v>
      </c>
      <c r="I63" s="12">
        <v>0</v>
      </c>
    </row>
    <row r="64" spans="2:9" ht="15" customHeight="1" x14ac:dyDescent="0.2">
      <c r="B64" t="s">
        <v>141</v>
      </c>
      <c r="C64" s="12">
        <v>30</v>
      </c>
      <c r="D64" s="8">
        <v>1.42</v>
      </c>
      <c r="E64" s="12">
        <v>25</v>
      </c>
      <c r="F64" s="8">
        <v>2.2000000000000002</v>
      </c>
      <c r="G64" s="12">
        <v>5</v>
      </c>
      <c r="H64" s="8">
        <v>0.53</v>
      </c>
      <c r="I64" s="12">
        <v>0</v>
      </c>
    </row>
    <row r="65" spans="2:9" ht="15" customHeight="1" x14ac:dyDescent="0.2">
      <c r="B65" t="s">
        <v>156</v>
      </c>
      <c r="C65" s="12">
        <v>29</v>
      </c>
      <c r="D65" s="8">
        <v>1.37</v>
      </c>
      <c r="E65" s="12">
        <v>23</v>
      </c>
      <c r="F65" s="8">
        <v>2.02</v>
      </c>
      <c r="G65" s="12">
        <v>5</v>
      </c>
      <c r="H65" s="8">
        <v>0.53</v>
      </c>
      <c r="I65" s="12">
        <v>1</v>
      </c>
    </row>
    <row r="66" spans="2:9" ht="15" customHeight="1" x14ac:dyDescent="0.2">
      <c r="B66" t="s">
        <v>134</v>
      </c>
      <c r="C66" s="12">
        <v>28</v>
      </c>
      <c r="D66" s="8">
        <v>1.32</v>
      </c>
      <c r="E66" s="12">
        <v>15</v>
      </c>
      <c r="F66" s="8">
        <v>1.32</v>
      </c>
      <c r="G66" s="12">
        <v>13</v>
      </c>
      <c r="H66" s="8">
        <v>1.37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2537-4E9D-4A98-808C-B59779558A2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167</v>
      </c>
      <c r="D6" s="8">
        <v>14.98</v>
      </c>
      <c r="E6" s="12">
        <v>58</v>
      </c>
      <c r="F6" s="8">
        <v>8.85</v>
      </c>
      <c r="G6" s="12">
        <v>109</v>
      </c>
      <c r="H6" s="8">
        <v>25.95</v>
      </c>
      <c r="I6" s="12">
        <v>0</v>
      </c>
    </row>
    <row r="7" spans="2:9" ht="15" customHeight="1" x14ac:dyDescent="0.2">
      <c r="B7" t="s">
        <v>46</v>
      </c>
      <c r="C7" s="12">
        <v>98</v>
      </c>
      <c r="D7" s="8">
        <v>8.7899999999999991</v>
      </c>
      <c r="E7" s="12">
        <v>42</v>
      </c>
      <c r="F7" s="8">
        <v>6.41</v>
      </c>
      <c r="G7" s="12">
        <v>56</v>
      </c>
      <c r="H7" s="8">
        <v>13.33</v>
      </c>
      <c r="I7" s="12">
        <v>0</v>
      </c>
    </row>
    <row r="8" spans="2:9" ht="15" customHeight="1" x14ac:dyDescent="0.2">
      <c r="B8" t="s">
        <v>47</v>
      </c>
      <c r="C8" s="12">
        <v>8</v>
      </c>
      <c r="D8" s="8">
        <v>0.72</v>
      </c>
      <c r="E8" s="12">
        <v>0</v>
      </c>
      <c r="F8" s="8">
        <v>0</v>
      </c>
      <c r="G8" s="12">
        <v>5</v>
      </c>
      <c r="H8" s="8">
        <v>1.19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0.18</v>
      </c>
      <c r="E9" s="12">
        <v>0</v>
      </c>
      <c r="F9" s="8">
        <v>0</v>
      </c>
      <c r="G9" s="12">
        <v>2</v>
      </c>
      <c r="H9" s="8">
        <v>0.48</v>
      </c>
      <c r="I9" s="12">
        <v>0</v>
      </c>
    </row>
    <row r="10" spans="2:9" ht="15" customHeight="1" x14ac:dyDescent="0.2">
      <c r="B10" t="s">
        <v>49</v>
      </c>
      <c r="C10" s="12">
        <v>9</v>
      </c>
      <c r="D10" s="8">
        <v>0.81</v>
      </c>
      <c r="E10" s="12">
        <v>4</v>
      </c>
      <c r="F10" s="8">
        <v>0.61</v>
      </c>
      <c r="G10" s="12">
        <v>5</v>
      </c>
      <c r="H10" s="8">
        <v>1.19</v>
      </c>
      <c r="I10" s="12">
        <v>0</v>
      </c>
    </row>
    <row r="11" spans="2:9" ht="15" customHeight="1" x14ac:dyDescent="0.2">
      <c r="B11" t="s">
        <v>50</v>
      </c>
      <c r="C11" s="12">
        <v>294</v>
      </c>
      <c r="D11" s="8">
        <v>26.37</v>
      </c>
      <c r="E11" s="12">
        <v>180</v>
      </c>
      <c r="F11" s="8">
        <v>27.48</v>
      </c>
      <c r="G11" s="12">
        <v>112</v>
      </c>
      <c r="H11" s="8">
        <v>26.67</v>
      </c>
      <c r="I11" s="12">
        <v>2</v>
      </c>
    </row>
    <row r="12" spans="2:9" ht="15" customHeight="1" x14ac:dyDescent="0.2">
      <c r="B12" t="s">
        <v>51</v>
      </c>
      <c r="C12" s="12">
        <v>3</v>
      </c>
      <c r="D12" s="8">
        <v>0.27</v>
      </c>
      <c r="E12" s="12">
        <v>0</v>
      </c>
      <c r="F12" s="8">
        <v>0</v>
      </c>
      <c r="G12" s="12">
        <v>3</v>
      </c>
      <c r="H12" s="8">
        <v>0.71</v>
      </c>
      <c r="I12" s="12">
        <v>0</v>
      </c>
    </row>
    <row r="13" spans="2:9" ht="15" customHeight="1" x14ac:dyDescent="0.2">
      <c r="B13" t="s">
        <v>52</v>
      </c>
      <c r="C13" s="12">
        <v>37</v>
      </c>
      <c r="D13" s="8">
        <v>3.32</v>
      </c>
      <c r="E13" s="12">
        <v>14</v>
      </c>
      <c r="F13" s="8">
        <v>2.14</v>
      </c>
      <c r="G13" s="12">
        <v>23</v>
      </c>
      <c r="H13" s="8">
        <v>5.48</v>
      </c>
      <c r="I13" s="12">
        <v>0</v>
      </c>
    </row>
    <row r="14" spans="2:9" ht="15" customHeight="1" x14ac:dyDescent="0.2">
      <c r="B14" t="s">
        <v>53</v>
      </c>
      <c r="C14" s="12">
        <v>52</v>
      </c>
      <c r="D14" s="8">
        <v>4.66</v>
      </c>
      <c r="E14" s="12">
        <v>28</v>
      </c>
      <c r="F14" s="8">
        <v>4.2699999999999996</v>
      </c>
      <c r="G14" s="12">
        <v>24</v>
      </c>
      <c r="H14" s="8">
        <v>5.71</v>
      </c>
      <c r="I14" s="12">
        <v>0</v>
      </c>
    </row>
    <row r="15" spans="2:9" ht="15" customHeight="1" x14ac:dyDescent="0.2">
      <c r="B15" t="s">
        <v>54</v>
      </c>
      <c r="C15" s="12">
        <v>123</v>
      </c>
      <c r="D15" s="8">
        <v>11.03</v>
      </c>
      <c r="E15" s="12">
        <v>99</v>
      </c>
      <c r="F15" s="8">
        <v>15.11</v>
      </c>
      <c r="G15" s="12">
        <v>24</v>
      </c>
      <c r="H15" s="8">
        <v>5.71</v>
      </c>
      <c r="I15" s="12">
        <v>0</v>
      </c>
    </row>
    <row r="16" spans="2:9" ht="15" customHeight="1" x14ac:dyDescent="0.2">
      <c r="B16" t="s">
        <v>55</v>
      </c>
      <c r="C16" s="12">
        <v>156</v>
      </c>
      <c r="D16" s="8">
        <v>13.99</v>
      </c>
      <c r="E16" s="12">
        <v>129</v>
      </c>
      <c r="F16" s="8">
        <v>19.690000000000001</v>
      </c>
      <c r="G16" s="12">
        <v>23</v>
      </c>
      <c r="H16" s="8">
        <v>5.48</v>
      </c>
      <c r="I16" s="12">
        <v>0</v>
      </c>
    </row>
    <row r="17" spans="2:9" ht="15" customHeight="1" x14ac:dyDescent="0.2">
      <c r="B17" t="s">
        <v>56</v>
      </c>
      <c r="C17" s="12">
        <v>67</v>
      </c>
      <c r="D17" s="8">
        <v>6.01</v>
      </c>
      <c r="E17" s="12">
        <v>41</v>
      </c>
      <c r="F17" s="8">
        <v>6.26</v>
      </c>
      <c r="G17" s="12">
        <v>4</v>
      </c>
      <c r="H17" s="8">
        <v>0.95</v>
      </c>
      <c r="I17" s="12">
        <v>0</v>
      </c>
    </row>
    <row r="18" spans="2:9" ht="15" customHeight="1" x14ac:dyDescent="0.2">
      <c r="B18" t="s">
        <v>57</v>
      </c>
      <c r="C18" s="12">
        <v>57</v>
      </c>
      <c r="D18" s="8">
        <v>5.1100000000000003</v>
      </c>
      <c r="E18" s="12">
        <v>37</v>
      </c>
      <c r="F18" s="8">
        <v>5.65</v>
      </c>
      <c r="G18" s="12">
        <v>15</v>
      </c>
      <c r="H18" s="8">
        <v>3.57</v>
      </c>
      <c r="I18" s="12">
        <v>0</v>
      </c>
    </row>
    <row r="19" spans="2:9" ht="15" customHeight="1" x14ac:dyDescent="0.2">
      <c r="B19" t="s">
        <v>58</v>
      </c>
      <c r="C19" s="12">
        <v>42</v>
      </c>
      <c r="D19" s="8">
        <v>3.77</v>
      </c>
      <c r="E19" s="12">
        <v>23</v>
      </c>
      <c r="F19" s="8">
        <v>3.51</v>
      </c>
      <c r="G19" s="12">
        <v>15</v>
      </c>
      <c r="H19" s="8">
        <v>3.57</v>
      </c>
      <c r="I19" s="12">
        <v>1</v>
      </c>
    </row>
    <row r="20" spans="2:9" ht="15" customHeight="1" x14ac:dyDescent="0.2">
      <c r="B20" s="9" t="s">
        <v>241</v>
      </c>
      <c r="C20" s="12">
        <f>SUM(LTBL_46216[総数／事業所数])</f>
        <v>1115</v>
      </c>
      <c r="E20" s="12">
        <f>SUBTOTAL(109,LTBL_46216[個人／事業所数])</f>
        <v>655</v>
      </c>
      <c r="G20" s="12">
        <f>SUBTOTAL(109,LTBL_46216[法人／事業所数])</f>
        <v>420</v>
      </c>
      <c r="I20" s="12">
        <f>SUBTOTAL(109,LTBL_46216[法人以外の団体／事業所数])</f>
        <v>3</v>
      </c>
    </row>
    <row r="21" spans="2:9" ht="15" customHeight="1" x14ac:dyDescent="0.2">
      <c r="E21" s="11">
        <f>LTBL_46216[[#Totals],[個人／事業所数]]/LTBL_46216[[#Totals],[総数／事業所数]]</f>
        <v>0.58744394618834084</v>
      </c>
      <c r="G21" s="11">
        <f>LTBL_46216[[#Totals],[法人／事業所数]]/LTBL_46216[[#Totals],[総数／事業所数]]</f>
        <v>0.37668161434977576</v>
      </c>
      <c r="I21" s="11">
        <f>LTBL_46216[[#Totals],[法人以外の団体／事業所数]]/LTBL_46216[[#Totals],[総数／事業所数]]</f>
        <v>2.6905829596412557E-3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127</v>
      </c>
      <c r="D24" s="8">
        <v>11.39</v>
      </c>
      <c r="E24" s="12">
        <v>110</v>
      </c>
      <c r="F24" s="8">
        <v>16.79</v>
      </c>
      <c r="G24" s="12">
        <v>17</v>
      </c>
      <c r="H24" s="8">
        <v>4.05</v>
      </c>
      <c r="I24" s="12">
        <v>0</v>
      </c>
    </row>
    <row r="25" spans="2:9" ht="15" customHeight="1" x14ac:dyDescent="0.2">
      <c r="B25" t="s">
        <v>81</v>
      </c>
      <c r="C25" s="12">
        <v>100</v>
      </c>
      <c r="D25" s="8">
        <v>8.9700000000000006</v>
      </c>
      <c r="E25" s="12">
        <v>89</v>
      </c>
      <c r="F25" s="8">
        <v>13.59</v>
      </c>
      <c r="G25" s="12">
        <v>11</v>
      </c>
      <c r="H25" s="8">
        <v>2.62</v>
      </c>
      <c r="I25" s="12">
        <v>0</v>
      </c>
    </row>
    <row r="26" spans="2:9" ht="15" customHeight="1" x14ac:dyDescent="0.2">
      <c r="B26" t="s">
        <v>75</v>
      </c>
      <c r="C26" s="12">
        <v>90</v>
      </c>
      <c r="D26" s="8">
        <v>8.07</v>
      </c>
      <c r="E26" s="12">
        <v>47</v>
      </c>
      <c r="F26" s="8">
        <v>7.18</v>
      </c>
      <c r="G26" s="12">
        <v>43</v>
      </c>
      <c r="H26" s="8">
        <v>10.24</v>
      </c>
      <c r="I26" s="12">
        <v>0</v>
      </c>
    </row>
    <row r="27" spans="2:9" ht="15" customHeight="1" x14ac:dyDescent="0.2">
      <c r="B27" t="s">
        <v>67</v>
      </c>
      <c r="C27" s="12">
        <v>87</v>
      </c>
      <c r="D27" s="8">
        <v>7.8</v>
      </c>
      <c r="E27" s="12">
        <v>20</v>
      </c>
      <c r="F27" s="8">
        <v>3.05</v>
      </c>
      <c r="G27" s="12">
        <v>67</v>
      </c>
      <c r="H27" s="8">
        <v>15.95</v>
      </c>
      <c r="I27" s="12">
        <v>0</v>
      </c>
    </row>
    <row r="28" spans="2:9" ht="15" customHeight="1" x14ac:dyDescent="0.2">
      <c r="B28" t="s">
        <v>73</v>
      </c>
      <c r="C28" s="12">
        <v>78</v>
      </c>
      <c r="D28" s="8">
        <v>7</v>
      </c>
      <c r="E28" s="12">
        <v>60</v>
      </c>
      <c r="F28" s="8">
        <v>9.16</v>
      </c>
      <c r="G28" s="12">
        <v>16</v>
      </c>
      <c r="H28" s="8">
        <v>3.81</v>
      </c>
      <c r="I28" s="12">
        <v>2</v>
      </c>
    </row>
    <row r="29" spans="2:9" ht="15" customHeight="1" x14ac:dyDescent="0.2">
      <c r="B29" t="s">
        <v>83</v>
      </c>
      <c r="C29" s="12">
        <v>67</v>
      </c>
      <c r="D29" s="8">
        <v>6.01</v>
      </c>
      <c r="E29" s="12">
        <v>41</v>
      </c>
      <c r="F29" s="8">
        <v>6.26</v>
      </c>
      <c r="G29" s="12">
        <v>4</v>
      </c>
      <c r="H29" s="8">
        <v>0.95</v>
      </c>
      <c r="I29" s="12">
        <v>0</v>
      </c>
    </row>
    <row r="30" spans="2:9" ht="15" customHeight="1" x14ac:dyDescent="0.2">
      <c r="B30" t="s">
        <v>74</v>
      </c>
      <c r="C30" s="12">
        <v>53</v>
      </c>
      <c r="D30" s="8">
        <v>4.75</v>
      </c>
      <c r="E30" s="12">
        <v>36</v>
      </c>
      <c r="F30" s="8">
        <v>5.5</v>
      </c>
      <c r="G30" s="12">
        <v>17</v>
      </c>
      <c r="H30" s="8">
        <v>4.05</v>
      </c>
      <c r="I30" s="12">
        <v>0</v>
      </c>
    </row>
    <row r="31" spans="2:9" ht="15" customHeight="1" x14ac:dyDescent="0.2">
      <c r="B31" t="s">
        <v>68</v>
      </c>
      <c r="C31" s="12">
        <v>43</v>
      </c>
      <c r="D31" s="8">
        <v>3.86</v>
      </c>
      <c r="E31" s="12">
        <v>24</v>
      </c>
      <c r="F31" s="8">
        <v>3.66</v>
      </c>
      <c r="G31" s="12">
        <v>19</v>
      </c>
      <c r="H31" s="8">
        <v>4.5199999999999996</v>
      </c>
      <c r="I31" s="12">
        <v>0</v>
      </c>
    </row>
    <row r="32" spans="2:9" ht="15" customHeight="1" x14ac:dyDescent="0.2">
      <c r="B32" t="s">
        <v>84</v>
      </c>
      <c r="C32" s="12">
        <v>39</v>
      </c>
      <c r="D32" s="8">
        <v>3.5</v>
      </c>
      <c r="E32" s="12">
        <v>37</v>
      </c>
      <c r="F32" s="8">
        <v>5.65</v>
      </c>
      <c r="G32" s="12">
        <v>2</v>
      </c>
      <c r="H32" s="8">
        <v>0.48</v>
      </c>
      <c r="I32" s="12">
        <v>0</v>
      </c>
    </row>
    <row r="33" spans="2:9" ht="15" customHeight="1" x14ac:dyDescent="0.2">
      <c r="B33" t="s">
        <v>69</v>
      </c>
      <c r="C33" s="12">
        <v>37</v>
      </c>
      <c r="D33" s="8">
        <v>3.32</v>
      </c>
      <c r="E33" s="12">
        <v>14</v>
      </c>
      <c r="F33" s="8">
        <v>2.14</v>
      </c>
      <c r="G33" s="12">
        <v>23</v>
      </c>
      <c r="H33" s="8">
        <v>5.48</v>
      </c>
      <c r="I33" s="12">
        <v>0</v>
      </c>
    </row>
    <row r="34" spans="2:9" ht="15" customHeight="1" x14ac:dyDescent="0.2">
      <c r="B34" t="s">
        <v>78</v>
      </c>
      <c r="C34" s="12">
        <v>29</v>
      </c>
      <c r="D34" s="8">
        <v>2.6</v>
      </c>
      <c r="E34" s="12">
        <v>22</v>
      </c>
      <c r="F34" s="8">
        <v>3.36</v>
      </c>
      <c r="G34" s="12">
        <v>7</v>
      </c>
      <c r="H34" s="8">
        <v>1.67</v>
      </c>
      <c r="I34" s="12">
        <v>0</v>
      </c>
    </row>
    <row r="35" spans="2:9" ht="15" customHeight="1" x14ac:dyDescent="0.2">
      <c r="B35" t="s">
        <v>72</v>
      </c>
      <c r="C35" s="12">
        <v>26</v>
      </c>
      <c r="D35" s="8">
        <v>2.33</v>
      </c>
      <c r="E35" s="12">
        <v>23</v>
      </c>
      <c r="F35" s="8">
        <v>3.51</v>
      </c>
      <c r="G35" s="12">
        <v>3</v>
      </c>
      <c r="H35" s="8">
        <v>0.71</v>
      </c>
      <c r="I35" s="12">
        <v>0</v>
      </c>
    </row>
    <row r="36" spans="2:9" ht="15" customHeight="1" x14ac:dyDescent="0.2">
      <c r="B36" t="s">
        <v>77</v>
      </c>
      <c r="C36" s="12">
        <v>24</v>
      </c>
      <c r="D36" s="8">
        <v>2.15</v>
      </c>
      <c r="E36" s="12">
        <v>10</v>
      </c>
      <c r="F36" s="8">
        <v>1.53</v>
      </c>
      <c r="G36" s="12">
        <v>14</v>
      </c>
      <c r="H36" s="8">
        <v>3.33</v>
      </c>
      <c r="I36" s="12">
        <v>0</v>
      </c>
    </row>
    <row r="37" spans="2:9" ht="15" customHeight="1" x14ac:dyDescent="0.2">
      <c r="B37" t="s">
        <v>86</v>
      </c>
      <c r="C37" s="12">
        <v>24</v>
      </c>
      <c r="D37" s="8">
        <v>2.15</v>
      </c>
      <c r="E37" s="12">
        <v>22</v>
      </c>
      <c r="F37" s="8">
        <v>3.36</v>
      </c>
      <c r="G37" s="12">
        <v>2</v>
      </c>
      <c r="H37" s="8">
        <v>0.48</v>
      </c>
      <c r="I37" s="12">
        <v>0</v>
      </c>
    </row>
    <row r="38" spans="2:9" ht="15" customHeight="1" x14ac:dyDescent="0.2">
      <c r="B38" t="s">
        <v>79</v>
      </c>
      <c r="C38" s="12">
        <v>22</v>
      </c>
      <c r="D38" s="8">
        <v>1.97</v>
      </c>
      <c r="E38" s="12">
        <v>6</v>
      </c>
      <c r="F38" s="8">
        <v>0.92</v>
      </c>
      <c r="G38" s="12">
        <v>16</v>
      </c>
      <c r="H38" s="8">
        <v>3.81</v>
      </c>
      <c r="I38" s="12">
        <v>0</v>
      </c>
    </row>
    <row r="39" spans="2:9" ht="15" customHeight="1" x14ac:dyDescent="0.2">
      <c r="B39" t="s">
        <v>91</v>
      </c>
      <c r="C39" s="12">
        <v>21</v>
      </c>
      <c r="D39" s="8">
        <v>1.88</v>
      </c>
      <c r="E39" s="12">
        <v>17</v>
      </c>
      <c r="F39" s="8">
        <v>2.6</v>
      </c>
      <c r="G39" s="12">
        <v>4</v>
      </c>
      <c r="H39" s="8">
        <v>0.95</v>
      </c>
      <c r="I39" s="12">
        <v>0</v>
      </c>
    </row>
    <row r="40" spans="2:9" ht="15" customHeight="1" x14ac:dyDescent="0.2">
      <c r="B40" t="s">
        <v>70</v>
      </c>
      <c r="C40" s="12">
        <v>19</v>
      </c>
      <c r="D40" s="8">
        <v>1.7</v>
      </c>
      <c r="E40" s="12">
        <v>9</v>
      </c>
      <c r="F40" s="8">
        <v>1.37</v>
      </c>
      <c r="G40" s="12">
        <v>10</v>
      </c>
      <c r="H40" s="8">
        <v>2.38</v>
      </c>
      <c r="I40" s="12">
        <v>0</v>
      </c>
    </row>
    <row r="41" spans="2:9" ht="15" customHeight="1" x14ac:dyDescent="0.2">
      <c r="B41" t="s">
        <v>85</v>
      </c>
      <c r="C41" s="12">
        <v>18</v>
      </c>
      <c r="D41" s="8">
        <v>1.61</v>
      </c>
      <c r="E41" s="12">
        <v>0</v>
      </c>
      <c r="F41" s="8">
        <v>0</v>
      </c>
      <c r="G41" s="12">
        <v>13</v>
      </c>
      <c r="H41" s="8">
        <v>3.1</v>
      </c>
      <c r="I41" s="12">
        <v>0</v>
      </c>
    </row>
    <row r="42" spans="2:9" ht="15" customHeight="1" x14ac:dyDescent="0.2">
      <c r="B42" t="s">
        <v>98</v>
      </c>
      <c r="C42" s="12">
        <v>17</v>
      </c>
      <c r="D42" s="8">
        <v>1.52</v>
      </c>
      <c r="E42" s="12">
        <v>8</v>
      </c>
      <c r="F42" s="8">
        <v>1.22</v>
      </c>
      <c r="G42" s="12">
        <v>9</v>
      </c>
      <c r="H42" s="8">
        <v>2.14</v>
      </c>
      <c r="I42" s="12">
        <v>0</v>
      </c>
    </row>
    <row r="43" spans="2:9" ht="15" customHeight="1" x14ac:dyDescent="0.2">
      <c r="B43" t="s">
        <v>90</v>
      </c>
      <c r="C43" s="12">
        <v>16</v>
      </c>
      <c r="D43" s="8">
        <v>1.43</v>
      </c>
      <c r="E43" s="12">
        <v>5</v>
      </c>
      <c r="F43" s="8">
        <v>0.76</v>
      </c>
      <c r="G43" s="12">
        <v>11</v>
      </c>
      <c r="H43" s="8">
        <v>2.62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70</v>
      </c>
      <c r="D47" s="8">
        <v>6.28</v>
      </c>
      <c r="E47" s="12">
        <v>66</v>
      </c>
      <c r="F47" s="8">
        <v>10.08</v>
      </c>
      <c r="G47" s="12">
        <v>4</v>
      </c>
      <c r="H47" s="8">
        <v>0.95</v>
      </c>
      <c r="I47" s="12">
        <v>0</v>
      </c>
    </row>
    <row r="48" spans="2:9" ht="15" customHeight="1" x14ac:dyDescent="0.2">
      <c r="B48" t="s">
        <v>130</v>
      </c>
      <c r="C48" s="12">
        <v>43</v>
      </c>
      <c r="D48" s="8">
        <v>3.86</v>
      </c>
      <c r="E48" s="12">
        <v>31</v>
      </c>
      <c r="F48" s="8">
        <v>4.7300000000000004</v>
      </c>
      <c r="G48" s="12">
        <v>12</v>
      </c>
      <c r="H48" s="8">
        <v>2.86</v>
      </c>
      <c r="I48" s="12">
        <v>0</v>
      </c>
    </row>
    <row r="49" spans="2:9" ht="15" customHeight="1" x14ac:dyDescent="0.2">
      <c r="B49" t="s">
        <v>124</v>
      </c>
      <c r="C49" s="12">
        <v>39</v>
      </c>
      <c r="D49" s="8">
        <v>3.5</v>
      </c>
      <c r="E49" s="12">
        <v>2</v>
      </c>
      <c r="F49" s="8">
        <v>0.31</v>
      </c>
      <c r="G49" s="12">
        <v>37</v>
      </c>
      <c r="H49" s="8">
        <v>8.81</v>
      </c>
      <c r="I49" s="12">
        <v>0</v>
      </c>
    </row>
    <row r="50" spans="2:9" ht="15" customHeight="1" x14ac:dyDescent="0.2">
      <c r="B50" t="s">
        <v>139</v>
      </c>
      <c r="C50" s="12">
        <v>34</v>
      </c>
      <c r="D50" s="8">
        <v>3.05</v>
      </c>
      <c r="E50" s="12">
        <v>33</v>
      </c>
      <c r="F50" s="8">
        <v>5.04</v>
      </c>
      <c r="G50" s="12">
        <v>1</v>
      </c>
      <c r="H50" s="8">
        <v>0.24</v>
      </c>
      <c r="I50" s="12">
        <v>0</v>
      </c>
    </row>
    <row r="51" spans="2:9" ht="15" customHeight="1" x14ac:dyDescent="0.2">
      <c r="B51" t="s">
        <v>142</v>
      </c>
      <c r="C51" s="12">
        <v>32</v>
      </c>
      <c r="D51" s="8">
        <v>2.87</v>
      </c>
      <c r="E51" s="12">
        <v>30</v>
      </c>
      <c r="F51" s="8">
        <v>4.58</v>
      </c>
      <c r="G51" s="12">
        <v>2</v>
      </c>
      <c r="H51" s="8">
        <v>0.48</v>
      </c>
      <c r="I51" s="12">
        <v>0</v>
      </c>
    </row>
    <row r="52" spans="2:9" ht="15" customHeight="1" x14ac:dyDescent="0.2">
      <c r="B52" t="s">
        <v>141</v>
      </c>
      <c r="C52" s="12">
        <v>30</v>
      </c>
      <c r="D52" s="8">
        <v>2.69</v>
      </c>
      <c r="E52" s="12">
        <v>26</v>
      </c>
      <c r="F52" s="8">
        <v>3.97</v>
      </c>
      <c r="G52" s="12">
        <v>4</v>
      </c>
      <c r="H52" s="8">
        <v>0.95</v>
      </c>
      <c r="I52" s="12">
        <v>0</v>
      </c>
    </row>
    <row r="53" spans="2:9" ht="15" customHeight="1" x14ac:dyDescent="0.2">
      <c r="B53" t="s">
        <v>136</v>
      </c>
      <c r="C53" s="12">
        <v>29</v>
      </c>
      <c r="D53" s="8">
        <v>2.6</v>
      </c>
      <c r="E53" s="12">
        <v>24</v>
      </c>
      <c r="F53" s="8">
        <v>3.66</v>
      </c>
      <c r="G53" s="12">
        <v>5</v>
      </c>
      <c r="H53" s="8">
        <v>1.19</v>
      </c>
      <c r="I53" s="12">
        <v>0</v>
      </c>
    </row>
    <row r="54" spans="2:9" ht="15" customHeight="1" x14ac:dyDescent="0.2">
      <c r="B54" t="s">
        <v>143</v>
      </c>
      <c r="C54" s="12">
        <v>24</v>
      </c>
      <c r="D54" s="8">
        <v>2.15</v>
      </c>
      <c r="E54" s="12">
        <v>22</v>
      </c>
      <c r="F54" s="8">
        <v>3.36</v>
      </c>
      <c r="G54" s="12">
        <v>2</v>
      </c>
      <c r="H54" s="8">
        <v>0.48</v>
      </c>
      <c r="I54" s="12">
        <v>0</v>
      </c>
    </row>
    <row r="55" spans="2:9" ht="15" customHeight="1" x14ac:dyDescent="0.2">
      <c r="B55" t="s">
        <v>157</v>
      </c>
      <c r="C55" s="12">
        <v>23</v>
      </c>
      <c r="D55" s="8">
        <v>2.06</v>
      </c>
      <c r="E55" s="12">
        <v>10</v>
      </c>
      <c r="F55" s="8">
        <v>1.53</v>
      </c>
      <c r="G55" s="12">
        <v>13</v>
      </c>
      <c r="H55" s="8">
        <v>3.1</v>
      </c>
      <c r="I55" s="12">
        <v>0</v>
      </c>
    </row>
    <row r="56" spans="2:9" ht="15" customHeight="1" x14ac:dyDescent="0.2">
      <c r="B56" t="s">
        <v>165</v>
      </c>
      <c r="C56" s="12">
        <v>22</v>
      </c>
      <c r="D56" s="8">
        <v>1.97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21</v>
      </c>
      <c r="D57" s="8">
        <v>1.88</v>
      </c>
      <c r="E57" s="12">
        <v>14</v>
      </c>
      <c r="F57" s="8">
        <v>2.14</v>
      </c>
      <c r="G57" s="12">
        <v>7</v>
      </c>
      <c r="H57" s="8">
        <v>1.67</v>
      </c>
      <c r="I57" s="12">
        <v>0</v>
      </c>
    </row>
    <row r="58" spans="2:9" ht="15" customHeight="1" x14ac:dyDescent="0.2">
      <c r="B58" t="s">
        <v>126</v>
      </c>
      <c r="C58" s="12">
        <v>17</v>
      </c>
      <c r="D58" s="8">
        <v>1.52</v>
      </c>
      <c r="E58" s="12">
        <v>9</v>
      </c>
      <c r="F58" s="8">
        <v>1.37</v>
      </c>
      <c r="G58" s="12">
        <v>8</v>
      </c>
      <c r="H58" s="8">
        <v>1.9</v>
      </c>
      <c r="I58" s="12">
        <v>0</v>
      </c>
    </row>
    <row r="59" spans="2:9" ht="15" customHeight="1" x14ac:dyDescent="0.2">
      <c r="B59" t="s">
        <v>127</v>
      </c>
      <c r="C59" s="12">
        <v>17</v>
      </c>
      <c r="D59" s="8">
        <v>1.52</v>
      </c>
      <c r="E59" s="12">
        <v>13</v>
      </c>
      <c r="F59" s="8">
        <v>1.98</v>
      </c>
      <c r="G59" s="12">
        <v>4</v>
      </c>
      <c r="H59" s="8">
        <v>0.95</v>
      </c>
      <c r="I59" s="12">
        <v>0</v>
      </c>
    </row>
    <row r="60" spans="2:9" ht="15" customHeight="1" x14ac:dyDescent="0.2">
      <c r="B60" t="s">
        <v>133</v>
      </c>
      <c r="C60" s="12">
        <v>17</v>
      </c>
      <c r="D60" s="8">
        <v>1.52</v>
      </c>
      <c r="E60" s="12">
        <v>12</v>
      </c>
      <c r="F60" s="8">
        <v>1.83</v>
      </c>
      <c r="G60" s="12">
        <v>5</v>
      </c>
      <c r="H60" s="8">
        <v>1.19</v>
      </c>
      <c r="I60" s="12">
        <v>0</v>
      </c>
    </row>
    <row r="61" spans="2:9" ht="15" customHeight="1" x14ac:dyDescent="0.2">
      <c r="B61" t="s">
        <v>148</v>
      </c>
      <c r="C61" s="12">
        <v>17</v>
      </c>
      <c r="D61" s="8">
        <v>1.52</v>
      </c>
      <c r="E61" s="12">
        <v>14</v>
      </c>
      <c r="F61" s="8">
        <v>2.14</v>
      </c>
      <c r="G61" s="12">
        <v>3</v>
      </c>
      <c r="H61" s="8">
        <v>0.71</v>
      </c>
      <c r="I61" s="12">
        <v>0</v>
      </c>
    </row>
    <row r="62" spans="2:9" ht="15" customHeight="1" x14ac:dyDescent="0.2">
      <c r="B62" t="s">
        <v>135</v>
      </c>
      <c r="C62" s="12">
        <v>16</v>
      </c>
      <c r="D62" s="8">
        <v>1.43</v>
      </c>
      <c r="E62" s="12">
        <v>2</v>
      </c>
      <c r="F62" s="8">
        <v>0.31</v>
      </c>
      <c r="G62" s="12">
        <v>14</v>
      </c>
      <c r="H62" s="8">
        <v>3.33</v>
      </c>
      <c r="I62" s="12">
        <v>0</v>
      </c>
    </row>
    <row r="63" spans="2:9" ht="15" customHeight="1" x14ac:dyDescent="0.2">
      <c r="B63" t="s">
        <v>156</v>
      </c>
      <c r="C63" s="12">
        <v>16</v>
      </c>
      <c r="D63" s="8">
        <v>1.43</v>
      </c>
      <c r="E63" s="12">
        <v>14</v>
      </c>
      <c r="F63" s="8">
        <v>2.14</v>
      </c>
      <c r="G63" s="12">
        <v>2</v>
      </c>
      <c r="H63" s="8">
        <v>0.48</v>
      </c>
      <c r="I63" s="12">
        <v>0</v>
      </c>
    </row>
    <row r="64" spans="2:9" ht="15" customHeight="1" x14ac:dyDescent="0.2">
      <c r="B64" t="s">
        <v>137</v>
      </c>
      <c r="C64" s="12">
        <v>16</v>
      </c>
      <c r="D64" s="8">
        <v>1.43</v>
      </c>
      <c r="E64" s="12">
        <v>15</v>
      </c>
      <c r="F64" s="8">
        <v>2.29</v>
      </c>
      <c r="G64" s="12">
        <v>1</v>
      </c>
      <c r="H64" s="8">
        <v>0.24</v>
      </c>
      <c r="I64" s="12">
        <v>0</v>
      </c>
    </row>
    <row r="65" spans="2:9" ht="15" customHeight="1" x14ac:dyDescent="0.2">
      <c r="B65" t="s">
        <v>153</v>
      </c>
      <c r="C65" s="12">
        <v>15</v>
      </c>
      <c r="D65" s="8">
        <v>1.35</v>
      </c>
      <c r="E65" s="12">
        <v>13</v>
      </c>
      <c r="F65" s="8">
        <v>1.98</v>
      </c>
      <c r="G65" s="12">
        <v>0</v>
      </c>
      <c r="H65" s="8">
        <v>0</v>
      </c>
      <c r="I65" s="12">
        <v>2</v>
      </c>
    </row>
    <row r="66" spans="2:9" ht="15" customHeight="1" x14ac:dyDescent="0.2">
      <c r="B66" t="s">
        <v>132</v>
      </c>
      <c r="C66" s="12">
        <v>15</v>
      </c>
      <c r="D66" s="8">
        <v>1.35</v>
      </c>
      <c r="E66" s="12">
        <v>2</v>
      </c>
      <c r="F66" s="8">
        <v>0.31</v>
      </c>
      <c r="G66" s="12">
        <v>13</v>
      </c>
      <c r="H66" s="8">
        <v>3.1</v>
      </c>
      <c r="I66" s="12">
        <v>0</v>
      </c>
    </row>
    <row r="67" spans="2:9" ht="15" customHeight="1" x14ac:dyDescent="0.2">
      <c r="B67" t="s">
        <v>134</v>
      </c>
      <c r="C67" s="12">
        <v>15</v>
      </c>
      <c r="D67" s="8">
        <v>1.35</v>
      </c>
      <c r="E67" s="12">
        <v>6</v>
      </c>
      <c r="F67" s="8">
        <v>0.92</v>
      </c>
      <c r="G67" s="12">
        <v>9</v>
      </c>
      <c r="H67" s="8">
        <v>2.14</v>
      </c>
      <c r="I67" s="12">
        <v>0</v>
      </c>
    </row>
    <row r="68" spans="2:9" ht="15" customHeight="1" x14ac:dyDescent="0.2">
      <c r="B68" t="s">
        <v>167</v>
      </c>
      <c r="C68" s="12">
        <v>15</v>
      </c>
      <c r="D68" s="8">
        <v>1.35</v>
      </c>
      <c r="E68" s="12">
        <v>15</v>
      </c>
      <c r="F68" s="8">
        <v>2.29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166</v>
      </c>
      <c r="C69" s="12">
        <v>15</v>
      </c>
      <c r="D69" s="8">
        <v>1.35</v>
      </c>
      <c r="E69" s="12">
        <v>15</v>
      </c>
      <c r="F69" s="8">
        <v>2.29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F7B6-0355-43AC-8A02-C2E77321C11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118</v>
      </c>
      <c r="D6" s="8">
        <v>14.73</v>
      </c>
      <c r="E6" s="12">
        <v>46</v>
      </c>
      <c r="F6" s="8">
        <v>9.11</v>
      </c>
      <c r="G6" s="12">
        <v>72</v>
      </c>
      <c r="H6" s="8">
        <v>25.44</v>
      </c>
      <c r="I6" s="12">
        <v>0</v>
      </c>
    </row>
    <row r="7" spans="2:9" ht="15" customHeight="1" x14ac:dyDescent="0.2">
      <c r="B7" t="s">
        <v>46</v>
      </c>
      <c r="C7" s="12">
        <v>79</v>
      </c>
      <c r="D7" s="8">
        <v>9.86</v>
      </c>
      <c r="E7" s="12">
        <v>54</v>
      </c>
      <c r="F7" s="8">
        <v>10.69</v>
      </c>
      <c r="G7" s="12">
        <v>25</v>
      </c>
      <c r="H7" s="8">
        <v>8.83</v>
      </c>
      <c r="I7" s="12">
        <v>0</v>
      </c>
    </row>
    <row r="8" spans="2:9" ht="15" customHeight="1" x14ac:dyDescent="0.2">
      <c r="B8" t="s">
        <v>47</v>
      </c>
      <c r="C8" s="12">
        <v>10</v>
      </c>
      <c r="D8" s="8">
        <v>1.25</v>
      </c>
      <c r="E8" s="12">
        <v>0</v>
      </c>
      <c r="F8" s="8">
        <v>0</v>
      </c>
      <c r="G8" s="12">
        <v>10</v>
      </c>
      <c r="H8" s="8">
        <v>3.53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0.25</v>
      </c>
      <c r="E9" s="12">
        <v>0</v>
      </c>
      <c r="F9" s="8">
        <v>0</v>
      </c>
      <c r="G9" s="12">
        <v>2</v>
      </c>
      <c r="H9" s="8">
        <v>0.71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0.5</v>
      </c>
      <c r="E10" s="12">
        <v>1</v>
      </c>
      <c r="F10" s="8">
        <v>0.2</v>
      </c>
      <c r="G10" s="12">
        <v>3</v>
      </c>
      <c r="H10" s="8">
        <v>1.06</v>
      </c>
      <c r="I10" s="12">
        <v>0</v>
      </c>
    </row>
    <row r="11" spans="2:9" ht="15" customHeight="1" x14ac:dyDescent="0.2">
      <c r="B11" t="s">
        <v>50</v>
      </c>
      <c r="C11" s="12">
        <v>237</v>
      </c>
      <c r="D11" s="8">
        <v>29.59</v>
      </c>
      <c r="E11" s="12">
        <v>146</v>
      </c>
      <c r="F11" s="8">
        <v>28.91</v>
      </c>
      <c r="G11" s="12">
        <v>91</v>
      </c>
      <c r="H11" s="8">
        <v>32.159999999999997</v>
      </c>
      <c r="I11" s="12">
        <v>0</v>
      </c>
    </row>
    <row r="12" spans="2:9" ht="15" customHeight="1" x14ac:dyDescent="0.2">
      <c r="B12" t="s">
        <v>51</v>
      </c>
      <c r="C12" s="12">
        <v>2</v>
      </c>
      <c r="D12" s="8">
        <v>0.25</v>
      </c>
      <c r="E12" s="12">
        <v>0</v>
      </c>
      <c r="F12" s="8">
        <v>0</v>
      </c>
      <c r="G12" s="12">
        <v>2</v>
      </c>
      <c r="H12" s="8">
        <v>0.71</v>
      </c>
      <c r="I12" s="12">
        <v>0</v>
      </c>
    </row>
    <row r="13" spans="2:9" ht="15" customHeight="1" x14ac:dyDescent="0.2">
      <c r="B13" t="s">
        <v>52</v>
      </c>
      <c r="C13" s="12">
        <v>19</v>
      </c>
      <c r="D13" s="8">
        <v>2.37</v>
      </c>
      <c r="E13" s="12">
        <v>6</v>
      </c>
      <c r="F13" s="8">
        <v>1.19</v>
      </c>
      <c r="G13" s="12">
        <v>11</v>
      </c>
      <c r="H13" s="8">
        <v>3.89</v>
      </c>
      <c r="I13" s="12">
        <v>0</v>
      </c>
    </row>
    <row r="14" spans="2:9" ht="15" customHeight="1" x14ac:dyDescent="0.2">
      <c r="B14" t="s">
        <v>53</v>
      </c>
      <c r="C14" s="12">
        <v>40</v>
      </c>
      <c r="D14" s="8">
        <v>4.99</v>
      </c>
      <c r="E14" s="12">
        <v>19</v>
      </c>
      <c r="F14" s="8">
        <v>3.76</v>
      </c>
      <c r="G14" s="12">
        <v>20</v>
      </c>
      <c r="H14" s="8">
        <v>7.07</v>
      </c>
      <c r="I14" s="12">
        <v>0</v>
      </c>
    </row>
    <row r="15" spans="2:9" ht="15" customHeight="1" x14ac:dyDescent="0.2">
      <c r="B15" t="s">
        <v>54</v>
      </c>
      <c r="C15" s="12">
        <v>77</v>
      </c>
      <c r="D15" s="8">
        <v>9.61</v>
      </c>
      <c r="E15" s="12">
        <v>66</v>
      </c>
      <c r="F15" s="8">
        <v>13.07</v>
      </c>
      <c r="G15" s="12">
        <v>11</v>
      </c>
      <c r="H15" s="8">
        <v>3.89</v>
      </c>
      <c r="I15" s="12">
        <v>0</v>
      </c>
    </row>
    <row r="16" spans="2:9" ht="15" customHeight="1" x14ac:dyDescent="0.2">
      <c r="B16" t="s">
        <v>55</v>
      </c>
      <c r="C16" s="12">
        <v>117</v>
      </c>
      <c r="D16" s="8">
        <v>14.61</v>
      </c>
      <c r="E16" s="12">
        <v>106</v>
      </c>
      <c r="F16" s="8">
        <v>20.99</v>
      </c>
      <c r="G16" s="12">
        <v>10</v>
      </c>
      <c r="H16" s="8">
        <v>3.53</v>
      </c>
      <c r="I16" s="12">
        <v>0</v>
      </c>
    </row>
    <row r="17" spans="2:9" ht="15" customHeight="1" x14ac:dyDescent="0.2">
      <c r="B17" t="s">
        <v>56</v>
      </c>
      <c r="C17" s="12">
        <v>18</v>
      </c>
      <c r="D17" s="8">
        <v>2.25</v>
      </c>
      <c r="E17" s="12">
        <v>10</v>
      </c>
      <c r="F17" s="8">
        <v>1.98</v>
      </c>
      <c r="G17" s="12">
        <v>5</v>
      </c>
      <c r="H17" s="8">
        <v>1.77</v>
      </c>
      <c r="I17" s="12">
        <v>1</v>
      </c>
    </row>
    <row r="18" spans="2:9" ht="15" customHeight="1" x14ac:dyDescent="0.2">
      <c r="B18" t="s">
        <v>57</v>
      </c>
      <c r="C18" s="12">
        <v>39</v>
      </c>
      <c r="D18" s="8">
        <v>4.87</v>
      </c>
      <c r="E18" s="12">
        <v>21</v>
      </c>
      <c r="F18" s="8">
        <v>4.16</v>
      </c>
      <c r="G18" s="12">
        <v>12</v>
      </c>
      <c r="H18" s="8">
        <v>4.24</v>
      </c>
      <c r="I18" s="12">
        <v>3</v>
      </c>
    </row>
    <row r="19" spans="2:9" ht="15" customHeight="1" x14ac:dyDescent="0.2">
      <c r="B19" t="s">
        <v>58</v>
      </c>
      <c r="C19" s="12">
        <v>39</v>
      </c>
      <c r="D19" s="8">
        <v>4.87</v>
      </c>
      <c r="E19" s="12">
        <v>30</v>
      </c>
      <c r="F19" s="8">
        <v>5.94</v>
      </c>
      <c r="G19" s="12">
        <v>9</v>
      </c>
      <c r="H19" s="8">
        <v>3.18</v>
      </c>
      <c r="I19" s="12">
        <v>0</v>
      </c>
    </row>
    <row r="20" spans="2:9" ht="15" customHeight="1" x14ac:dyDescent="0.2">
      <c r="B20" s="9" t="s">
        <v>241</v>
      </c>
      <c r="C20" s="12">
        <f>SUM(LTBL_46217[総数／事業所数])</f>
        <v>801</v>
      </c>
      <c r="E20" s="12">
        <f>SUBTOTAL(109,LTBL_46217[個人／事業所数])</f>
        <v>505</v>
      </c>
      <c r="G20" s="12">
        <f>SUBTOTAL(109,LTBL_46217[法人／事業所数])</f>
        <v>283</v>
      </c>
      <c r="I20" s="12">
        <f>SUBTOTAL(109,LTBL_46217[法人以外の団体／事業所数])</f>
        <v>4</v>
      </c>
    </row>
    <row r="21" spans="2:9" ht="15" customHeight="1" x14ac:dyDescent="0.2">
      <c r="E21" s="11">
        <f>LTBL_46217[[#Totals],[個人／事業所数]]/LTBL_46217[[#Totals],[総数／事業所数]]</f>
        <v>0.63046192259675404</v>
      </c>
      <c r="G21" s="11">
        <f>LTBL_46217[[#Totals],[法人／事業所数]]/LTBL_46217[[#Totals],[総数／事業所数]]</f>
        <v>0.35330836454431958</v>
      </c>
      <c r="I21" s="11">
        <f>LTBL_46217[[#Totals],[法人以外の団体／事業所数]]/LTBL_46217[[#Totals],[総数／事業所数]]</f>
        <v>4.9937578027465668E-3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99</v>
      </c>
      <c r="D24" s="8">
        <v>12.36</v>
      </c>
      <c r="E24" s="12">
        <v>96</v>
      </c>
      <c r="F24" s="8">
        <v>19.010000000000002</v>
      </c>
      <c r="G24" s="12">
        <v>3</v>
      </c>
      <c r="H24" s="8">
        <v>1.06</v>
      </c>
      <c r="I24" s="12">
        <v>0</v>
      </c>
    </row>
    <row r="25" spans="2:9" ht="15" customHeight="1" x14ac:dyDescent="0.2">
      <c r="B25" t="s">
        <v>75</v>
      </c>
      <c r="C25" s="12">
        <v>88</v>
      </c>
      <c r="D25" s="8">
        <v>10.99</v>
      </c>
      <c r="E25" s="12">
        <v>48</v>
      </c>
      <c r="F25" s="8">
        <v>9.5</v>
      </c>
      <c r="G25" s="12">
        <v>40</v>
      </c>
      <c r="H25" s="8">
        <v>14.13</v>
      </c>
      <c r="I25" s="12">
        <v>0</v>
      </c>
    </row>
    <row r="26" spans="2:9" ht="15" customHeight="1" x14ac:dyDescent="0.2">
      <c r="B26" t="s">
        <v>81</v>
      </c>
      <c r="C26" s="12">
        <v>72</v>
      </c>
      <c r="D26" s="8">
        <v>8.99</v>
      </c>
      <c r="E26" s="12">
        <v>64</v>
      </c>
      <c r="F26" s="8">
        <v>12.67</v>
      </c>
      <c r="G26" s="12">
        <v>8</v>
      </c>
      <c r="H26" s="8">
        <v>2.83</v>
      </c>
      <c r="I26" s="12">
        <v>0</v>
      </c>
    </row>
    <row r="27" spans="2:9" ht="15" customHeight="1" x14ac:dyDescent="0.2">
      <c r="B27" t="s">
        <v>67</v>
      </c>
      <c r="C27" s="12">
        <v>58</v>
      </c>
      <c r="D27" s="8">
        <v>7.24</v>
      </c>
      <c r="E27" s="12">
        <v>14</v>
      </c>
      <c r="F27" s="8">
        <v>2.77</v>
      </c>
      <c r="G27" s="12">
        <v>44</v>
      </c>
      <c r="H27" s="8">
        <v>15.55</v>
      </c>
      <c r="I27" s="12">
        <v>0</v>
      </c>
    </row>
    <row r="28" spans="2:9" ht="15" customHeight="1" x14ac:dyDescent="0.2">
      <c r="B28" t="s">
        <v>73</v>
      </c>
      <c r="C28" s="12">
        <v>55</v>
      </c>
      <c r="D28" s="8">
        <v>6.87</v>
      </c>
      <c r="E28" s="12">
        <v>45</v>
      </c>
      <c r="F28" s="8">
        <v>8.91</v>
      </c>
      <c r="G28" s="12">
        <v>10</v>
      </c>
      <c r="H28" s="8">
        <v>3.53</v>
      </c>
      <c r="I28" s="12">
        <v>0</v>
      </c>
    </row>
    <row r="29" spans="2:9" ht="15" customHeight="1" x14ac:dyDescent="0.2">
      <c r="B29" t="s">
        <v>74</v>
      </c>
      <c r="C29" s="12">
        <v>49</v>
      </c>
      <c r="D29" s="8">
        <v>6.12</v>
      </c>
      <c r="E29" s="12">
        <v>37</v>
      </c>
      <c r="F29" s="8">
        <v>7.33</v>
      </c>
      <c r="G29" s="12">
        <v>12</v>
      </c>
      <c r="H29" s="8">
        <v>4.24</v>
      </c>
      <c r="I29" s="12">
        <v>0</v>
      </c>
    </row>
    <row r="30" spans="2:9" ht="15" customHeight="1" x14ac:dyDescent="0.2">
      <c r="B30" t="s">
        <v>90</v>
      </c>
      <c r="C30" s="12">
        <v>35</v>
      </c>
      <c r="D30" s="8">
        <v>4.37</v>
      </c>
      <c r="E30" s="12">
        <v>27</v>
      </c>
      <c r="F30" s="8">
        <v>5.35</v>
      </c>
      <c r="G30" s="12">
        <v>8</v>
      </c>
      <c r="H30" s="8">
        <v>2.83</v>
      </c>
      <c r="I30" s="12">
        <v>0</v>
      </c>
    </row>
    <row r="31" spans="2:9" ht="15" customHeight="1" x14ac:dyDescent="0.2">
      <c r="B31" t="s">
        <v>68</v>
      </c>
      <c r="C31" s="12">
        <v>32</v>
      </c>
      <c r="D31" s="8">
        <v>4</v>
      </c>
      <c r="E31" s="12">
        <v>20</v>
      </c>
      <c r="F31" s="8">
        <v>3.96</v>
      </c>
      <c r="G31" s="12">
        <v>12</v>
      </c>
      <c r="H31" s="8">
        <v>4.24</v>
      </c>
      <c r="I31" s="12">
        <v>0</v>
      </c>
    </row>
    <row r="32" spans="2:9" ht="15" customHeight="1" x14ac:dyDescent="0.2">
      <c r="B32" t="s">
        <v>86</v>
      </c>
      <c r="C32" s="12">
        <v>30</v>
      </c>
      <c r="D32" s="8">
        <v>3.75</v>
      </c>
      <c r="E32" s="12">
        <v>25</v>
      </c>
      <c r="F32" s="8">
        <v>4.95</v>
      </c>
      <c r="G32" s="12">
        <v>5</v>
      </c>
      <c r="H32" s="8">
        <v>1.77</v>
      </c>
      <c r="I32" s="12">
        <v>0</v>
      </c>
    </row>
    <row r="33" spans="2:9" ht="15" customHeight="1" x14ac:dyDescent="0.2">
      <c r="B33" t="s">
        <v>69</v>
      </c>
      <c r="C33" s="12">
        <v>28</v>
      </c>
      <c r="D33" s="8">
        <v>3.5</v>
      </c>
      <c r="E33" s="12">
        <v>12</v>
      </c>
      <c r="F33" s="8">
        <v>2.38</v>
      </c>
      <c r="G33" s="12">
        <v>16</v>
      </c>
      <c r="H33" s="8">
        <v>5.65</v>
      </c>
      <c r="I33" s="12">
        <v>0</v>
      </c>
    </row>
    <row r="34" spans="2:9" ht="15" customHeight="1" x14ac:dyDescent="0.2">
      <c r="B34" t="s">
        <v>84</v>
      </c>
      <c r="C34" s="12">
        <v>24</v>
      </c>
      <c r="D34" s="8">
        <v>3</v>
      </c>
      <c r="E34" s="12">
        <v>21</v>
      </c>
      <c r="F34" s="8">
        <v>4.16</v>
      </c>
      <c r="G34" s="12">
        <v>3</v>
      </c>
      <c r="H34" s="8">
        <v>1.06</v>
      </c>
      <c r="I34" s="12">
        <v>0</v>
      </c>
    </row>
    <row r="35" spans="2:9" ht="15" customHeight="1" x14ac:dyDescent="0.2">
      <c r="B35" t="s">
        <v>79</v>
      </c>
      <c r="C35" s="12">
        <v>23</v>
      </c>
      <c r="D35" s="8">
        <v>2.87</v>
      </c>
      <c r="E35" s="12">
        <v>7</v>
      </c>
      <c r="F35" s="8">
        <v>1.39</v>
      </c>
      <c r="G35" s="12">
        <v>15</v>
      </c>
      <c r="H35" s="8">
        <v>5.3</v>
      </c>
      <c r="I35" s="12">
        <v>0</v>
      </c>
    </row>
    <row r="36" spans="2:9" ht="15" customHeight="1" x14ac:dyDescent="0.2">
      <c r="B36" t="s">
        <v>83</v>
      </c>
      <c r="C36" s="12">
        <v>18</v>
      </c>
      <c r="D36" s="8">
        <v>2.25</v>
      </c>
      <c r="E36" s="12">
        <v>10</v>
      </c>
      <c r="F36" s="8">
        <v>1.98</v>
      </c>
      <c r="G36" s="12">
        <v>5</v>
      </c>
      <c r="H36" s="8">
        <v>1.77</v>
      </c>
      <c r="I36" s="12">
        <v>1</v>
      </c>
    </row>
    <row r="37" spans="2:9" ht="15" customHeight="1" x14ac:dyDescent="0.2">
      <c r="B37" t="s">
        <v>78</v>
      </c>
      <c r="C37" s="12">
        <v>17</v>
      </c>
      <c r="D37" s="8">
        <v>2.12</v>
      </c>
      <c r="E37" s="12">
        <v>12</v>
      </c>
      <c r="F37" s="8">
        <v>2.38</v>
      </c>
      <c r="G37" s="12">
        <v>5</v>
      </c>
      <c r="H37" s="8">
        <v>1.77</v>
      </c>
      <c r="I37" s="12">
        <v>0</v>
      </c>
    </row>
    <row r="38" spans="2:9" ht="15" customHeight="1" x14ac:dyDescent="0.2">
      <c r="B38" t="s">
        <v>85</v>
      </c>
      <c r="C38" s="12">
        <v>15</v>
      </c>
      <c r="D38" s="8">
        <v>1.87</v>
      </c>
      <c r="E38" s="12">
        <v>0</v>
      </c>
      <c r="F38" s="8">
        <v>0</v>
      </c>
      <c r="G38" s="12">
        <v>9</v>
      </c>
      <c r="H38" s="8">
        <v>3.18</v>
      </c>
      <c r="I38" s="12">
        <v>3</v>
      </c>
    </row>
    <row r="39" spans="2:9" ht="15" customHeight="1" x14ac:dyDescent="0.2">
      <c r="B39" t="s">
        <v>91</v>
      </c>
      <c r="C39" s="12">
        <v>11</v>
      </c>
      <c r="D39" s="8">
        <v>1.37</v>
      </c>
      <c r="E39" s="12">
        <v>8</v>
      </c>
      <c r="F39" s="8">
        <v>1.58</v>
      </c>
      <c r="G39" s="12">
        <v>2</v>
      </c>
      <c r="H39" s="8">
        <v>0.71</v>
      </c>
      <c r="I39" s="12">
        <v>0</v>
      </c>
    </row>
    <row r="40" spans="2:9" ht="15" customHeight="1" x14ac:dyDescent="0.2">
      <c r="B40" t="s">
        <v>92</v>
      </c>
      <c r="C40" s="12">
        <v>10</v>
      </c>
      <c r="D40" s="8">
        <v>1.25</v>
      </c>
      <c r="E40" s="12">
        <v>0</v>
      </c>
      <c r="F40" s="8">
        <v>0</v>
      </c>
      <c r="G40" s="12">
        <v>10</v>
      </c>
      <c r="H40" s="8">
        <v>3.53</v>
      </c>
      <c r="I40" s="12">
        <v>0</v>
      </c>
    </row>
    <row r="41" spans="2:9" ht="15" customHeight="1" x14ac:dyDescent="0.2">
      <c r="B41" t="s">
        <v>72</v>
      </c>
      <c r="C41" s="12">
        <v>10</v>
      </c>
      <c r="D41" s="8">
        <v>1.25</v>
      </c>
      <c r="E41" s="12">
        <v>6</v>
      </c>
      <c r="F41" s="8">
        <v>1.19</v>
      </c>
      <c r="G41" s="12">
        <v>4</v>
      </c>
      <c r="H41" s="8">
        <v>1.41</v>
      </c>
      <c r="I41" s="12">
        <v>0</v>
      </c>
    </row>
    <row r="42" spans="2:9" ht="15" customHeight="1" x14ac:dyDescent="0.2">
      <c r="B42" t="s">
        <v>70</v>
      </c>
      <c r="C42" s="12">
        <v>9</v>
      </c>
      <c r="D42" s="8">
        <v>1.1200000000000001</v>
      </c>
      <c r="E42" s="12">
        <v>7</v>
      </c>
      <c r="F42" s="8">
        <v>1.39</v>
      </c>
      <c r="G42" s="12">
        <v>2</v>
      </c>
      <c r="H42" s="8">
        <v>0.71</v>
      </c>
      <c r="I42" s="12">
        <v>0</v>
      </c>
    </row>
    <row r="43" spans="2:9" ht="15" customHeight="1" x14ac:dyDescent="0.2">
      <c r="B43" t="s">
        <v>87</v>
      </c>
      <c r="C43" s="12">
        <v>9</v>
      </c>
      <c r="D43" s="8">
        <v>1.1200000000000001</v>
      </c>
      <c r="E43" s="12">
        <v>1</v>
      </c>
      <c r="F43" s="8">
        <v>0.2</v>
      </c>
      <c r="G43" s="12">
        <v>8</v>
      </c>
      <c r="H43" s="8">
        <v>2.83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52</v>
      </c>
      <c r="D47" s="8">
        <v>6.49</v>
      </c>
      <c r="E47" s="12">
        <v>51</v>
      </c>
      <c r="F47" s="8">
        <v>10.1</v>
      </c>
      <c r="G47" s="12">
        <v>1</v>
      </c>
      <c r="H47" s="8">
        <v>0.35</v>
      </c>
      <c r="I47" s="12">
        <v>0</v>
      </c>
    </row>
    <row r="48" spans="2:9" ht="15" customHeight="1" x14ac:dyDescent="0.2">
      <c r="B48" t="s">
        <v>130</v>
      </c>
      <c r="C48" s="12">
        <v>37</v>
      </c>
      <c r="D48" s="8">
        <v>4.62</v>
      </c>
      <c r="E48" s="12">
        <v>30</v>
      </c>
      <c r="F48" s="8">
        <v>5.94</v>
      </c>
      <c r="G48" s="12">
        <v>7</v>
      </c>
      <c r="H48" s="8">
        <v>2.4700000000000002</v>
      </c>
      <c r="I48" s="12">
        <v>0</v>
      </c>
    </row>
    <row r="49" spans="2:9" ht="15" customHeight="1" x14ac:dyDescent="0.2">
      <c r="B49" t="s">
        <v>124</v>
      </c>
      <c r="C49" s="12">
        <v>32</v>
      </c>
      <c r="D49" s="8">
        <v>4</v>
      </c>
      <c r="E49" s="12">
        <v>5</v>
      </c>
      <c r="F49" s="8">
        <v>0.99</v>
      </c>
      <c r="G49" s="12">
        <v>27</v>
      </c>
      <c r="H49" s="8">
        <v>9.5399999999999991</v>
      </c>
      <c r="I49" s="12">
        <v>0</v>
      </c>
    </row>
    <row r="50" spans="2:9" ht="15" customHeight="1" x14ac:dyDescent="0.2">
      <c r="B50" t="s">
        <v>139</v>
      </c>
      <c r="C50" s="12">
        <v>32</v>
      </c>
      <c r="D50" s="8">
        <v>4</v>
      </c>
      <c r="E50" s="12">
        <v>32</v>
      </c>
      <c r="F50" s="8">
        <v>6.34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150</v>
      </c>
      <c r="C51" s="12">
        <v>30</v>
      </c>
      <c r="D51" s="8">
        <v>3.75</v>
      </c>
      <c r="E51" s="12">
        <v>27</v>
      </c>
      <c r="F51" s="8">
        <v>5.35</v>
      </c>
      <c r="G51" s="12">
        <v>3</v>
      </c>
      <c r="H51" s="8">
        <v>1.06</v>
      </c>
      <c r="I51" s="12">
        <v>0</v>
      </c>
    </row>
    <row r="52" spans="2:9" ht="15" customHeight="1" x14ac:dyDescent="0.2">
      <c r="B52" t="s">
        <v>143</v>
      </c>
      <c r="C52" s="12">
        <v>30</v>
      </c>
      <c r="D52" s="8">
        <v>3.75</v>
      </c>
      <c r="E52" s="12">
        <v>25</v>
      </c>
      <c r="F52" s="8">
        <v>4.95</v>
      </c>
      <c r="G52" s="12">
        <v>5</v>
      </c>
      <c r="H52" s="8">
        <v>1.77</v>
      </c>
      <c r="I52" s="12">
        <v>0</v>
      </c>
    </row>
    <row r="53" spans="2:9" ht="15" customHeight="1" x14ac:dyDescent="0.2">
      <c r="B53" t="s">
        <v>132</v>
      </c>
      <c r="C53" s="12">
        <v>24</v>
      </c>
      <c r="D53" s="8">
        <v>3</v>
      </c>
      <c r="E53" s="12">
        <v>7</v>
      </c>
      <c r="F53" s="8">
        <v>1.39</v>
      </c>
      <c r="G53" s="12">
        <v>17</v>
      </c>
      <c r="H53" s="8">
        <v>6.01</v>
      </c>
      <c r="I53" s="12">
        <v>0</v>
      </c>
    </row>
    <row r="54" spans="2:9" ht="15" customHeight="1" x14ac:dyDescent="0.2">
      <c r="B54" t="s">
        <v>129</v>
      </c>
      <c r="C54" s="12">
        <v>23</v>
      </c>
      <c r="D54" s="8">
        <v>2.87</v>
      </c>
      <c r="E54" s="12">
        <v>20</v>
      </c>
      <c r="F54" s="8">
        <v>3.96</v>
      </c>
      <c r="G54" s="12">
        <v>3</v>
      </c>
      <c r="H54" s="8">
        <v>1.06</v>
      </c>
      <c r="I54" s="12">
        <v>0</v>
      </c>
    </row>
    <row r="55" spans="2:9" ht="15" customHeight="1" x14ac:dyDescent="0.2">
      <c r="B55" t="s">
        <v>142</v>
      </c>
      <c r="C55" s="12">
        <v>21</v>
      </c>
      <c r="D55" s="8">
        <v>2.62</v>
      </c>
      <c r="E55" s="12">
        <v>19</v>
      </c>
      <c r="F55" s="8">
        <v>3.76</v>
      </c>
      <c r="G55" s="12">
        <v>2</v>
      </c>
      <c r="H55" s="8">
        <v>0.71</v>
      </c>
      <c r="I55" s="12">
        <v>0</v>
      </c>
    </row>
    <row r="56" spans="2:9" ht="15" customHeight="1" x14ac:dyDescent="0.2">
      <c r="B56" t="s">
        <v>136</v>
      </c>
      <c r="C56" s="12">
        <v>20</v>
      </c>
      <c r="D56" s="8">
        <v>2.5</v>
      </c>
      <c r="E56" s="12">
        <v>17</v>
      </c>
      <c r="F56" s="8">
        <v>3.37</v>
      </c>
      <c r="G56" s="12">
        <v>3</v>
      </c>
      <c r="H56" s="8">
        <v>1.06</v>
      </c>
      <c r="I56" s="12">
        <v>0</v>
      </c>
    </row>
    <row r="57" spans="2:9" ht="15" customHeight="1" x14ac:dyDescent="0.2">
      <c r="B57" t="s">
        <v>156</v>
      </c>
      <c r="C57" s="12">
        <v>18</v>
      </c>
      <c r="D57" s="8">
        <v>2.25</v>
      </c>
      <c r="E57" s="12">
        <v>16</v>
      </c>
      <c r="F57" s="8">
        <v>3.17</v>
      </c>
      <c r="G57" s="12">
        <v>2</v>
      </c>
      <c r="H57" s="8">
        <v>0.71</v>
      </c>
      <c r="I57" s="12">
        <v>0</v>
      </c>
    </row>
    <row r="58" spans="2:9" ht="15" customHeight="1" x14ac:dyDescent="0.2">
      <c r="B58" t="s">
        <v>168</v>
      </c>
      <c r="C58" s="12">
        <v>17</v>
      </c>
      <c r="D58" s="8">
        <v>2.12</v>
      </c>
      <c r="E58" s="12">
        <v>10</v>
      </c>
      <c r="F58" s="8">
        <v>1.98</v>
      </c>
      <c r="G58" s="12">
        <v>7</v>
      </c>
      <c r="H58" s="8">
        <v>2.4700000000000002</v>
      </c>
      <c r="I58" s="12">
        <v>0</v>
      </c>
    </row>
    <row r="59" spans="2:9" ht="15" customHeight="1" x14ac:dyDescent="0.2">
      <c r="B59" t="s">
        <v>126</v>
      </c>
      <c r="C59" s="12">
        <v>15</v>
      </c>
      <c r="D59" s="8">
        <v>1.87</v>
      </c>
      <c r="E59" s="12">
        <v>6</v>
      </c>
      <c r="F59" s="8">
        <v>1.19</v>
      </c>
      <c r="G59" s="12">
        <v>9</v>
      </c>
      <c r="H59" s="8">
        <v>3.18</v>
      </c>
      <c r="I59" s="12">
        <v>0</v>
      </c>
    </row>
    <row r="60" spans="2:9" ht="15" customHeight="1" x14ac:dyDescent="0.2">
      <c r="B60" t="s">
        <v>133</v>
      </c>
      <c r="C60" s="12">
        <v>15</v>
      </c>
      <c r="D60" s="8">
        <v>1.87</v>
      </c>
      <c r="E60" s="12">
        <v>12</v>
      </c>
      <c r="F60" s="8">
        <v>2.38</v>
      </c>
      <c r="G60" s="12">
        <v>3</v>
      </c>
      <c r="H60" s="8">
        <v>1.06</v>
      </c>
      <c r="I60" s="12">
        <v>0</v>
      </c>
    </row>
    <row r="61" spans="2:9" ht="15" customHeight="1" x14ac:dyDescent="0.2">
      <c r="B61" t="s">
        <v>131</v>
      </c>
      <c r="C61" s="12">
        <v>14</v>
      </c>
      <c r="D61" s="8">
        <v>1.75</v>
      </c>
      <c r="E61" s="12">
        <v>7</v>
      </c>
      <c r="F61" s="8">
        <v>1.39</v>
      </c>
      <c r="G61" s="12">
        <v>7</v>
      </c>
      <c r="H61" s="8">
        <v>2.4700000000000002</v>
      </c>
      <c r="I61" s="12">
        <v>0</v>
      </c>
    </row>
    <row r="62" spans="2:9" ht="15" customHeight="1" x14ac:dyDescent="0.2">
      <c r="B62" t="s">
        <v>146</v>
      </c>
      <c r="C62" s="12">
        <v>13</v>
      </c>
      <c r="D62" s="8">
        <v>1.62</v>
      </c>
      <c r="E62" s="12">
        <v>11</v>
      </c>
      <c r="F62" s="8">
        <v>2.1800000000000002</v>
      </c>
      <c r="G62" s="12">
        <v>2</v>
      </c>
      <c r="H62" s="8">
        <v>0.71</v>
      </c>
      <c r="I62" s="12">
        <v>0</v>
      </c>
    </row>
    <row r="63" spans="2:9" ht="15" customHeight="1" x14ac:dyDescent="0.2">
      <c r="B63" t="s">
        <v>125</v>
      </c>
      <c r="C63" s="12">
        <v>12</v>
      </c>
      <c r="D63" s="8">
        <v>1.5</v>
      </c>
      <c r="E63" s="12">
        <v>2</v>
      </c>
      <c r="F63" s="8">
        <v>0.4</v>
      </c>
      <c r="G63" s="12">
        <v>10</v>
      </c>
      <c r="H63" s="8">
        <v>3.53</v>
      </c>
      <c r="I63" s="12">
        <v>0</v>
      </c>
    </row>
    <row r="64" spans="2:9" ht="15" customHeight="1" x14ac:dyDescent="0.2">
      <c r="B64" t="s">
        <v>138</v>
      </c>
      <c r="C64" s="12">
        <v>12</v>
      </c>
      <c r="D64" s="8">
        <v>1.5</v>
      </c>
      <c r="E64" s="12">
        <v>12</v>
      </c>
      <c r="F64" s="8">
        <v>2.38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147</v>
      </c>
      <c r="C65" s="12">
        <v>11</v>
      </c>
      <c r="D65" s="8">
        <v>1.37</v>
      </c>
      <c r="E65" s="12">
        <v>6</v>
      </c>
      <c r="F65" s="8">
        <v>1.19</v>
      </c>
      <c r="G65" s="12">
        <v>5</v>
      </c>
      <c r="H65" s="8">
        <v>1.77</v>
      </c>
      <c r="I65" s="12">
        <v>0</v>
      </c>
    </row>
    <row r="66" spans="2:9" ht="15" customHeight="1" x14ac:dyDescent="0.2">
      <c r="B66" t="s">
        <v>135</v>
      </c>
      <c r="C66" s="12">
        <v>11</v>
      </c>
      <c r="D66" s="8">
        <v>1.37</v>
      </c>
      <c r="E66" s="12">
        <v>2</v>
      </c>
      <c r="F66" s="8">
        <v>0.4</v>
      </c>
      <c r="G66" s="12">
        <v>8</v>
      </c>
      <c r="H66" s="8">
        <v>2.83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AFA2-4A24-4347-B89C-7A1EF82287E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342</v>
      </c>
      <c r="D6" s="8">
        <v>13.63</v>
      </c>
      <c r="E6" s="12">
        <v>85</v>
      </c>
      <c r="F6" s="8">
        <v>6.63</v>
      </c>
      <c r="G6" s="12">
        <v>257</v>
      </c>
      <c r="H6" s="8">
        <v>21.56</v>
      </c>
      <c r="I6" s="12">
        <v>0</v>
      </c>
    </row>
    <row r="7" spans="2:9" ht="15" customHeight="1" x14ac:dyDescent="0.2">
      <c r="B7" t="s">
        <v>46</v>
      </c>
      <c r="C7" s="12">
        <v>164</v>
      </c>
      <c r="D7" s="8">
        <v>6.54</v>
      </c>
      <c r="E7" s="12">
        <v>71</v>
      </c>
      <c r="F7" s="8">
        <v>5.54</v>
      </c>
      <c r="G7" s="12">
        <v>92</v>
      </c>
      <c r="H7" s="8">
        <v>7.72</v>
      </c>
      <c r="I7" s="12">
        <v>0</v>
      </c>
    </row>
    <row r="8" spans="2:9" ht="15" customHeight="1" x14ac:dyDescent="0.2">
      <c r="B8" t="s">
        <v>47</v>
      </c>
      <c r="C8" s="12">
        <v>12</v>
      </c>
      <c r="D8" s="8">
        <v>0.48</v>
      </c>
      <c r="E8" s="12">
        <v>0</v>
      </c>
      <c r="F8" s="8">
        <v>0</v>
      </c>
      <c r="G8" s="12">
        <v>12</v>
      </c>
      <c r="H8" s="8">
        <v>1.01</v>
      </c>
      <c r="I8" s="12">
        <v>0</v>
      </c>
    </row>
    <row r="9" spans="2:9" ht="15" customHeight="1" x14ac:dyDescent="0.2">
      <c r="B9" t="s">
        <v>48</v>
      </c>
      <c r="C9" s="12">
        <v>7</v>
      </c>
      <c r="D9" s="8">
        <v>0.28000000000000003</v>
      </c>
      <c r="E9" s="12">
        <v>0</v>
      </c>
      <c r="F9" s="8">
        <v>0</v>
      </c>
      <c r="G9" s="12">
        <v>7</v>
      </c>
      <c r="H9" s="8">
        <v>0.59</v>
      </c>
      <c r="I9" s="12">
        <v>0</v>
      </c>
    </row>
    <row r="10" spans="2:9" ht="15" customHeight="1" x14ac:dyDescent="0.2">
      <c r="B10" t="s">
        <v>49</v>
      </c>
      <c r="C10" s="12">
        <v>23</v>
      </c>
      <c r="D10" s="8">
        <v>0.92</v>
      </c>
      <c r="E10" s="12">
        <v>1</v>
      </c>
      <c r="F10" s="8">
        <v>0.08</v>
      </c>
      <c r="G10" s="12">
        <v>22</v>
      </c>
      <c r="H10" s="8">
        <v>1.85</v>
      </c>
      <c r="I10" s="12">
        <v>0</v>
      </c>
    </row>
    <row r="11" spans="2:9" ht="15" customHeight="1" x14ac:dyDescent="0.2">
      <c r="B11" t="s">
        <v>50</v>
      </c>
      <c r="C11" s="12">
        <v>675</v>
      </c>
      <c r="D11" s="8">
        <v>26.9</v>
      </c>
      <c r="E11" s="12">
        <v>295</v>
      </c>
      <c r="F11" s="8">
        <v>23.01</v>
      </c>
      <c r="G11" s="12">
        <v>379</v>
      </c>
      <c r="H11" s="8">
        <v>31.8</v>
      </c>
      <c r="I11" s="12">
        <v>1</v>
      </c>
    </row>
    <row r="12" spans="2:9" ht="15" customHeight="1" x14ac:dyDescent="0.2">
      <c r="B12" t="s">
        <v>51</v>
      </c>
      <c r="C12" s="12">
        <v>14</v>
      </c>
      <c r="D12" s="8">
        <v>0.56000000000000005</v>
      </c>
      <c r="E12" s="12">
        <v>3</v>
      </c>
      <c r="F12" s="8">
        <v>0.23</v>
      </c>
      <c r="G12" s="12">
        <v>11</v>
      </c>
      <c r="H12" s="8">
        <v>0.92</v>
      </c>
      <c r="I12" s="12">
        <v>0</v>
      </c>
    </row>
    <row r="13" spans="2:9" ht="15" customHeight="1" x14ac:dyDescent="0.2">
      <c r="B13" t="s">
        <v>52</v>
      </c>
      <c r="C13" s="12">
        <v>143</v>
      </c>
      <c r="D13" s="8">
        <v>5.7</v>
      </c>
      <c r="E13" s="12">
        <v>33</v>
      </c>
      <c r="F13" s="8">
        <v>2.57</v>
      </c>
      <c r="G13" s="12">
        <v>109</v>
      </c>
      <c r="H13" s="8">
        <v>9.14</v>
      </c>
      <c r="I13" s="12">
        <v>0</v>
      </c>
    </row>
    <row r="14" spans="2:9" ht="15" customHeight="1" x14ac:dyDescent="0.2">
      <c r="B14" t="s">
        <v>53</v>
      </c>
      <c r="C14" s="12">
        <v>122</v>
      </c>
      <c r="D14" s="8">
        <v>4.8600000000000003</v>
      </c>
      <c r="E14" s="12">
        <v>62</v>
      </c>
      <c r="F14" s="8">
        <v>4.84</v>
      </c>
      <c r="G14" s="12">
        <v>59</v>
      </c>
      <c r="H14" s="8">
        <v>4.95</v>
      </c>
      <c r="I14" s="12">
        <v>0</v>
      </c>
    </row>
    <row r="15" spans="2:9" ht="15" customHeight="1" x14ac:dyDescent="0.2">
      <c r="B15" t="s">
        <v>54</v>
      </c>
      <c r="C15" s="12">
        <v>311</v>
      </c>
      <c r="D15" s="8">
        <v>12.4</v>
      </c>
      <c r="E15" s="12">
        <v>234</v>
      </c>
      <c r="F15" s="8">
        <v>18.25</v>
      </c>
      <c r="G15" s="12">
        <v>76</v>
      </c>
      <c r="H15" s="8">
        <v>6.38</v>
      </c>
      <c r="I15" s="12">
        <v>0</v>
      </c>
    </row>
    <row r="16" spans="2:9" ht="15" customHeight="1" x14ac:dyDescent="0.2">
      <c r="B16" t="s">
        <v>55</v>
      </c>
      <c r="C16" s="12">
        <v>374</v>
      </c>
      <c r="D16" s="8">
        <v>14.91</v>
      </c>
      <c r="E16" s="12">
        <v>305</v>
      </c>
      <c r="F16" s="8">
        <v>23.79</v>
      </c>
      <c r="G16" s="12">
        <v>66</v>
      </c>
      <c r="H16" s="8">
        <v>5.54</v>
      </c>
      <c r="I16" s="12">
        <v>2</v>
      </c>
    </row>
    <row r="17" spans="2:9" ht="15" customHeight="1" x14ac:dyDescent="0.2">
      <c r="B17" t="s">
        <v>56</v>
      </c>
      <c r="C17" s="12">
        <v>90</v>
      </c>
      <c r="D17" s="8">
        <v>3.59</v>
      </c>
      <c r="E17" s="12">
        <v>57</v>
      </c>
      <c r="F17" s="8">
        <v>4.45</v>
      </c>
      <c r="G17" s="12">
        <v>14</v>
      </c>
      <c r="H17" s="8">
        <v>1.17</v>
      </c>
      <c r="I17" s="12">
        <v>0</v>
      </c>
    </row>
    <row r="18" spans="2:9" ht="15" customHeight="1" x14ac:dyDescent="0.2">
      <c r="B18" t="s">
        <v>57</v>
      </c>
      <c r="C18" s="12">
        <v>132</v>
      </c>
      <c r="D18" s="8">
        <v>5.26</v>
      </c>
      <c r="E18" s="12">
        <v>83</v>
      </c>
      <c r="F18" s="8">
        <v>6.47</v>
      </c>
      <c r="G18" s="12">
        <v>46</v>
      </c>
      <c r="H18" s="8">
        <v>3.86</v>
      </c>
      <c r="I18" s="12">
        <v>1</v>
      </c>
    </row>
    <row r="19" spans="2:9" ht="15" customHeight="1" x14ac:dyDescent="0.2">
      <c r="B19" t="s">
        <v>58</v>
      </c>
      <c r="C19" s="12">
        <v>100</v>
      </c>
      <c r="D19" s="8">
        <v>3.99</v>
      </c>
      <c r="E19" s="12">
        <v>53</v>
      </c>
      <c r="F19" s="8">
        <v>4.13</v>
      </c>
      <c r="G19" s="12">
        <v>42</v>
      </c>
      <c r="H19" s="8">
        <v>3.52</v>
      </c>
      <c r="I19" s="12">
        <v>1</v>
      </c>
    </row>
    <row r="20" spans="2:9" ht="15" customHeight="1" x14ac:dyDescent="0.2">
      <c r="B20" s="9" t="s">
        <v>241</v>
      </c>
      <c r="C20" s="12">
        <f>SUM(LTBL_46218[総数／事業所数])</f>
        <v>2509</v>
      </c>
      <c r="E20" s="12">
        <f>SUBTOTAL(109,LTBL_46218[個人／事業所数])</f>
        <v>1282</v>
      </c>
      <c r="G20" s="12">
        <f>SUBTOTAL(109,LTBL_46218[法人／事業所数])</f>
        <v>1192</v>
      </c>
      <c r="I20" s="12">
        <f>SUBTOTAL(109,LTBL_46218[法人以外の団体／事業所数])</f>
        <v>5</v>
      </c>
    </row>
    <row r="21" spans="2:9" ht="15" customHeight="1" x14ac:dyDescent="0.2">
      <c r="E21" s="11">
        <f>LTBL_46218[[#Totals],[個人／事業所数]]/LTBL_46218[[#Totals],[総数／事業所数]]</f>
        <v>0.51096054204862495</v>
      </c>
      <c r="G21" s="11">
        <f>LTBL_46218[[#Totals],[法人／事業所数]]/LTBL_46218[[#Totals],[総数／事業所数]]</f>
        <v>0.47508967716221601</v>
      </c>
      <c r="I21" s="11">
        <f>LTBL_46218[[#Totals],[法人以外の団体／事業所数]]/LTBL_46218[[#Totals],[総数／事業所数]]</f>
        <v>1.9928258270227183E-3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328</v>
      </c>
      <c r="D24" s="8">
        <v>13.07</v>
      </c>
      <c r="E24" s="12">
        <v>283</v>
      </c>
      <c r="F24" s="8">
        <v>22.07</v>
      </c>
      <c r="G24" s="12">
        <v>43</v>
      </c>
      <c r="H24" s="8">
        <v>3.61</v>
      </c>
      <c r="I24" s="12">
        <v>1</v>
      </c>
    </row>
    <row r="25" spans="2:9" ht="15" customHeight="1" x14ac:dyDescent="0.2">
      <c r="B25" t="s">
        <v>81</v>
      </c>
      <c r="C25" s="12">
        <v>257</v>
      </c>
      <c r="D25" s="8">
        <v>10.24</v>
      </c>
      <c r="E25" s="12">
        <v>219</v>
      </c>
      <c r="F25" s="8">
        <v>17.079999999999998</v>
      </c>
      <c r="G25" s="12">
        <v>38</v>
      </c>
      <c r="H25" s="8">
        <v>3.19</v>
      </c>
      <c r="I25" s="12">
        <v>0</v>
      </c>
    </row>
    <row r="26" spans="2:9" ht="15" customHeight="1" x14ac:dyDescent="0.2">
      <c r="B26" t="s">
        <v>75</v>
      </c>
      <c r="C26" s="12">
        <v>204</v>
      </c>
      <c r="D26" s="8">
        <v>8.1300000000000008</v>
      </c>
      <c r="E26" s="12">
        <v>93</v>
      </c>
      <c r="F26" s="8">
        <v>7.25</v>
      </c>
      <c r="G26" s="12">
        <v>110</v>
      </c>
      <c r="H26" s="8">
        <v>9.23</v>
      </c>
      <c r="I26" s="12">
        <v>1</v>
      </c>
    </row>
    <row r="27" spans="2:9" ht="15" customHeight="1" x14ac:dyDescent="0.2">
      <c r="B27" t="s">
        <v>67</v>
      </c>
      <c r="C27" s="12">
        <v>165</v>
      </c>
      <c r="D27" s="8">
        <v>6.58</v>
      </c>
      <c r="E27" s="12">
        <v>28</v>
      </c>
      <c r="F27" s="8">
        <v>2.1800000000000002</v>
      </c>
      <c r="G27" s="12">
        <v>137</v>
      </c>
      <c r="H27" s="8">
        <v>11.49</v>
      </c>
      <c r="I27" s="12">
        <v>0</v>
      </c>
    </row>
    <row r="28" spans="2:9" ht="15" customHeight="1" x14ac:dyDescent="0.2">
      <c r="B28" t="s">
        <v>73</v>
      </c>
      <c r="C28" s="12">
        <v>155</v>
      </c>
      <c r="D28" s="8">
        <v>6.18</v>
      </c>
      <c r="E28" s="12">
        <v>97</v>
      </c>
      <c r="F28" s="8">
        <v>7.57</v>
      </c>
      <c r="G28" s="12">
        <v>58</v>
      </c>
      <c r="H28" s="8">
        <v>4.87</v>
      </c>
      <c r="I28" s="12">
        <v>0</v>
      </c>
    </row>
    <row r="29" spans="2:9" ht="15" customHeight="1" x14ac:dyDescent="0.2">
      <c r="B29" t="s">
        <v>74</v>
      </c>
      <c r="C29" s="12">
        <v>106</v>
      </c>
      <c r="D29" s="8">
        <v>4.22</v>
      </c>
      <c r="E29" s="12">
        <v>65</v>
      </c>
      <c r="F29" s="8">
        <v>5.07</v>
      </c>
      <c r="G29" s="12">
        <v>41</v>
      </c>
      <c r="H29" s="8">
        <v>3.44</v>
      </c>
      <c r="I29" s="12">
        <v>0</v>
      </c>
    </row>
    <row r="30" spans="2:9" ht="15" customHeight="1" x14ac:dyDescent="0.2">
      <c r="B30" t="s">
        <v>84</v>
      </c>
      <c r="C30" s="12">
        <v>94</v>
      </c>
      <c r="D30" s="8">
        <v>3.75</v>
      </c>
      <c r="E30" s="12">
        <v>82</v>
      </c>
      <c r="F30" s="8">
        <v>6.4</v>
      </c>
      <c r="G30" s="12">
        <v>12</v>
      </c>
      <c r="H30" s="8">
        <v>1.01</v>
      </c>
      <c r="I30" s="12">
        <v>0</v>
      </c>
    </row>
    <row r="31" spans="2:9" ht="15" customHeight="1" x14ac:dyDescent="0.2">
      <c r="B31" t="s">
        <v>83</v>
      </c>
      <c r="C31" s="12">
        <v>90</v>
      </c>
      <c r="D31" s="8">
        <v>3.59</v>
      </c>
      <c r="E31" s="12">
        <v>57</v>
      </c>
      <c r="F31" s="8">
        <v>4.45</v>
      </c>
      <c r="G31" s="12">
        <v>14</v>
      </c>
      <c r="H31" s="8">
        <v>1.17</v>
      </c>
      <c r="I31" s="12">
        <v>0</v>
      </c>
    </row>
    <row r="32" spans="2:9" ht="15" customHeight="1" x14ac:dyDescent="0.2">
      <c r="B32" t="s">
        <v>69</v>
      </c>
      <c r="C32" s="12">
        <v>89</v>
      </c>
      <c r="D32" s="8">
        <v>3.55</v>
      </c>
      <c r="E32" s="12">
        <v>24</v>
      </c>
      <c r="F32" s="8">
        <v>1.87</v>
      </c>
      <c r="G32" s="12">
        <v>65</v>
      </c>
      <c r="H32" s="8">
        <v>5.45</v>
      </c>
      <c r="I32" s="12">
        <v>0</v>
      </c>
    </row>
    <row r="33" spans="2:9" ht="15" customHeight="1" x14ac:dyDescent="0.2">
      <c r="B33" t="s">
        <v>68</v>
      </c>
      <c r="C33" s="12">
        <v>88</v>
      </c>
      <c r="D33" s="8">
        <v>3.51</v>
      </c>
      <c r="E33" s="12">
        <v>33</v>
      </c>
      <c r="F33" s="8">
        <v>2.57</v>
      </c>
      <c r="G33" s="12">
        <v>55</v>
      </c>
      <c r="H33" s="8">
        <v>4.6100000000000003</v>
      </c>
      <c r="I33" s="12">
        <v>0</v>
      </c>
    </row>
    <row r="34" spans="2:9" ht="15" customHeight="1" x14ac:dyDescent="0.2">
      <c r="B34" t="s">
        <v>77</v>
      </c>
      <c r="C34" s="12">
        <v>76</v>
      </c>
      <c r="D34" s="8">
        <v>3.03</v>
      </c>
      <c r="E34" s="12">
        <v>20</v>
      </c>
      <c r="F34" s="8">
        <v>1.56</v>
      </c>
      <c r="G34" s="12">
        <v>55</v>
      </c>
      <c r="H34" s="8">
        <v>4.6100000000000003</v>
      </c>
      <c r="I34" s="12">
        <v>0</v>
      </c>
    </row>
    <row r="35" spans="2:9" ht="15" customHeight="1" x14ac:dyDescent="0.2">
      <c r="B35" t="s">
        <v>79</v>
      </c>
      <c r="C35" s="12">
        <v>74</v>
      </c>
      <c r="D35" s="8">
        <v>2.95</v>
      </c>
      <c r="E35" s="12">
        <v>27</v>
      </c>
      <c r="F35" s="8">
        <v>2.11</v>
      </c>
      <c r="G35" s="12">
        <v>46</v>
      </c>
      <c r="H35" s="8">
        <v>3.86</v>
      </c>
      <c r="I35" s="12">
        <v>0</v>
      </c>
    </row>
    <row r="36" spans="2:9" ht="15" customHeight="1" x14ac:dyDescent="0.2">
      <c r="B36" t="s">
        <v>76</v>
      </c>
      <c r="C36" s="12">
        <v>54</v>
      </c>
      <c r="D36" s="8">
        <v>2.15</v>
      </c>
      <c r="E36" s="12">
        <v>11</v>
      </c>
      <c r="F36" s="8">
        <v>0.86</v>
      </c>
      <c r="G36" s="12">
        <v>43</v>
      </c>
      <c r="H36" s="8">
        <v>3.61</v>
      </c>
      <c r="I36" s="12">
        <v>0</v>
      </c>
    </row>
    <row r="37" spans="2:9" ht="15" customHeight="1" x14ac:dyDescent="0.2">
      <c r="B37" t="s">
        <v>72</v>
      </c>
      <c r="C37" s="12">
        <v>52</v>
      </c>
      <c r="D37" s="8">
        <v>2.0699999999999998</v>
      </c>
      <c r="E37" s="12">
        <v>25</v>
      </c>
      <c r="F37" s="8">
        <v>1.95</v>
      </c>
      <c r="G37" s="12">
        <v>27</v>
      </c>
      <c r="H37" s="8">
        <v>2.27</v>
      </c>
      <c r="I37" s="12">
        <v>0</v>
      </c>
    </row>
    <row r="38" spans="2:9" ht="15" customHeight="1" x14ac:dyDescent="0.2">
      <c r="B38" t="s">
        <v>86</v>
      </c>
      <c r="C38" s="12">
        <v>49</v>
      </c>
      <c r="D38" s="8">
        <v>1.95</v>
      </c>
      <c r="E38" s="12">
        <v>44</v>
      </c>
      <c r="F38" s="8">
        <v>3.43</v>
      </c>
      <c r="G38" s="12">
        <v>5</v>
      </c>
      <c r="H38" s="8">
        <v>0.42</v>
      </c>
      <c r="I38" s="12">
        <v>0</v>
      </c>
    </row>
    <row r="39" spans="2:9" ht="15" customHeight="1" x14ac:dyDescent="0.2">
      <c r="B39" t="s">
        <v>78</v>
      </c>
      <c r="C39" s="12">
        <v>44</v>
      </c>
      <c r="D39" s="8">
        <v>1.75</v>
      </c>
      <c r="E39" s="12">
        <v>35</v>
      </c>
      <c r="F39" s="8">
        <v>2.73</v>
      </c>
      <c r="G39" s="12">
        <v>9</v>
      </c>
      <c r="H39" s="8">
        <v>0.76</v>
      </c>
      <c r="I39" s="12">
        <v>0</v>
      </c>
    </row>
    <row r="40" spans="2:9" ht="15" customHeight="1" x14ac:dyDescent="0.2">
      <c r="B40" t="s">
        <v>87</v>
      </c>
      <c r="C40" s="12">
        <v>41</v>
      </c>
      <c r="D40" s="8">
        <v>1.63</v>
      </c>
      <c r="E40" s="12">
        <v>2</v>
      </c>
      <c r="F40" s="8">
        <v>0.16</v>
      </c>
      <c r="G40" s="12">
        <v>39</v>
      </c>
      <c r="H40" s="8">
        <v>3.27</v>
      </c>
      <c r="I40" s="12">
        <v>0</v>
      </c>
    </row>
    <row r="41" spans="2:9" ht="15" customHeight="1" x14ac:dyDescent="0.2">
      <c r="B41" t="s">
        <v>70</v>
      </c>
      <c r="C41" s="12">
        <v>40</v>
      </c>
      <c r="D41" s="8">
        <v>1.59</v>
      </c>
      <c r="E41" s="12">
        <v>17</v>
      </c>
      <c r="F41" s="8">
        <v>1.33</v>
      </c>
      <c r="G41" s="12">
        <v>22</v>
      </c>
      <c r="H41" s="8">
        <v>1.85</v>
      </c>
      <c r="I41" s="12">
        <v>0</v>
      </c>
    </row>
    <row r="42" spans="2:9" ht="15" customHeight="1" x14ac:dyDescent="0.2">
      <c r="B42" t="s">
        <v>88</v>
      </c>
      <c r="C42" s="12">
        <v>40</v>
      </c>
      <c r="D42" s="8">
        <v>1.59</v>
      </c>
      <c r="E42" s="12">
        <v>2</v>
      </c>
      <c r="F42" s="8">
        <v>0.16</v>
      </c>
      <c r="G42" s="12">
        <v>38</v>
      </c>
      <c r="H42" s="8">
        <v>3.19</v>
      </c>
      <c r="I42" s="12">
        <v>0</v>
      </c>
    </row>
    <row r="43" spans="2:9" ht="15" customHeight="1" x14ac:dyDescent="0.2">
      <c r="B43" t="s">
        <v>80</v>
      </c>
      <c r="C43" s="12">
        <v>40</v>
      </c>
      <c r="D43" s="8">
        <v>1.59</v>
      </c>
      <c r="E43" s="12">
        <v>12</v>
      </c>
      <c r="F43" s="8">
        <v>0.94</v>
      </c>
      <c r="G43" s="12">
        <v>28</v>
      </c>
      <c r="H43" s="8">
        <v>2.35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170</v>
      </c>
      <c r="D47" s="8">
        <v>6.78</v>
      </c>
      <c r="E47" s="12">
        <v>156</v>
      </c>
      <c r="F47" s="8">
        <v>12.17</v>
      </c>
      <c r="G47" s="12">
        <v>14</v>
      </c>
      <c r="H47" s="8">
        <v>1.17</v>
      </c>
      <c r="I47" s="12">
        <v>0</v>
      </c>
    </row>
    <row r="48" spans="2:9" ht="15" customHeight="1" x14ac:dyDescent="0.2">
      <c r="B48" t="s">
        <v>139</v>
      </c>
      <c r="C48" s="12">
        <v>94</v>
      </c>
      <c r="D48" s="8">
        <v>3.75</v>
      </c>
      <c r="E48" s="12">
        <v>93</v>
      </c>
      <c r="F48" s="8">
        <v>7.25</v>
      </c>
      <c r="G48" s="12">
        <v>1</v>
      </c>
      <c r="H48" s="8">
        <v>0.08</v>
      </c>
      <c r="I48" s="12">
        <v>0</v>
      </c>
    </row>
    <row r="49" spans="2:9" ht="15" customHeight="1" x14ac:dyDescent="0.2">
      <c r="B49" t="s">
        <v>130</v>
      </c>
      <c r="C49" s="12">
        <v>82</v>
      </c>
      <c r="D49" s="8">
        <v>3.27</v>
      </c>
      <c r="E49" s="12">
        <v>49</v>
      </c>
      <c r="F49" s="8">
        <v>3.82</v>
      </c>
      <c r="G49" s="12">
        <v>33</v>
      </c>
      <c r="H49" s="8">
        <v>2.77</v>
      </c>
      <c r="I49" s="12">
        <v>0</v>
      </c>
    </row>
    <row r="50" spans="2:9" ht="15" customHeight="1" x14ac:dyDescent="0.2">
      <c r="B50" t="s">
        <v>142</v>
      </c>
      <c r="C50" s="12">
        <v>70</v>
      </c>
      <c r="D50" s="8">
        <v>2.79</v>
      </c>
      <c r="E50" s="12">
        <v>61</v>
      </c>
      <c r="F50" s="8">
        <v>4.76</v>
      </c>
      <c r="G50" s="12">
        <v>9</v>
      </c>
      <c r="H50" s="8">
        <v>0.76</v>
      </c>
      <c r="I50" s="12">
        <v>0</v>
      </c>
    </row>
    <row r="51" spans="2:9" ht="15" customHeight="1" x14ac:dyDescent="0.2">
      <c r="B51" t="s">
        <v>124</v>
      </c>
      <c r="C51" s="12">
        <v>68</v>
      </c>
      <c r="D51" s="8">
        <v>2.71</v>
      </c>
      <c r="E51" s="12">
        <v>5</v>
      </c>
      <c r="F51" s="8">
        <v>0.39</v>
      </c>
      <c r="G51" s="12">
        <v>63</v>
      </c>
      <c r="H51" s="8">
        <v>5.29</v>
      </c>
      <c r="I51" s="12">
        <v>0</v>
      </c>
    </row>
    <row r="52" spans="2:9" ht="15" customHeight="1" x14ac:dyDescent="0.2">
      <c r="B52" t="s">
        <v>136</v>
      </c>
      <c r="C52" s="12">
        <v>61</v>
      </c>
      <c r="D52" s="8">
        <v>2.4300000000000002</v>
      </c>
      <c r="E52" s="12">
        <v>47</v>
      </c>
      <c r="F52" s="8">
        <v>3.67</v>
      </c>
      <c r="G52" s="12">
        <v>14</v>
      </c>
      <c r="H52" s="8">
        <v>1.17</v>
      </c>
      <c r="I52" s="12">
        <v>0</v>
      </c>
    </row>
    <row r="53" spans="2:9" ht="15" customHeight="1" x14ac:dyDescent="0.2">
      <c r="B53" t="s">
        <v>129</v>
      </c>
      <c r="C53" s="12">
        <v>56</v>
      </c>
      <c r="D53" s="8">
        <v>2.23</v>
      </c>
      <c r="E53" s="12">
        <v>28</v>
      </c>
      <c r="F53" s="8">
        <v>2.1800000000000002</v>
      </c>
      <c r="G53" s="12">
        <v>28</v>
      </c>
      <c r="H53" s="8">
        <v>2.35</v>
      </c>
      <c r="I53" s="12">
        <v>0</v>
      </c>
    </row>
    <row r="54" spans="2:9" ht="15" customHeight="1" x14ac:dyDescent="0.2">
      <c r="B54" t="s">
        <v>137</v>
      </c>
      <c r="C54" s="12">
        <v>55</v>
      </c>
      <c r="D54" s="8">
        <v>2.19</v>
      </c>
      <c r="E54" s="12">
        <v>44</v>
      </c>
      <c r="F54" s="8">
        <v>3.43</v>
      </c>
      <c r="G54" s="12">
        <v>11</v>
      </c>
      <c r="H54" s="8">
        <v>0.92</v>
      </c>
      <c r="I54" s="12">
        <v>0</v>
      </c>
    </row>
    <row r="55" spans="2:9" ht="15" customHeight="1" x14ac:dyDescent="0.2">
      <c r="B55" t="s">
        <v>143</v>
      </c>
      <c r="C55" s="12">
        <v>49</v>
      </c>
      <c r="D55" s="8">
        <v>1.95</v>
      </c>
      <c r="E55" s="12">
        <v>44</v>
      </c>
      <c r="F55" s="8">
        <v>3.43</v>
      </c>
      <c r="G55" s="12">
        <v>5</v>
      </c>
      <c r="H55" s="8">
        <v>0.42</v>
      </c>
      <c r="I55" s="12">
        <v>0</v>
      </c>
    </row>
    <row r="56" spans="2:9" ht="15" customHeight="1" x14ac:dyDescent="0.2">
      <c r="B56" t="s">
        <v>131</v>
      </c>
      <c r="C56" s="12">
        <v>47</v>
      </c>
      <c r="D56" s="8">
        <v>1.87</v>
      </c>
      <c r="E56" s="12">
        <v>16</v>
      </c>
      <c r="F56" s="8">
        <v>1.25</v>
      </c>
      <c r="G56" s="12">
        <v>31</v>
      </c>
      <c r="H56" s="8">
        <v>2.6</v>
      </c>
      <c r="I56" s="12">
        <v>0</v>
      </c>
    </row>
    <row r="57" spans="2:9" ht="15" customHeight="1" x14ac:dyDescent="0.2">
      <c r="B57" t="s">
        <v>134</v>
      </c>
      <c r="C57" s="12">
        <v>45</v>
      </c>
      <c r="D57" s="8">
        <v>1.79</v>
      </c>
      <c r="E57" s="12">
        <v>15</v>
      </c>
      <c r="F57" s="8">
        <v>1.17</v>
      </c>
      <c r="G57" s="12">
        <v>29</v>
      </c>
      <c r="H57" s="8">
        <v>2.4300000000000002</v>
      </c>
      <c r="I57" s="12">
        <v>0</v>
      </c>
    </row>
    <row r="58" spans="2:9" ht="15" customHeight="1" x14ac:dyDescent="0.2">
      <c r="B58" t="s">
        <v>126</v>
      </c>
      <c r="C58" s="12">
        <v>44</v>
      </c>
      <c r="D58" s="8">
        <v>1.75</v>
      </c>
      <c r="E58" s="12">
        <v>12</v>
      </c>
      <c r="F58" s="8">
        <v>0.94</v>
      </c>
      <c r="G58" s="12">
        <v>32</v>
      </c>
      <c r="H58" s="8">
        <v>2.68</v>
      </c>
      <c r="I58" s="12">
        <v>0</v>
      </c>
    </row>
    <row r="59" spans="2:9" ht="15" customHeight="1" x14ac:dyDescent="0.2">
      <c r="B59" t="s">
        <v>138</v>
      </c>
      <c r="C59" s="12">
        <v>44</v>
      </c>
      <c r="D59" s="8">
        <v>1.75</v>
      </c>
      <c r="E59" s="12">
        <v>42</v>
      </c>
      <c r="F59" s="8">
        <v>3.28</v>
      </c>
      <c r="G59" s="12">
        <v>2</v>
      </c>
      <c r="H59" s="8">
        <v>0.17</v>
      </c>
      <c r="I59" s="12">
        <v>0</v>
      </c>
    </row>
    <row r="60" spans="2:9" ht="15" customHeight="1" x14ac:dyDescent="0.2">
      <c r="B60" t="s">
        <v>132</v>
      </c>
      <c r="C60" s="12">
        <v>43</v>
      </c>
      <c r="D60" s="8">
        <v>1.71</v>
      </c>
      <c r="E60" s="12">
        <v>6</v>
      </c>
      <c r="F60" s="8">
        <v>0.47</v>
      </c>
      <c r="G60" s="12">
        <v>37</v>
      </c>
      <c r="H60" s="8">
        <v>3.1</v>
      </c>
      <c r="I60" s="12">
        <v>0</v>
      </c>
    </row>
    <row r="61" spans="2:9" ht="15" customHeight="1" x14ac:dyDescent="0.2">
      <c r="B61" t="s">
        <v>133</v>
      </c>
      <c r="C61" s="12">
        <v>42</v>
      </c>
      <c r="D61" s="8">
        <v>1.67</v>
      </c>
      <c r="E61" s="12">
        <v>28</v>
      </c>
      <c r="F61" s="8">
        <v>2.1800000000000002</v>
      </c>
      <c r="G61" s="12">
        <v>14</v>
      </c>
      <c r="H61" s="8">
        <v>1.17</v>
      </c>
      <c r="I61" s="12">
        <v>0</v>
      </c>
    </row>
    <row r="62" spans="2:9" ht="15" customHeight="1" x14ac:dyDescent="0.2">
      <c r="B62" t="s">
        <v>135</v>
      </c>
      <c r="C62" s="12">
        <v>42</v>
      </c>
      <c r="D62" s="8">
        <v>1.67</v>
      </c>
      <c r="E62" s="12">
        <v>12</v>
      </c>
      <c r="F62" s="8">
        <v>0.94</v>
      </c>
      <c r="G62" s="12">
        <v>29</v>
      </c>
      <c r="H62" s="8">
        <v>2.4300000000000002</v>
      </c>
      <c r="I62" s="12">
        <v>0</v>
      </c>
    </row>
    <row r="63" spans="2:9" ht="15" customHeight="1" x14ac:dyDescent="0.2">
      <c r="B63" t="s">
        <v>141</v>
      </c>
      <c r="C63" s="12">
        <v>42</v>
      </c>
      <c r="D63" s="8">
        <v>1.67</v>
      </c>
      <c r="E63" s="12">
        <v>33</v>
      </c>
      <c r="F63" s="8">
        <v>2.57</v>
      </c>
      <c r="G63" s="12">
        <v>9</v>
      </c>
      <c r="H63" s="8">
        <v>0.76</v>
      </c>
      <c r="I63" s="12">
        <v>0</v>
      </c>
    </row>
    <row r="64" spans="2:9" ht="15" customHeight="1" x14ac:dyDescent="0.2">
      <c r="B64" t="s">
        <v>128</v>
      </c>
      <c r="C64" s="12">
        <v>37</v>
      </c>
      <c r="D64" s="8">
        <v>1.47</v>
      </c>
      <c r="E64" s="12">
        <v>24</v>
      </c>
      <c r="F64" s="8">
        <v>1.87</v>
      </c>
      <c r="G64" s="12">
        <v>13</v>
      </c>
      <c r="H64" s="8">
        <v>1.0900000000000001</v>
      </c>
      <c r="I64" s="12">
        <v>0</v>
      </c>
    </row>
    <row r="65" spans="2:9" ht="15" customHeight="1" x14ac:dyDescent="0.2">
      <c r="B65" t="s">
        <v>169</v>
      </c>
      <c r="C65" s="12">
        <v>36</v>
      </c>
      <c r="D65" s="8">
        <v>1.43</v>
      </c>
      <c r="E65" s="12">
        <v>12</v>
      </c>
      <c r="F65" s="8">
        <v>0.94</v>
      </c>
      <c r="G65" s="12">
        <v>24</v>
      </c>
      <c r="H65" s="8">
        <v>2.0099999999999998</v>
      </c>
      <c r="I65" s="12">
        <v>0</v>
      </c>
    </row>
    <row r="66" spans="2:9" ht="15" customHeight="1" x14ac:dyDescent="0.2">
      <c r="B66" t="s">
        <v>125</v>
      </c>
      <c r="C66" s="12">
        <v>35</v>
      </c>
      <c r="D66" s="8">
        <v>1.39</v>
      </c>
      <c r="E66" s="12">
        <v>7</v>
      </c>
      <c r="F66" s="8">
        <v>0.55000000000000004</v>
      </c>
      <c r="G66" s="12">
        <v>28</v>
      </c>
      <c r="H66" s="8">
        <v>2.35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8651-36F3-4C47-A95C-E561A4DE2A3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106</v>
      </c>
      <c r="D6" s="8">
        <v>13.8</v>
      </c>
      <c r="E6" s="12">
        <v>40</v>
      </c>
      <c r="F6" s="8">
        <v>8.39</v>
      </c>
      <c r="G6" s="12">
        <v>66</v>
      </c>
      <c r="H6" s="8">
        <v>23.74</v>
      </c>
      <c r="I6" s="12">
        <v>0</v>
      </c>
    </row>
    <row r="7" spans="2:9" ht="15" customHeight="1" x14ac:dyDescent="0.2">
      <c r="B7" t="s">
        <v>46</v>
      </c>
      <c r="C7" s="12">
        <v>66</v>
      </c>
      <c r="D7" s="8">
        <v>8.59</v>
      </c>
      <c r="E7" s="12">
        <v>24</v>
      </c>
      <c r="F7" s="8">
        <v>5.03</v>
      </c>
      <c r="G7" s="12">
        <v>42</v>
      </c>
      <c r="H7" s="8">
        <v>15.11</v>
      </c>
      <c r="I7" s="12">
        <v>0</v>
      </c>
    </row>
    <row r="8" spans="2:9" ht="15" customHeight="1" x14ac:dyDescent="0.2">
      <c r="B8" t="s">
        <v>47</v>
      </c>
      <c r="C8" s="12">
        <v>2</v>
      </c>
      <c r="D8" s="8">
        <v>0.26</v>
      </c>
      <c r="E8" s="12">
        <v>0</v>
      </c>
      <c r="F8" s="8">
        <v>0</v>
      </c>
      <c r="G8" s="12">
        <v>2</v>
      </c>
      <c r="H8" s="8">
        <v>0.72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0.39</v>
      </c>
      <c r="E9" s="12">
        <v>0</v>
      </c>
      <c r="F9" s="8">
        <v>0</v>
      </c>
      <c r="G9" s="12">
        <v>3</v>
      </c>
      <c r="H9" s="8">
        <v>1.08</v>
      </c>
      <c r="I9" s="12">
        <v>0</v>
      </c>
    </row>
    <row r="10" spans="2:9" ht="15" customHeight="1" x14ac:dyDescent="0.2">
      <c r="B10" t="s">
        <v>49</v>
      </c>
      <c r="C10" s="12">
        <v>8</v>
      </c>
      <c r="D10" s="8">
        <v>1.04</v>
      </c>
      <c r="E10" s="12">
        <v>4</v>
      </c>
      <c r="F10" s="8">
        <v>0.84</v>
      </c>
      <c r="G10" s="12">
        <v>4</v>
      </c>
      <c r="H10" s="8">
        <v>1.44</v>
      </c>
      <c r="I10" s="12">
        <v>0</v>
      </c>
    </row>
    <row r="11" spans="2:9" ht="15" customHeight="1" x14ac:dyDescent="0.2">
      <c r="B11" t="s">
        <v>50</v>
      </c>
      <c r="C11" s="12">
        <v>216</v>
      </c>
      <c r="D11" s="8">
        <v>28.13</v>
      </c>
      <c r="E11" s="12">
        <v>130</v>
      </c>
      <c r="F11" s="8">
        <v>27.25</v>
      </c>
      <c r="G11" s="12">
        <v>84</v>
      </c>
      <c r="H11" s="8">
        <v>30.22</v>
      </c>
      <c r="I11" s="12">
        <v>2</v>
      </c>
    </row>
    <row r="12" spans="2:9" ht="15" customHeight="1" x14ac:dyDescent="0.2">
      <c r="B12" t="s">
        <v>51</v>
      </c>
      <c r="C12" s="12">
        <v>7</v>
      </c>
      <c r="D12" s="8">
        <v>0.91</v>
      </c>
      <c r="E12" s="12">
        <v>4</v>
      </c>
      <c r="F12" s="8">
        <v>0.84</v>
      </c>
      <c r="G12" s="12">
        <v>3</v>
      </c>
      <c r="H12" s="8">
        <v>1.08</v>
      </c>
      <c r="I12" s="12">
        <v>0</v>
      </c>
    </row>
    <row r="13" spans="2:9" ht="15" customHeight="1" x14ac:dyDescent="0.2">
      <c r="B13" t="s">
        <v>52</v>
      </c>
      <c r="C13" s="12">
        <v>32</v>
      </c>
      <c r="D13" s="8">
        <v>4.17</v>
      </c>
      <c r="E13" s="12">
        <v>18</v>
      </c>
      <c r="F13" s="8">
        <v>3.77</v>
      </c>
      <c r="G13" s="12">
        <v>14</v>
      </c>
      <c r="H13" s="8">
        <v>5.04</v>
      </c>
      <c r="I13" s="12">
        <v>0</v>
      </c>
    </row>
    <row r="14" spans="2:9" ht="15" customHeight="1" x14ac:dyDescent="0.2">
      <c r="B14" t="s">
        <v>53</v>
      </c>
      <c r="C14" s="12">
        <v>22</v>
      </c>
      <c r="D14" s="8">
        <v>2.86</v>
      </c>
      <c r="E14" s="12">
        <v>16</v>
      </c>
      <c r="F14" s="8">
        <v>3.35</v>
      </c>
      <c r="G14" s="12">
        <v>6</v>
      </c>
      <c r="H14" s="8">
        <v>2.16</v>
      </c>
      <c r="I14" s="12">
        <v>0</v>
      </c>
    </row>
    <row r="15" spans="2:9" ht="15" customHeight="1" x14ac:dyDescent="0.2">
      <c r="B15" t="s">
        <v>54</v>
      </c>
      <c r="C15" s="12">
        <v>81</v>
      </c>
      <c r="D15" s="8">
        <v>10.55</v>
      </c>
      <c r="E15" s="12">
        <v>68</v>
      </c>
      <c r="F15" s="8">
        <v>14.26</v>
      </c>
      <c r="G15" s="12">
        <v>11</v>
      </c>
      <c r="H15" s="8">
        <v>3.96</v>
      </c>
      <c r="I15" s="12">
        <v>0</v>
      </c>
    </row>
    <row r="16" spans="2:9" ht="15" customHeight="1" x14ac:dyDescent="0.2">
      <c r="B16" t="s">
        <v>55</v>
      </c>
      <c r="C16" s="12">
        <v>111</v>
      </c>
      <c r="D16" s="8">
        <v>14.45</v>
      </c>
      <c r="E16" s="12">
        <v>97</v>
      </c>
      <c r="F16" s="8">
        <v>20.34</v>
      </c>
      <c r="G16" s="12">
        <v>14</v>
      </c>
      <c r="H16" s="8">
        <v>5.04</v>
      </c>
      <c r="I16" s="12">
        <v>0</v>
      </c>
    </row>
    <row r="17" spans="2:9" ht="15" customHeight="1" x14ac:dyDescent="0.2">
      <c r="B17" t="s">
        <v>56</v>
      </c>
      <c r="C17" s="12">
        <v>26</v>
      </c>
      <c r="D17" s="8">
        <v>3.39</v>
      </c>
      <c r="E17" s="12">
        <v>21</v>
      </c>
      <c r="F17" s="8">
        <v>4.4000000000000004</v>
      </c>
      <c r="G17" s="12">
        <v>1</v>
      </c>
      <c r="H17" s="8">
        <v>0.36</v>
      </c>
      <c r="I17" s="12">
        <v>1</v>
      </c>
    </row>
    <row r="18" spans="2:9" ht="15" customHeight="1" x14ac:dyDescent="0.2">
      <c r="B18" t="s">
        <v>57</v>
      </c>
      <c r="C18" s="12">
        <v>41</v>
      </c>
      <c r="D18" s="8">
        <v>5.34</v>
      </c>
      <c r="E18" s="12">
        <v>27</v>
      </c>
      <c r="F18" s="8">
        <v>5.66</v>
      </c>
      <c r="G18" s="12">
        <v>14</v>
      </c>
      <c r="H18" s="8">
        <v>5.04</v>
      </c>
      <c r="I18" s="12">
        <v>0</v>
      </c>
    </row>
    <row r="19" spans="2:9" ht="15" customHeight="1" x14ac:dyDescent="0.2">
      <c r="B19" t="s">
        <v>58</v>
      </c>
      <c r="C19" s="12">
        <v>47</v>
      </c>
      <c r="D19" s="8">
        <v>6.12</v>
      </c>
      <c r="E19" s="12">
        <v>28</v>
      </c>
      <c r="F19" s="8">
        <v>5.87</v>
      </c>
      <c r="G19" s="12">
        <v>14</v>
      </c>
      <c r="H19" s="8">
        <v>5.04</v>
      </c>
      <c r="I19" s="12">
        <v>4</v>
      </c>
    </row>
    <row r="20" spans="2:9" ht="15" customHeight="1" x14ac:dyDescent="0.2">
      <c r="B20" s="9" t="s">
        <v>241</v>
      </c>
      <c r="C20" s="12">
        <f>SUM(LTBL_46219[総数／事業所数])</f>
        <v>768</v>
      </c>
      <c r="E20" s="12">
        <f>SUBTOTAL(109,LTBL_46219[個人／事業所数])</f>
        <v>477</v>
      </c>
      <c r="G20" s="12">
        <f>SUBTOTAL(109,LTBL_46219[法人／事業所数])</f>
        <v>278</v>
      </c>
      <c r="I20" s="12">
        <f>SUBTOTAL(109,LTBL_46219[法人以外の団体／事業所数])</f>
        <v>7</v>
      </c>
    </row>
    <row r="21" spans="2:9" ht="15" customHeight="1" x14ac:dyDescent="0.2">
      <c r="E21" s="11">
        <f>LTBL_46219[[#Totals],[個人／事業所数]]/LTBL_46219[[#Totals],[総数／事業所数]]</f>
        <v>0.62109375</v>
      </c>
      <c r="G21" s="11">
        <f>LTBL_46219[[#Totals],[法人／事業所数]]/LTBL_46219[[#Totals],[総数／事業所数]]</f>
        <v>0.36197916666666669</v>
      </c>
      <c r="I21" s="11">
        <f>LTBL_46219[[#Totals],[法人以外の団体／事業所数]]/LTBL_46219[[#Totals],[総数／事業所数]]</f>
        <v>9.1145833333333339E-3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90</v>
      </c>
      <c r="D24" s="8">
        <v>11.72</v>
      </c>
      <c r="E24" s="12">
        <v>86</v>
      </c>
      <c r="F24" s="8">
        <v>18.03</v>
      </c>
      <c r="G24" s="12">
        <v>4</v>
      </c>
      <c r="H24" s="8">
        <v>1.44</v>
      </c>
      <c r="I24" s="12">
        <v>0</v>
      </c>
    </row>
    <row r="25" spans="2:9" ht="15" customHeight="1" x14ac:dyDescent="0.2">
      <c r="B25" t="s">
        <v>75</v>
      </c>
      <c r="C25" s="12">
        <v>69</v>
      </c>
      <c r="D25" s="8">
        <v>8.98</v>
      </c>
      <c r="E25" s="12">
        <v>39</v>
      </c>
      <c r="F25" s="8">
        <v>8.18</v>
      </c>
      <c r="G25" s="12">
        <v>30</v>
      </c>
      <c r="H25" s="8">
        <v>10.79</v>
      </c>
      <c r="I25" s="12">
        <v>0</v>
      </c>
    </row>
    <row r="26" spans="2:9" ht="15" customHeight="1" x14ac:dyDescent="0.2">
      <c r="B26" t="s">
        <v>81</v>
      </c>
      <c r="C26" s="12">
        <v>63</v>
      </c>
      <c r="D26" s="8">
        <v>8.1999999999999993</v>
      </c>
      <c r="E26" s="12">
        <v>58</v>
      </c>
      <c r="F26" s="8">
        <v>12.16</v>
      </c>
      <c r="G26" s="12">
        <v>5</v>
      </c>
      <c r="H26" s="8">
        <v>1.8</v>
      </c>
      <c r="I26" s="12">
        <v>0</v>
      </c>
    </row>
    <row r="27" spans="2:9" ht="15" customHeight="1" x14ac:dyDescent="0.2">
      <c r="B27" t="s">
        <v>73</v>
      </c>
      <c r="C27" s="12">
        <v>56</v>
      </c>
      <c r="D27" s="8">
        <v>7.29</v>
      </c>
      <c r="E27" s="12">
        <v>42</v>
      </c>
      <c r="F27" s="8">
        <v>8.81</v>
      </c>
      <c r="G27" s="12">
        <v>12</v>
      </c>
      <c r="H27" s="8">
        <v>4.32</v>
      </c>
      <c r="I27" s="12">
        <v>2</v>
      </c>
    </row>
    <row r="28" spans="2:9" ht="15" customHeight="1" x14ac:dyDescent="0.2">
      <c r="B28" t="s">
        <v>67</v>
      </c>
      <c r="C28" s="12">
        <v>47</v>
      </c>
      <c r="D28" s="8">
        <v>6.12</v>
      </c>
      <c r="E28" s="12">
        <v>14</v>
      </c>
      <c r="F28" s="8">
        <v>2.94</v>
      </c>
      <c r="G28" s="12">
        <v>33</v>
      </c>
      <c r="H28" s="8">
        <v>11.87</v>
      </c>
      <c r="I28" s="12">
        <v>0</v>
      </c>
    </row>
    <row r="29" spans="2:9" ht="15" customHeight="1" x14ac:dyDescent="0.2">
      <c r="B29" t="s">
        <v>74</v>
      </c>
      <c r="C29" s="12">
        <v>35</v>
      </c>
      <c r="D29" s="8">
        <v>4.5599999999999996</v>
      </c>
      <c r="E29" s="12">
        <v>23</v>
      </c>
      <c r="F29" s="8">
        <v>4.82</v>
      </c>
      <c r="G29" s="12">
        <v>12</v>
      </c>
      <c r="H29" s="8">
        <v>4.32</v>
      </c>
      <c r="I29" s="12">
        <v>0</v>
      </c>
    </row>
    <row r="30" spans="2:9" ht="15" customHeight="1" x14ac:dyDescent="0.2">
      <c r="B30" t="s">
        <v>68</v>
      </c>
      <c r="C30" s="12">
        <v>31</v>
      </c>
      <c r="D30" s="8">
        <v>4.04</v>
      </c>
      <c r="E30" s="12">
        <v>15</v>
      </c>
      <c r="F30" s="8">
        <v>3.14</v>
      </c>
      <c r="G30" s="12">
        <v>16</v>
      </c>
      <c r="H30" s="8">
        <v>5.76</v>
      </c>
      <c r="I30" s="12">
        <v>0</v>
      </c>
    </row>
    <row r="31" spans="2:9" ht="15" customHeight="1" x14ac:dyDescent="0.2">
      <c r="B31" t="s">
        <v>84</v>
      </c>
      <c r="C31" s="12">
        <v>29</v>
      </c>
      <c r="D31" s="8">
        <v>3.78</v>
      </c>
      <c r="E31" s="12">
        <v>27</v>
      </c>
      <c r="F31" s="8">
        <v>5.66</v>
      </c>
      <c r="G31" s="12">
        <v>2</v>
      </c>
      <c r="H31" s="8">
        <v>0.72</v>
      </c>
      <c r="I31" s="12">
        <v>0</v>
      </c>
    </row>
    <row r="32" spans="2:9" ht="15" customHeight="1" x14ac:dyDescent="0.2">
      <c r="B32" t="s">
        <v>69</v>
      </c>
      <c r="C32" s="12">
        <v>28</v>
      </c>
      <c r="D32" s="8">
        <v>3.65</v>
      </c>
      <c r="E32" s="12">
        <v>11</v>
      </c>
      <c r="F32" s="8">
        <v>2.31</v>
      </c>
      <c r="G32" s="12">
        <v>17</v>
      </c>
      <c r="H32" s="8">
        <v>6.12</v>
      </c>
      <c r="I32" s="12">
        <v>0</v>
      </c>
    </row>
    <row r="33" spans="2:9" ht="15" customHeight="1" x14ac:dyDescent="0.2">
      <c r="B33" t="s">
        <v>83</v>
      </c>
      <c r="C33" s="12">
        <v>26</v>
      </c>
      <c r="D33" s="8">
        <v>3.39</v>
      </c>
      <c r="E33" s="12">
        <v>21</v>
      </c>
      <c r="F33" s="8">
        <v>4.4000000000000004</v>
      </c>
      <c r="G33" s="12">
        <v>1</v>
      </c>
      <c r="H33" s="8">
        <v>0.36</v>
      </c>
      <c r="I33" s="12">
        <v>1</v>
      </c>
    </row>
    <row r="34" spans="2:9" ht="15" customHeight="1" x14ac:dyDescent="0.2">
      <c r="B34" t="s">
        <v>86</v>
      </c>
      <c r="C34" s="12">
        <v>24</v>
      </c>
      <c r="D34" s="8">
        <v>3.13</v>
      </c>
      <c r="E34" s="12">
        <v>19</v>
      </c>
      <c r="F34" s="8">
        <v>3.98</v>
      </c>
      <c r="G34" s="12">
        <v>5</v>
      </c>
      <c r="H34" s="8">
        <v>1.8</v>
      </c>
      <c r="I34" s="12">
        <v>0</v>
      </c>
    </row>
    <row r="35" spans="2:9" ht="15" customHeight="1" x14ac:dyDescent="0.2">
      <c r="B35" t="s">
        <v>77</v>
      </c>
      <c r="C35" s="12">
        <v>20</v>
      </c>
      <c r="D35" s="8">
        <v>2.6</v>
      </c>
      <c r="E35" s="12">
        <v>12</v>
      </c>
      <c r="F35" s="8">
        <v>2.52</v>
      </c>
      <c r="G35" s="12">
        <v>8</v>
      </c>
      <c r="H35" s="8">
        <v>2.88</v>
      </c>
      <c r="I35" s="12">
        <v>0</v>
      </c>
    </row>
    <row r="36" spans="2:9" ht="15" customHeight="1" x14ac:dyDescent="0.2">
      <c r="B36" t="s">
        <v>70</v>
      </c>
      <c r="C36" s="12">
        <v>15</v>
      </c>
      <c r="D36" s="8">
        <v>1.95</v>
      </c>
      <c r="E36" s="12">
        <v>6</v>
      </c>
      <c r="F36" s="8">
        <v>1.26</v>
      </c>
      <c r="G36" s="12">
        <v>9</v>
      </c>
      <c r="H36" s="8">
        <v>3.24</v>
      </c>
      <c r="I36" s="12">
        <v>0</v>
      </c>
    </row>
    <row r="37" spans="2:9" ht="15" customHeight="1" x14ac:dyDescent="0.2">
      <c r="B37" t="s">
        <v>71</v>
      </c>
      <c r="C37" s="12">
        <v>14</v>
      </c>
      <c r="D37" s="8">
        <v>1.82</v>
      </c>
      <c r="E37" s="12">
        <v>3</v>
      </c>
      <c r="F37" s="8">
        <v>0.63</v>
      </c>
      <c r="G37" s="12">
        <v>11</v>
      </c>
      <c r="H37" s="8">
        <v>3.96</v>
      </c>
      <c r="I37" s="12">
        <v>0</v>
      </c>
    </row>
    <row r="38" spans="2:9" ht="15" customHeight="1" x14ac:dyDescent="0.2">
      <c r="B38" t="s">
        <v>79</v>
      </c>
      <c r="C38" s="12">
        <v>13</v>
      </c>
      <c r="D38" s="8">
        <v>1.69</v>
      </c>
      <c r="E38" s="12">
        <v>8</v>
      </c>
      <c r="F38" s="8">
        <v>1.68</v>
      </c>
      <c r="G38" s="12">
        <v>5</v>
      </c>
      <c r="H38" s="8">
        <v>1.8</v>
      </c>
      <c r="I38" s="12">
        <v>0</v>
      </c>
    </row>
    <row r="39" spans="2:9" ht="15" customHeight="1" x14ac:dyDescent="0.2">
      <c r="B39" t="s">
        <v>72</v>
      </c>
      <c r="C39" s="12">
        <v>12</v>
      </c>
      <c r="D39" s="8">
        <v>1.56</v>
      </c>
      <c r="E39" s="12">
        <v>8</v>
      </c>
      <c r="F39" s="8">
        <v>1.68</v>
      </c>
      <c r="G39" s="12">
        <v>4</v>
      </c>
      <c r="H39" s="8">
        <v>1.44</v>
      </c>
      <c r="I39" s="12">
        <v>0</v>
      </c>
    </row>
    <row r="40" spans="2:9" ht="15" customHeight="1" x14ac:dyDescent="0.2">
      <c r="B40" t="s">
        <v>85</v>
      </c>
      <c r="C40" s="12">
        <v>12</v>
      </c>
      <c r="D40" s="8">
        <v>1.56</v>
      </c>
      <c r="E40" s="12">
        <v>0</v>
      </c>
      <c r="F40" s="8">
        <v>0</v>
      </c>
      <c r="G40" s="12">
        <v>12</v>
      </c>
      <c r="H40" s="8">
        <v>4.32</v>
      </c>
      <c r="I40" s="12">
        <v>0</v>
      </c>
    </row>
    <row r="41" spans="2:9" ht="15" customHeight="1" x14ac:dyDescent="0.2">
      <c r="B41" t="s">
        <v>93</v>
      </c>
      <c r="C41" s="12">
        <v>11</v>
      </c>
      <c r="D41" s="8">
        <v>1.43</v>
      </c>
      <c r="E41" s="12">
        <v>4</v>
      </c>
      <c r="F41" s="8">
        <v>0.84</v>
      </c>
      <c r="G41" s="12">
        <v>6</v>
      </c>
      <c r="H41" s="8">
        <v>2.16</v>
      </c>
      <c r="I41" s="12">
        <v>0</v>
      </c>
    </row>
    <row r="42" spans="2:9" ht="15" customHeight="1" x14ac:dyDescent="0.2">
      <c r="B42" t="s">
        <v>91</v>
      </c>
      <c r="C42" s="12">
        <v>11</v>
      </c>
      <c r="D42" s="8">
        <v>1.43</v>
      </c>
      <c r="E42" s="12">
        <v>7</v>
      </c>
      <c r="F42" s="8">
        <v>1.47</v>
      </c>
      <c r="G42" s="12">
        <v>4</v>
      </c>
      <c r="H42" s="8">
        <v>1.44</v>
      </c>
      <c r="I42" s="12">
        <v>0</v>
      </c>
    </row>
    <row r="43" spans="2:9" ht="15" customHeight="1" x14ac:dyDescent="0.2">
      <c r="B43" t="s">
        <v>99</v>
      </c>
      <c r="C43" s="12">
        <v>11</v>
      </c>
      <c r="D43" s="8">
        <v>1.43</v>
      </c>
      <c r="E43" s="12">
        <v>8</v>
      </c>
      <c r="F43" s="8">
        <v>1.68</v>
      </c>
      <c r="G43" s="12">
        <v>3</v>
      </c>
      <c r="H43" s="8">
        <v>1.08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53</v>
      </c>
      <c r="D47" s="8">
        <v>6.9</v>
      </c>
      <c r="E47" s="12">
        <v>52</v>
      </c>
      <c r="F47" s="8">
        <v>10.9</v>
      </c>
      <c r="G47" s="12">
        <v>1</v>
      </c>
      <c r="H47" s="8">
        <v>0.36</v>
      </c>
      <c r="I47" s="12">
        <v>0</v>
      </c>
    </row>
    <row r="48" spans="2:9" ht="15" customHeight="1" x14ac:dyDescent="0.2">
      <c r="B48" t="s">
        <v>133</v>
      </c>
      <c r="C48" s="12">
        <v>27</v>
      </c>
      <c r="D48" s="8">
        <v>3.52</v>
      </c>
      <c r="E48" s="12">
        <v>20</v>
      </c>
      <c r="F48" s="8">
        <v>4.1900000000000004</v>
      </c>
      <c r="G48" s="12">
        <v>7</v>
      </c>
      <c r="H48" s="8">
        <v>2.52</v>
      </c>
      <c r="I48" s="12">
        <v>0</v>
      </c>
    </row>
    <row r="49" spans="2:9" ht="15" customHeight="1" x14ac:dyDescent="0.2">
      <c r="B49" t="s">
        <v>143</v>
      </c>
      <c r="C49" s="12">
        <v>24</v>
      </c>
      <c r="D49" s="8">
        <v>3.13</v>
      </c>
      <c r="E49" s="12">
        <v>19</v>
      </c>
      <c r="F49" s="8">
        <v>3.98</v>
      </c>
      <c r="G49" s="12">
        <v>5</v>
      </c>
      <c r="H49" s="8">
        <v>1.8</v>
      </c>
      <c r="I49" s="12">
        <v>0</v>
      </c>
    </row>
    <row r="50" spans="2:9" ht="15" customHeight="1" x14ac:dyDescent="0.2">
      <c r="B50" t="s">
        <v>130</v>
      </c>
      <c r="C50" s="12">
        <v>21</v>
      </c>
      <c r="D50" s="8">
        <v>2.73</v>
      </c>
      <c r="E50" s="12">
        <v>11</v>
      </c>
      <c r="F50" s="8">
        <v>2.31</v>
      </c>
      <c r="G50" s="12">
        <v>10</v>
      </c>
      <c r="H50" s="8">
        <v>3.6</v>
      </c>
      <c r="I50" s="12">
        <v>0</v>
      </c>
    </row>
    <row r="51" spans="2:9" ht="15" customHeight="1" x14ac:dyDescent="0.2">
      <c r="B51" t="s">
        <v>124</v>
      </c>
      <c r="C51" s="12">
        <v>20</v>
      </c>
      <c r="D51" s="8">
        <v>2.6</v>
      </c>
      <c r="E51" s="12">
        <v>1</v>
      </c>
      <c r="F51" s="8">
        <v>0.21</v>
      </c>
      <c r="G51" s="12">
        <v>19</v>
      </c>
      <c r="H51" s="8">
        <v>6.83</v>
      </c>
      <c r="I51" s="12">
        <v>0</v>
      </c>
    </row>
    <row r="52" spans="2:9" ht="15" customHeight="1" x14ac:dyDescent="0.2">
      <c r="B52" t="s">
        <v>129</v>
      </c>
      <c r="C52" s="12">
        <v>20</v>
      </c>
      <c r="D52" s="8">
        <v>2.6</v>
      </c>
      <c r="E52" s="12">
        <v>13</v>
      </c>
      <c r="F52" s="8">
        <v>2.73</v>
      </c>
      <c r="G52" s="12">
        <v>6</v>
      </c>
      <c r="H52" s="8">
        <v>2.16</v>
      </c>
      <c r="I52" s="12">
        <v>1</v>
      </c>
    </row>
    <row r="53" spans="2:9" ht="15" customHeight="1" x14ac:dyDescent="0.2">
      <c r="B53" t="s">
        <v>139</v>
      </c>
      <c r="C53" s="12">
        <v>20</v>
      </c>
      <c r="D53" s="8">
        <v>2.6</v>
      </c>
      <c r="E53" s="12">
        <v>20</v>
      </c>
      <c r="F53" s="8">
        <v>4.1900000000000004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142</v>
      </c>
      <c r="C54" s="12">
        <v>20</v>
      </c>
      <c r="D54" s="8">
        <v>2.6</v>
      </c>
      <c r="E54" s="12">
        <v>18</v>
      </c>
      <c r="F54" s="8">
        <v>3.77</v>
      </c>
      <c r="G54" s="12">
        <v>2</v>
      </c>
      <c r="H54" s="8">
        <v>0.72</v>
      </c>
      <c r="I54" s="12">
        <v>0</v>
      </c>
    </row>
    <row r="55" spans="2:9" ht="15" customHeight="1" x14ac:dyDescent="0.2">
      <c r="B55" t="s">
        <v>137</v>
      </c>
      <c r="C55" s="12">
        <v>19</v>
      </c>
      <c r="D55" s="8">
        <v>2.4700000000000002</v>
      </c>
      <c r="E55" s="12">
        <v>19</v>
      </c>
      <c r="F55" s="8">
        <v>3.98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141</v>
      </c>
      <c r="C56" s="12">
        <v>17</v>
      </c>
      <c r="D56" s="8">
        <v>2.21</v>
      </c>
      <c r="E56" s="12">
        <v>16</v>
      </c>
      <c r="F56" s="8">
        <v>3.35</v>
      </c>
      <c r="G56" s="12">
        <v>1</v>
      </c>
      <c r="H56" s="8">
        <v>0.36</v>
      </c>
      <c r="I56" s="12">
        <v>0</v>
      </c>
    </row>
    <row r="57" spans="2:9" ht="15" customHeight="1" x14ac:dyDescent="0.2">
      <c r="B57" t="s">
        <v>127</v>
      </c>
      <c r="C57" s="12">
        <v>14</v>
      </c>
      <c r="D57" s="8">
        <v>1.82</v>
      </c>
      <c r="E57" s="12">
        <v>10</v>
      </c>
      <c r="F57" s="8">
        <v>2.1</v>
      </c>
      <c r="G57" s="12">
        <v>4</v>
      </c>
      <c r="H57" s="8">
        <v>1.44</v>
      </c>
      <c r="I57" s="12">
        <v>0</v>
      </c>
    </row>
    <row r="58" spans="2:9" ht="15" customHeight="1" x14ac:dyDescent="0.2">
      <c r="B58" t="s">
        <v>131</v>
      </c>
      <c r="C58" s="12">
        <v>14</v>
      </c>
      <c r="D58" s="8">
        <v>1.82</v>
      </c>
      <c r="E58" s="12">
        <v>5</v>
      </c>
      <c r="F58" s="8">
        <v>1.05</v>
      </c>
      <c r="G58" s="12">
        <v>9</v>
      </c>
      <c r="H58" s="8">
        <v>3.24</v>
      </c>
      <c r="I58" s="12">
        <v>0</v>
      </c>
    </row>
    <row r="59" spans="2:9" ht="15" customHeight="1" x14ac:dyDescent="0.2">
      <c r="B59" t="s">
        <v>157</v>
      </c>
      <c r="C59" s="12">
        <v>13</v>
      </c>
      <c r="D59" s="8">
        <v>1.69</v>
      </c>
      <c r="E59" s="12">
        <v>8</v>
      </c>
      <c r="F59" s="8">
        <v>1.68</v>
      </c>
      <c r="G59" s="12">
        <v>5</v>
      </c>
      <c r="H59" s="8">
        <v>1.8</v>
      </c>
      <c r="I59" s="12">
        <v>0</v>
      </c>
    </row>
    <row r="60" spans="2:9" ht="15" customHeight="1" x14ac:dyDescent="0.2">
      <c r="B60" t="s">
        <v>126</v>
      </c>
      <c r="C60" s="12">
        <v>13</v>
      </c>
      <c r="D60" s="8">
        <v>1.69</v>
      </c>
      <c r="E60" s="12">
        <v>6</v>
      </c>
      <c r="F60" s="8">
        <v>1.26</v>
      </c>
      <c r="G60" s="12">
        <v>7</v>
      </c>
      <c r="H60" s="8">
        <v>2.52</v>
      </c>
      <c r="I60" s="12">
        <v>0</v>
      </c>
    </row>
    <row r="61" spans="2:9" ht="15" customHeight="1" x14ac:dyDescent="0.2">
      <c r="B61" t="s">
        <v>134</v>
      </c>
      <c r="C61" s="12">
        <v>13</v>
      </c>
      <c r="D61" s="8">
        <v>1.69</v>
      </c>
      <c r="E61" s="12">
        <v>7</v>
      </c>
      <c r="F61" s="8">
        <v>1.47</v>
      </c>
      <c r="G61" s="12">
        <v>6</v>
      </c>
      <c r="H61" s="8">
        <v>2.16</v>
      </c>
      <c r="I61" s="12">
        <v>0</v>
      </c>
    </row>
    <row r="62" spans="2:9" ht="15" customHeight="1" x14ac:dyDescent="0.2">
      <c r="B62" t="s">
        <v>136</v>
      </c>
      <c r="C62" s="12">
        <v>12</v>
      </c>
      <c r="D62" s="8">
        <v>1.56</v>
      </c>
      <c r="E62" s="12">
        <v>12</v>
      </c>
      <c r="F62" s="8">
        <v>2.52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146</v>
      </c>
      <c r="C63" s="12">
        <v>12</v>
      </c>
      <c r="D63" s="8">
        <v>1.56</v>
      </c>
      <c r="E63" s="12">
        <v>10</v>
      </c>
      <c r="F63" s="8">
        <v>2.1</v>
      </c>
      <c r="G63" s="12">
        <v>2</v>
      </c>
      <c r="H63" s="8">
        <v>0.72</v>
      </c>
      <c r="I63" s="12">
        <v>0</v>
      </c>
    </row>
    <row r="64" spans="2:9" ht="15" customHeight="1" x14ac:dyDescent="0.2">
      <c r="B64" t="s">
        <v>147</v>
      </c>
      <c r="C64" s="12">
        <v>11</v>
      </c>
      <c r="D64" s="8">
        <v>1.43</v>
      </c>
      <c r="E64" s="12">
        <v>9</v>
      </c>
      <c r="F64" s="8">
        <v>1.89</v>
      </c>
      <c r="G64" s="12">
        <v>2</v>
      </c>
      <c r="H64" s="8">
        <v>0.72</v>
      </c>
      <c r="I64" s="12">
        <v>0</v>
      </c>
    </row>
    <row r="65" spans="2:9" ht="15" customHeight="1" x14ac:dyDescent="0.2">
      <c r="B65" t="s">
        <v>138</v>
      </c>
      <c r="C65" s="12">
        <v>10</v>
      </c>
      <c r="D65" s="8">
        <v>1.3</v>
      </c>
      <c r="E65" s="12">
        <v>10</v>
      </c>
      <c r="F65" s="8">
        <v>2.1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167</v>
      </c>
      <c r="C66" s="12">
        <v>9</v>
      </c>
      <c r="D66" s="8">
        <v>1.17</v>
      </c>
      <c r="E66" s="12">
        <v>8</v>
      </c>
      <c r="F66" s="8">
        <v>1.68</v>
      </c>
      <c r="G66" s="12">
        <v>1</v>
      </c>
      <c r="H66" s="8">
        <v>0.36</v>
      </c>
      <c r="I66" s="12">
        <v>0</v>
      </c>
    </row>
    <row r="67" spans="2:9" ht="15" customHeight="1" x14ac:dyDescent="0.2">
      <c r="B67" t="s">
        <v>170</v>
      </c>
      <c r="C67" s="12">
        <v>9</v>
      </c>
      <c r="D67" s="8">
        <v>1.17</v>
      </c>
      <c r="E67" s="12">
        <v>2</v>
      </c>
      <c r="F67" s="8">
        <v>0.42</v>
      </c>
      <c r="G67" s="12">
        <v>6</v>
      </c>
      <c r="H67" s="8">
        <v>2.16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BE59-9496-4894-A0F2-DC719BD3337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103</v>
      </c>
      <c r="D6" s="8">
        <v>12.39</v>
      </c>
      <c r="E6" s="12">
        <v>34</v>
      </c>
      <c r="F6" s="8">
        <v>7.19</v>
      </c>
      <c r="G6" s="12">
        <v>69</v>
      </c>
      <c r="H6" s="8">
        <v>21.1</v>
      </c>
      <c r="I6" s="12">
        <v>0</v>
      </c>
    </row>
    <row r="7" spans="2:9" ht="15" customHeight="1" x14ac:dyDescent="0.2">
      <c r="B7" t="s">
        <v>46</v>
      </c>
      <c r="C7" s="12">
        <v>58</v>
      </c>
      <c r="D7" s="8">
        <v>6.98</v>
      </c>
      <c r="E7" s="12">
        <v>23</v>
      </c>
      <c r="F7" s="8">
        <v>4.8600000000000003</v>
      </c>
      <c r="G7" s="12">
        <v>35</v>
      </c>
      <c r="H7" s="8">
        <v>10.7</v>
      </c>
      <c r="I7" s="12">
        <v>0</v>
      </c>
    </row>
    <row r="8" spans="2:9" ht="15" customHeight="1" x14ac:dyDescent="0.2">
      <c r="B8" t="s">
        <v>47</v>
      </c>
      <c r="C8" s="12">
        <v>4</v>
      </c>
      <c r="D8" s="8">
        <v>0.48</v>
      </c>
      <c r="E8" s="12">
        <v>0</v>
      </c>
      <c r="F8" s="8">
        <v>0</v>
      </c>
      <c r="G8" s="12">
        <v>4</v>
      </c>
      <c r="H8" s="8">
        <v>1.22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0.24</v>
      </c>
      <c r="E9" s="12">
        <v>0</v>
      </c>
      <c r="F9" s="8">
        <v>0</v>
      </c>
      <c r="G9" s="12">
        <v>2</v>
      </c>
      <c r="H9" s="8">
        <v>0.61</v>
      </c>
      <c r="I9" s="12">
        <v>0</v>
      </c>
    </row>
    <row r="10" spans="2:9" ht="15" customHeight="1" x14ac:dyDescent="0.2">
      <c r="B10" t="s">
        <v>49</v>
      </c>
      <c r="C10" s="12">
        <v>12</v>
      </c>
      <c r="D10" s="8">
        <v>1.44</v>
      </c>
      <c r="E10" s="12">
        <v>10</v>
      </c>
      <c r="F10" s="8">
        <v>2.11</v>
      </c>
      <c r="G10" s="12">
        <v>2</v>
      </c>
      <c r="H10" s="8">
        <v>0.61</v>
      </c>
      <c r="I10" s="12">
        <v>0</v>
      </c>
    </row>
    <row r="11" spans="2:9" ht="15" customHeight="1" x14ac:dyDescent="0.2">
      <c r="B11" t="s">
        <v>50</v>
      </c>
      <c r="C11" s="12">
        <v>244</v>
      </c>
      <c r="D11" s="8">
        <v>29.36</v>
      </c>
      <c r="E11" s="12">
        <v>135</v>
      </c>
      <c r="F11" s="8">
        <v>28.54</v>
      </c>
      <c r="G11" s="12">
        <v>108</v>
      </c>
      <c r="H11" s="8">
        <v>33.03</v>
      </c>
      <c r="I11" s="12">
        <v>1</v>
      </c>
    </row>
    <row r="12" spans="2:9" ht="15" customHeight="1" x14ac:dyDescent="0.2">
      <c r="B12" t="s">
        <v>51</v>
      </c>
      <c r="C12" s="12">
        <v>7</v>
      </c>
      <c r="D12" s="8">
        <v>0.84</v>
      </c>
      <c r="E12" s="12">
        <v>4</v>
      </c>
      <c r="F12" s="8">
        <v>0.85</v>
      </c>
      <c r="G12" s="12">
        <v>3</v>
      </c>
      <c r="H12" s="8">
        <v>0.92</v>
      </c>
      <c r="I12" s="12">
        <v>0</v>
      </c>
    </row>
    <row r="13" spans="2:9" ht="15" customHeight="1" x14ac:dyDescent="0.2">
      <c r="B13" t="s">
        <v>52</v>
      </c>
      <c r="C13" s="12">
        <v>21</v>
      </c>
      <c r="D13" s="8">
        <v>2.5299999999999998</v>
      </c>
      <c r="E13" s="12">
        <v>9</v>
      </c>
      <c r="F13" s="8">
        <v>1.9</v>
      </c>
      <c r="G13" s="12">
        <v>12</v>
      </c>
      <c r="H13" s="8">
        <v>3.67</v>
      </c>
      <c r="I13" s="12">
        <v>0</v>
      </c>
    </row>
    <row r="14" spans="2:9" ht="15" customHeight="1" x14ac:dyDescent="0.2">
      <c r="B14" t="s">
        <v>53</v>
      </c>
      <c r="C14" s="12">
        <v>33</v>
      </c>
      <c r="D14" s="8">
        <v>3.97</v>
      </c>
      <c r="E14" s="12">
        <v>17</v>
      </c>
      <c r="F14" s="8">
        <v>3.59</v>
      </c>
      <c r="G14" s="12">
        <v>15</v>
      </c>
      <c r="H14" s="8">
        <v>4.59</v>
      </c>
      <c r="I14" s="12">
        <v>0</v>
      </c>
    </row>
    <row r="15" spans="2:9" ht="15" customHeight="1" x14ac:dyDescent="0.2">
      <c r="B15" t="s">
        <v>54</v>
      </c>
      <c r="C15" s="12">
        <v>94</v>
      </c>
      <c r="D15" s="8">
        <v>11.31</v>
      </c>
      <c r="E15" s="12">
        <v>75</v>
      </c>
      <c r="F15" s="8">
        <v>15.86</v>
      </c>
      <c r="G15" s="12">
        <v>19</v>
      </c>
      <c r="H15" s="8">
        <v>5.81</v>
      </c>
      <c r="I15" s="12">
        <v>0</v>
      </c>
    </row>
    <row r="16" spans="2:9" ht="15" customHeight="1" x14ac:dyDescent="0.2">
      <c r="B16" t="s">
        <v>55</v>
      </c>
      <c r="C16" s="12">
        <v>117</v>
      </c>
      <c r="D16" s="8">
        <v>14.08</v>
      </c>
      <c r="E16" s="12">
        <v>98</v>
      </c>
      <c r="F16" s="8">
        <v>20.72</v>
      </c>
      <c r="G16" s="12">
        <v>18</v>
      </c>
      <c r="H16" s="8">
        <v>5.5</v>
      </c>
      <c r="I16" s="12">
        <v>1</v>
      </c>
    </row>
    <row r="17" spans="2:9" ht="15" customHeight="1" x14ac:dyDescent="0.2">
      <c r="B17" t="s">
        <v>56</v>
      </c>
      <c r="C17" s="12">
        <v>53</v>
      </c>
      <c r="D17" s="8">
        <v>6.38</v>
      </c>
      <c r="E17" s="12">
        <v>18</v>
      </c>
      <c r="F17" s="8">
        <v>3.81</v>
      </c>
      <c r="G17" s="12">
        <v>8</v>
      </c>
      <c r="H17" s="8">
        <v>2.4500000000000002</v>
      </c>
      <c r="I17" s="12">
        <v>0</v>
      </c>
    </row>
    <row r="18" spans="2:9" ht="15" customHeight="1" x14ac:dyDescent="0.2">
      <c r="B18" t="s">
        <v>57</v>
      </c>
      <c r="C18" s="12">
        <v>42</v>
      </c>
      <c r="D18" s="8">
        <v>5.05</v>
      </c>
      <c r="E18" s="12">
        <v>26</v>
      </c>
      <c r="F18" s="8">
        <v>5.5</v>
      </c>
      <c r="G18" s="12">
        <v>16</v>
      </c>
      <c r="H18" s="8">
        <v>4.8899999999999997</v>
      </c>
      <c r="I18" s="12">
        <v>0</v>
      </c>
    </row>
    <row r="19" spans="2:9" ht="15" customHeight="1" x14ac:dyDescent="0.2">
      <c r="B19" t="s">
        <v>58</v>
      </c>
      <c r="C19" s="12">
        <v>41</v>
      </c>
      <c r="D19" s="8">
        <v>4.93</v>
      </c>
      <c r="E19" s="12">
        <v>24</v>
      </c>
      <c r="F19" s="8">
        <v>5.07</v>
      </c>
      <c r="G19" s="12">
        <v>16</v>
      </c>
      <c r="H19" s="8">
        <v>4.8899999999999997</v>
      </c>
      <c r="I19" s="12">
        <v>0</v>
      </c>
    </row>
    <row r="20" spans="2:9" ht="15" customHeight="1" x14ac:dyDescent="0.2">
      <c r="B20" s="9" t="s">
        <v>241</v>
      </c>
      <c r="C20" s="12">
        <f>SUM(LTBL_46220[総数／事業所数])</f>
        <v>831</v>
      </c>
      <c r="E20" s="12">
        <f>SUBTOTAL(109,LTBL_46220[個人／事業所数])</f>
        <v>473</v>
      </c>
      <c r="G20" s="12">
        <f>SUBTOTAL(109,LTBL_46220[法人／事業所数])</f>
        <v>327</v>
      </c>
      <c r="I20" s="12">
        <f>SUBTOTAL(109,LTBL_46220[法人以外の団体／事業所数])</f>
        <v>2</v>
      </c>
    </row>
    <row r="21" spans="2:9" ht="15" customHeight="1" x14ac:dyDescent="0.2">
      <c r="E21" s="11">
        <f>LTBL_46220[[#Totals],[個人／事業所数]]/LTBL_46220[[#Totals],[総数／事業所数]]</f>
        <v>0.56919374247894106</v>
      </c>
      <c r="G21" s="11">
        <f>LTBL_46220[[#Totals],[法人／事業所数]]/LTBL_46220[[#Totals],[総数／事業所数]]</f>
        <v>0.39350180505415161</v>
      </c>
      <c r="I21" s="11">
        <f>LTBL_46220[[#Totals],[法人以外の団体／事業所数]]/LTBL_46220[[#Totals],[総数／事業所数]]</f>
        <v>2.4067388688327317E-3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88</v>
      </c>
      <c r="D24" s="8">
        <v>10.59</v>
      </c>
      <c r="E24" s="12">
        <v>79</v>
      </c>
      <c r="F24" s="8">
        <v>16.7</v>
      </c>
      <c r="G24" s="12">
        <v>9</v>
      </c>
      <c r="H24" s="8">
        <v>2.75</v>
      </c>
      <c r="I24" s="12">
        <v>0</v>
      </c>
    </row>
    <row r="25" spans="2:9" ht="15" customHeight="1" x14ac:dyDescent="0.2">
      <c r="B25" t="s">
        <v>73</v>
      </c>
      <c r="C25" s="12">
        <v>78</v>
      </c>
      <c r="D25" s="8">
        <v>9.39</v>
      </c>
      <c r="E25" s="12">
        <v>58</v>
      </c>
      <c r="F25" s="8">
        <v>12.26</v>
      </c>
      <c r="G25" s="12">
        <v>19</v>
      </c>
      <c r="H25" s="8">
        <v>5.81</v>
      </c>
      <c r="I25" s="12">
        <v>1</v>
      </c>
    </row>
    <row r="26" spans="2:9" ht="15" customHeight="1" x14ac:dyDescent="0.2">
      <c r="B26" t="s">
        <v>75</v>
      </c>
      <c r="C26" s="12">
        <v>77</v>
      </c>
      <c r="D26" s="8">
        <v>9.27</v>
      </c>
      <c r="E26" s="12">
        <v>34</v>
      </c>
      <c r="F26" s="8">
        <v>7.19</v>
      </c>
      <c r="G26" s="12">
        <v>43</v>
      </c>
      <c r="H26" s="8">
        <v>13.15</v>
      </c>
      <c r="I26" s="12">
        <v>0</v>
      </c>
    </row>
    <row r="27" spans="2:9" ht="15" customHeight="1" x14ac:dyDescent="0.2">
      <c r="B27" t="s">
        <v>81</v>
      </c>
      <c r="C27" s="12">
        <v>74</v>
      </c>
      <c r="D27" s="8">
        <v>8.9</v>
      </c>
      <c r="E27" s="12">
        <v>66</v>
      </c>
      <c r="F27" s="8">
        <v>13.95</v>
      </c>
      <c r="G27" s="12">
        <v>8</v>
      </c>
      <c r="H27" s="8">
        <v>2.4500000000000002</v>
      </c>
      <c r="I27" s="12">
        <v>0</v>
      </c>
    </row>
    <row r="28" spans="2:9" ht="15" customHeight="1" x14ac:dyDescent="0.2">
      <c r="B28" t="s">
        <v>67</v>
      </c>
      <c r="C28" s="12">
        <v>57</v>
      </c>
      <c r="D28" s="8">
        <v>6.86</v>
      </c>
      <c r="E28" s="12">
        <v>13</v>
      </c>
      <c r="F28" s="8">
        <v>2.75</v>
      </c>
      <c r="G28" s="12">
        <v>44</v>
      </c>
      <c r="H28" s="8">
        <v>13.46</v>
      </c>
      <c r="I28" s="12">
        <v>0</v>
      </c>
    </row>
    <row r="29" spans="2:9" ht="15" customHeight="1" x14ac:dyDescent="0.2">
      <c r="B29" t="s">
        <v>83</v>
      </c>
      <c r="C29" s="12">
        <v>53</v>
      </c>
      <c r="D29" s="8">
        <v>6.38</v>
      </c>
      <c r="E29" s="12">
        <v>18</v>
      </c>
      <c r="F29" s="8">
        <v>3.81</v>
      </c>
      <c r="G29" s="12">
        <v>8</v>
      </c>
      <c r="H29" s="8">
        <v>2.4500000000000002</v>
      </c>
      <c r="I29" s="12">
        <v>0</v>
      </c>
    </row>
    <row r="30" spans="2:9" ht="15" customHeight="1" x14ac:dyDescent="0.2">
      <c r="B30" t="s">
        <v>74</v>
      </c>
      <c r="C30" s="12">
        <v>34</v>
      </c>
      <c r="D30" s="8">
        <v>4.09</v>
      </c>
      <c r="E30" s="12">
        <v>26</v>
      </c>
      <c r="F30" s="8">
        <v>5.5</v>
      </c>
      <c r="G30" s="12">
        <v>8</v>
      </c>
      <c r="H30" s="8">
        <v>2.4500000000000002</v>
      </c>
      <c r="I30" s="12">
        <v>0</v>
      </c>
    </row>
    <row r="31" spans="2:9" ht="15" customHeight="1" x14ac:dyDescent="0.2">
      <c r="B31" t="s">
        <v>84</v>
      </c>
      <c r="C31" s="12">
        <v>29</v>
      </c>
      <c r="D31" s="8">
        <v>3.49</v>
      </c>
      <c r="E31" s="12">
        <v>25</v>
      </c>
      <c r="F31" s="8">
        <v>5.29</v>
      </c>
      <c r="G31" s="12">
        <v>4</v>
      </c>
      <c r="H31" s="8">
        <v>1.22</v>
      </c>
      <c r="I31" s="12">
        <v>0</v>
      </c>
    </row>
    <row r="32" spans="2:9" ht="15" customHeight="1" x14ac:dyDescent="0.2">
      <c r="B32" t="s">
        <v>68</v>
      </c>
      <c r="C32" s="12">
        <v>26</v>
      </c>
      <c r="D32" s="8">
        <v>3.13</v>
      </c>
      <c r="E32" s="12">
        <v>15</v>
      </c>
      <c r="F32" s="8">
        <v>3.17</v>
      </c>
      <c r="G32" s="12">
        <v>11</v>
      </c>
      <c r="H32" s="8">
        <v>3.36</v>
      </c>
      <c r="I32" s="12">
        <v>0</v>
      </c>
    </row>
    <row r="33" spans="2:9" ht="15" customHeight="1" x14ac:dyDescent="0.2">
      <c r="B33" t="s">
        <v>86</v>
      </c>
      <c r="C33" s="12">
        <v>26</v>
      </c>
      <c r="D33" s="8">
        <v>3.13</v>
      </c>
      <c r="E33" s="12">
        <v>22</v>
      </c>
      <c r="F33" s="8">
        <v>4.6500000000000004</v>
      </c>
      <c r="G33" s="12">
        <v>4</v>
      </c>
      <c r="H33" s="8">
        <v>1.22</v>
      </c>
      <c r="I33" s="12">
        <v>0</v>
      </c>
    </row>
    <row r="34" spans="2:9" ht="15" customHeight="1" x14ac:dyDescent="0.2">
      <c r="B34" t="s">
        <v>72</v>
      </c>
      <c r="C34" s="12">
        <v>21</v>
      </c>
      <c r="D34" s="8">
        <v>2.5299999999999998</v>
      </c>
      <c r="E34" s="12">
        <v>9</v>
      </c>
      <c r="F34" s="8">
        <v>1.9</v>
      </c>
      <c r="G34" s="12">
        <v>12</v>
      </c>
      <c r="H34" s="8">
        <v>3.67</v>
      </c>
      <c r="I34" s="12">
        <v>0</v>
      </c>
    </row>
    <row r="35" spans="2:9" ht="15" customHeight="1" x14ac:dyDescent="0.2">
      <c r="B35" t="s">
        <v>69</v>
      </c>
      <c r="C35" s="12">
        <v>20</v>
      </c>
      <c r="D35" s="8">
        <v>2.41</v>
      </c>
      <c r="E35" s="12">
        <v>6</v>
      </c>
      <c r="F35" s="8">
        <v>1.27</v>
      </c>
      <c r="G35" s="12">
        <v>14</v>
      </c>
      <c r="H35" s="8">
        <v>4.28</v>
      </c>
      <c r="I35" s="12">
        <v>0</v>
      </c>
    </row>
    <row r="36" spans="2:9" ht="15" customHeight="1" x14ac:dyDescent="0.2">
      <c r="B36" t="s">
        <v>79</v>
      </c>
      <c r="C36" s="12">
        <v>19</v>
      </c>
      <c r="D36" s="8">
        <v>2.29</v>
      </c>
      <c r="E36" s="12">
        <v>6</v>
      </c>
      <c r="F36" s="8">
        <v>1.27</v>
      </c>
      <c r="G36" s="12">
        <v>13</v>
      </c>
      <c r="H36" s="8">
        <v>3.98</v>
      </c>
      <c r="I36" s="12">
        <v>0</v>
      </c>
    </row>
    <row r="37" spans="2:9" ht="15" customHeight="1" x14ac:dyDescent="0.2">
      <c r="B37" t="s">
        <v>91</v>
      </c>
      <c r="C37" s="12">
        <v>18</v>
      </c>
      <c r="D37" s="8">
        <v>2.17</v>
      </c>
      <c r="E37" s="12">
        <v>13</v>
      </c>
      <c r="F37" s="8">
        <v>2.75</v>
      </c>
      <c r="G37" s="12">
        <v>5</v>
      </c>
      <c r="H37" s="8">
        <v>1.53</v>
      </c>
      <c r="I37" s="12">
        <v>0</v>
      </c>
    </row>
    <row r="38" spans="2:9" ht="15" customHeight="1" x14ac:dyDescent="0.2">
      <c r="B38" t="s">
        <v>70</v>
      </c>
      <c r="C38" s="12">
        <v>16</v>
      </c>
      <c r="D38" s="8">
        <v>1.93</v>
      </c>
      <c r="E38" s="12">
        <v>5</v>
      </c>
      <c r="F38" s="8">
        <v>1.06</v>
      </c>
      <c r="G38" s="12">
        <v>11</v>
      </c>
      <c r="H38" s="8">
        <v>3.36</v>
      </c>
      <c r="I38" s="12">
        <v>0</v>
      </c>
    </row>
    <row r="39" spans="2:9" ht="15" customHeight="1" x14ac:dyDescent="0.2">
      <c r="B39" t="s">
        <v>78</v>
      </c>
      <c r="C39" s="12">
        <v>13</v>
      </c>
      <c r="D39" s="8">
        <v>1.56</v>
      </c>
      <c r="E39" s="12">
        <v>11</v>
      </c>
      <c r="F39" s="8">
        <v>2.33</v>
      </c>
      <c r="G39" s="12">
        <v>2</v>
      </c>
      <c r="H39" s="8">
        <v>0.61</v>
      </c>
      <c r="I39" s="12">
        <v>0</v>
      </c>
    </row>
    <row r="40" spans="2:9" ht="15" customHeight="1" x14ac:dyDescent="0.2">
      <c r="B40" t="s">
        <v>85</v>
      </c>
      <c r="C40" s="12">
        <v>13</v>
      </c>
      <c r="D40" s="8">
        <v>1.56</v>
      </c>
      <c r="E40" s="12">
        <v>1</v>
      </c>
      <c r="F40" s="8">
        <v>0.21</v>
      </c>
      <c r="G40" s="12">
        <v>12</v>
      </c>
      <c r="H40" s="8">
        <v>3.67</v>
      </c>
      <c r="I40" s="12">
        <v>0</v>
      </c>
    </row>
    <row r="41" spans="2:9" ht="15" customHeight="1" x14ac:dyDescent="0.2">
      <c r="B41" t="s">
        <v>80</v>
      </c>
      <c r="C41" s="12">
        <v>12</v>
      </c>
      <c r="D41" s="8">
        <v>1.44</v>
      </c>
      <c r="E41" s="12">
        <v>6</v>
      </c>
      <c r="F41" s="8">
        <v>1.27</v>
      </c>
      <c r="G41" s="12">
        <v>6</v>
      </c>
      <c r="H41" s="8">
        <v>1.83</v>
      </c>
      <c r="I41" s="12">
        <v>0</v>
      </c>
    </row>
    <row r="42" spans="2:9" ht="15" customHeight="1" x14ac:dyDescent="0.2">
      <c r="B42" t="s">
        <v>94</v>
      </c>
      <c r="C42" s="12">
        <v>11</v>
      </c>
      <c r="D42" s="8">
        <v>1.32</v>
      </c>
      <c r="E42" s="12">
        <v>6</v>
      </c>
      <c r="F42" s="8">
        <v>1.27</v>
      </c>
      <c r="G42" s="12">
        <v>4</v>
      </c>
      <c r="H42" s="8">
        <v>1.22</v>
      </c>
      <c r="I42" s="12">
        <v>1</v>
      </c>
    </row>
    <row r="43" spans="2:9" ht="15" customHeight="1" x14ac:dyDescent="0.2">
      <c r="B43" t="s">
        <v>77</v>
      </c>
      <c r="C43" s="12">
        <v>10</v>
      </c>
      <c r="D43" s="8">
        <v>1.2</v>
      </c>
      <c r="E43" s="12">
        <v>5</v>
      </c>
      <c r="F43" s="8">
        <v>1.06</v>
      </c>
      <c r="G43" s="12">
        <v>5</v>
      </c>
      <c r="H43" s="8">
        <v>1.53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58</v>
      </c>
      <c r="D47" s="8">
        <v>6.98</v>
      </c>
      <c r="E47" s="12">
        <v>54</v>
      </c>
      <c r="F47" s="8">
        <v>11.42</v>
      </c>
      <c r="G47" s="12">
        <v>4</v>
      </c>
      <c r="H47" s="8">
        <v>1.22</v>
      </c>
      <c r="I47" s="12">
        <v>0</v>
      </c>
    </row>
    <row r="48" spans="2:9" ht="15" customHeight="1" x14ac:dyDescent="0.2">
      <c r="B48" t="s">
        <v>165</v>
      </c>
      <c r="C48" s="12">
        <v>32</v>
      </c>
      <c r="D48" s="8">
        <v>3.85</v>
      </c>
      <c r="E48" s="12">
        <v>0</v>
      </c>
      <c r="F48" s="8">
        <v>0</v>
      </c>
      <c r="G48" s="12">
        <v>5</v>
      </c>
      <c r="H48" s="8">
        <v>1.53</v>
      </c>
      <c r="I48" s="12">
        <v>0</v>
      </c>
    </row>
    <row r="49" spans="2:9" ht="15" customHeight="1" x14ac:dyDescent="0.2">
      <c r="B49" t="s">
        <v>129</v>
      </c>
      <c r="C49" s="12">
        <v>28</v>
      </c>
      <c r="D49" s="8">
        <v>3.37</v>
      </c>
      <c r="E49" s="12">
        <v>22</v>
      </c>
      <c r="F49" s="8">
        <v>4.6500000000000004</v>
      </c>
      <c r="G49" s="12">
        <v>6</v>
      </c>
      <c r="H49" s="8">
        <v>1.83</v>
      </c>
      <c r="I49" s="12">
        <v>0</v>
      </c>
    </row>
    <row r="50" spans="2:9" ht="15" customHeight="1" x14ac:dyDescent="0.2">
      <c r="B50" t="s">
        <v>143</v>
      </c>
      <c r="C50" s="12">
        <v>26</v>
      </c>
      <c r="D50" s="8">
        <v>3.13</v>
      </c>
      <c r="E50" s="12">
        <v>22</v>
      </c>
      <c r="F50" s="8">
        <v>4.6500000000000004</v>
      </c>
      <c r="G50" s="12">
        <v>4</v>
      </c>
      <c r="H50" s="8">
        <v>1.22</v>
      </c>
      <c r="I50" s="12">
        <v>0</v>
      </c>
    </row>
    <row r="51" spans="2:9" ht="15" customHeight="1" x14ac:dyDescent="0.2">
      <c r="B51" t="s">
        <v>133</v>
      </c>
      <c r="C51" s="12">
        <v>22</v>
      </c>
      <c r="D51" s="8">
        <v>2.65</v>
      </c>
      <c r="E51" s="12">
        <v>12</v>
      </c>
      <c r="F51" s="8">
        <v>2.54</v>
      </c>
      <c r="G51" s="12">
        <v>10</v>
      </c>
      <c r="H51" s="8">
        <v>3.06</v>
      </c>
      <c r="I51" s="12">
        <v>0</v>
      </c>
    </row>
    <row r="52" spans="2:9" ht="15" customHeight="1" x14ac:dyDescent="0.2">
      <c r="B52" t="s">
        <v>136</v>
      </c>
      <c r="C52" s="12">
        <v>22</v>
      </c>
      <c r="D52" s="8">
        <v>2.65</v>
      </c>
      <c r="E52" s="12">
        <v>19</v>
      </c>
      <c r="F52" s="8">
        <v>4.0199999999999996</v>
      </c>
      <c r="G52" s="12">
        <v>3</v>
      </c>
      <c r="H52" s="8">
        <v>0.92</v>
      </c>
      <c r="I52" s="12">
        <v>0</v>
      </c>
    </row>
    <row r="53" spans="2:9" ht="15" customHeight="1" x14ac:dyDescent="0.2">
      <c r="B53" t="s">
        <v>128</v>
      </c>
      <c r="C53" s="12">
        <v>21</v>
      </c>
      <c r="D53" s="8">
        <v>2.5299999999999998</v>
      </c>
      <c r="E53" s="12">
        <v>12</v>
      </c>
      <c r="F53" s="8">
        <v>2.54</v>
      </c>
      <c r="G53" s="12">
        <v>8</v>
      </c>
      <c r="H53" s="8">
        <v>2.4500000000000002</v>
      </c>
      <c r="I53" s="12">
        <v>1</v>
      </c>
    </row>
    <row r="54" spans="2:9" ht="15" customHeight="1" x14ac:dyDescent="0.2">
      <c r="B54" t="s">
        <v>132</v>
      </c>
      <c r="C54" s="12">
        <v>21</v>
      </c>
      <c r="D54" s="8">
        <v>2.5299999999999998</v>
      </c>
      <c r="E54" s="12">
        <v>5</v>
      </c>
      <c r="F54" s="8">
        <v>1.06</v>
      </c>
      <c r="G54" s="12">
        <v>16</v>
      </c>
      <c r="H54" s="8">
        <v>4.8899999999999997</v>
      </c>
      <c r="I54" s="12">
        <v>0</v>
      </c>
    </row>
    <row r="55" spans="2:9" ht="15" customHeight="1" x14ac:dyDescent="0.2">
      <c r="B55" t="s">
        <v>124</v>
      </c>
      <c r="C55" s="12">
        <v>20</v>
      </c>
      <c r="D55" s="8">
        <v>2.41</v>
      </c>
      <c r="E55" s="12">
        <v>2</v>
      </c>
      <c r="F55" s="8">
        <v>0.42</v>
      </c>
      <c r="G55" s="12">
        <v>18</v>
      </c>
      <c r="H55" s="8">
        <v>5.5</v>
      </c>
      <c r="I55" s="12">
        <v>0</v>
      </c>
    </row>
    <row r="56" spans="2:9" ht="15" customHeight="1" x14ac:dyDescent="0.2">
      <c r="B56" t="s">
        <v>130</v>
      </c>
      <c r="C56" s="12">
        <v>20</v>
      </c>
      <c r="D56" s="8">
        <v>2.41</v>
      </c>
      <c r="E56" s="12">
        <v>16</v>
      </c>
      <c r="F56" s="8">
        <v>3.38</v>
      </c>
      <c r="G56" s="12">
        <v>4</v>
      </c>
      <c r="H56" s="8">
        <v>1.22</v>
      </c>
      <c r="I56" s="12">
        <v>0</v>
      </c>
    </row>
    <row r="57" spans="2:9" ht="15" customHeight="1" x14ac:dyDescent="0.2">
      <c r="B57" t="s">
        <v>138</v>
      </c>
      <c r="C57" s="12">
        <v>19</v>
      </c>
      <c r="D57" s="8">
        <v>2.29</v>
      </c>
      <c r="E57" s="12">
        <v>19</v>
      </c>
      <c r="F57" s="8">
        <v>4.0199999999999996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18</v>
      </c>
      <c r="D58" s="8">
        <v>2.17</v>
      </c>
      <c r="E58" s="12">
        <v>17</v>
      </c>
      <c r="F58" s="8">
        <v>3.59</v>
      </c>
      <c r="G58" s="12">
        <v>1</v>
      </c>
      <c r="H58" s="8">
        <v>0.31</v>
      </c>
      <c r="I58" s="12">
        <v>0</v>
      </c>
    </row>
    <row r="59" spans="2:9" ht="15" customHeight="1" x14ac:dyDescent="0.2">
      <c r="B59" t="s">
        <v>141</v>
      </c>
      <c r="C59" s="12">
        <v>18</v>
      </c>
      <c r="D59" s="8">
        <v>2.17</v>
      </c>
      <c r="E59" s="12">
        <v>15</v>
      </c>
      <c r="F59" s="8">
        <v>3.17</v>
      </c>
      <c r="G59" s="12">
        <v>3</v>
      </c>
      <c r="H59" s="8">
        <v>0.92</v>
      </c>
      <c r="I59" s="12">
        <v>0</v>
      </c>
    </row>
    <row r="60" spans="2:9" ht="15" customHeight="1" x14ac:dyDescent="0.2">
      <c r="B60" t="s">
        <v>142</v>
      </c>
      <c r="C60" s="12">
        <v>18</v>
      </c>
      <c r="D60" s="8">
        <v>2.17</v>
      </c>
      <c r="E60" s="12">
        <v>16</v>
      </c>
      <c r="F60" s="8">
        <v>3.38</v>
      </c>
      <c r="G60" s="12">
        <v>2</v>
      </c>
      <c r="H60" s="8">
        <v>0.61</v>
      </c>
      <c r="I60" s="12">
        <v>0</v>
      </c>
    </row>
    <row r="61" spans="2:9" ht="15" customHeight="1" x14ac:dyDescent="0.2">
      <c r="B61" t="s">
        <v>125</v>
      </c>
      <c r="C61" s="12">
        <v>17</v>
      </c>
      <c r="D61" s="8">
        <v>2.0499999999999998</v>
      </c>
      <c r="E61" s="12">
        <v>4</v>
      </c>
      <c r="F61" s="8">
        <v>0.85</v>
      </c>
      <c r="G61" s="12">
        <v>13</v>
      </c>
      <c r="H61" s="8">
        <v>3.98</v>
      </c>
      <c r="I61" s="12">
        <v>0</v>
      </c>
    </row>
    <row r="62" spans="2:9" ht="15" customHeight="1" x14ac:dyDescent="0.2">
      <c r="B62" t="s">
        <v>157</v>
      </c>
      <c r="C62" s="12">
        <v>15</v>
      </c>
      <c r="D62" s="8">
        <v>1.81</v>
      </c>
      <c r="E62" s="12">
        <v>7</v>
      </c>
      <c r="F62" s="8">
        <v>1.48</v>
      </c>
      <c r="G62" s="12">
        <v>8</v>
      </c>
      <c r="H62" s="8">
        <v>2.4500000000000002</v>
      </c>
      <c r="I62" s="12">
        <v>0</v>
      </c>
    </row>
    <row r="63" spans="2:9" ht="15" customHeight="1" x14ac:dyDescent="0.2">
      <c r="B63" t="s">
        <v>148</v>
      </c>
      <c r="C63" s="12">
        <v>15</v>
      </c>
      <c r="D63" s="8">
        <v>1.81</v>
      </c>
      <c r="E63" s="12">
        <v>13</v>
      </c>
      <c r="F63" s="8">
        <v>2.75</v>
      </c>
      <c r="G63" s="12">
        <v>2</v>
      </c>
      <c r="H63" s="8">
        <v>0.61</v>
      </c>
      <c r="I63" s="12">
        <v>0</v>
      </c>
    </row>
    <row r="64" spans="2:9" ht="15" customHeight="1" x14ac:dyDescent="0.2">
      <c r="B64" t="s">
        <v>147</v>
      </c>
      <c r="C64" s="12">
        <v>14</v>
      </c>
      <c r="D64" s="8">
        <v>1.68</v>
      </c>
      <c r="E64" s="12">
        <v>10</v>
      </c>
      <c r="F64" s="8">
        <v>2.11</v>
      </c>
      <c r="G64" s="12">
        <v>4</v>
      </c>
      <c r="H64" s="8">
        <v>1.22</v>
      </c>
      <c r="I64" s="12">
        <v>0</v>
      </c>
    </row>
    <row r="65" spans="2:9" ht="15" customHeight="1" x14ac:dyDescent="0.2">
      <c r="B65" t="s">
        <v>137</v>
      </c>
      <c r="C65" s="12">
        <v>14</v>
      </c>
      <c r="D65" s="8">
        <v>1.68</v>
      </c>
      <c r="E65" s="12">
        <v>10</v>
      </c>
      <c r="F65" s="8">
        <v>2.11</v>
      </c>
      <c r="G65" s="12">
        <v>4</v>
      </c>
      <c r="H65" s="8">
        <v>1.22</v>
      </c>
      <c r="I65" s="12">
        <v>0</v>
      </c>
    </row>
    <row r="66" spans="2:9" ht="15" customHeight="1" x14ac:dyDescent="0.2">
      <c r="B66" t="s">
        <v>135</v>
      </c>
      <c r="C66" s="12">
        <v>13</v>
      </c>
      <c r="D66" s="8">
        <v>1.56</v>
      </c>
      <c r="E66" s="12">
        <v>2</v>
      </c>
      <c r="F66" s="8">
        <v>0.42</v>
      </c>
      <c r="G66" s="12">
        <v>11</v>
      </c>
      <c r="H66" s="8">
        <v>3.36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3BE5-65E9-4960-8ADE-54AEB9E25F7B}">
  <sheetPr>
    <pageSetUpPr fitToPage="1"/>
  </sheetPr>
  <dimension ref="A1:H705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59</v>
      </c>
      <c r="B1" s="7" t="s">
        <v>60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</row>
    <row r="2" spans="1:8" x14ac:dyDescent="0.2">
      <c r="A2" s="1" t="s">
        <v>0</v>
      </c>
      <c r="B2" s="4">
        <v>41882</v>
      </c>
      <c r="C2" s="5">
        <v>100</v>
      </c>
      <c r="D2" s="4">
        <v>23033</v>
      </c>
      <c r="E2" s="5">
        <v>100</v>
      </c>
      <c r="F2" s="4">
        <v>18187</v>
      </c>
      <c r="G2" s="5">
        <v>100.00999999999999</v>
      </c>
      <c r="H2" s="4">
        <v>203</v>
      </c>
    </row>
    <row r="3" spans="1:8" x14ac:dyDescent="0.2">
      <c r="A3" s="2" t="s">
        <v>44</v>
      </c>
      <c r="B3" s="4">
        <v>17</v>
      </c>
      <c r="C3" s="5">
        <v>0.04</v>
      </c>
      <c r="D3" s="4">
        <v>1</v>
      </c>
      <c r="E3" s="5">
        <v>0</v>
      </c>
      <c r="F3" s="4">
        <v>16</v>
      </c>
      <c r="G3" s="5">
        <v>0.09</v>
      </c>
      <c r="H3" s="4">
        <v>0</v>
      </c>
    </row>
    <row r="4" spans="1:8" x14ac:dyDescent="0.2">
      <c r="A4" s="2" t="s">
        <v>45</v>
      </c>
      <c r="B4" s="4">
        <v>4940</v>
      </c>
      <c r="C4" s="5">
        <v>11.8</v>
      </c>
      <c r="D4" s="4">
        <v>1341</v>
      </c>
      <c r="E4" s="5">
        <v>5.82</v>
      </c>
      <c r="F4" s="4">
        <v>3599</v>
      </c>
      <c r="G4" s="5">
        <v>19.79</v>
      </c>
      <c r="H4" s="4">
        <v>0</v>
      </c>
    </row>
    <row r="5" spans="1:8" x14ac:dyDescent="0.2">
      <c r="A5" s="2" t="s">
        <v>46</v>
      </c>
      <c r="B5" s="4">
        <v>3002</v>
      </c>
      <c r="C5" s="5">
        <v>7.17</v>
      </c>
      <c r="D5" s="4">
        <v>1232</v>
      </c>
      <c r="E5" s="5">
        <v>5.35</v>
      </c>
      <c r="F5" s="4">
        <v>1748</v>
      </c>
      <c r="G5" s="5">
        <v>9.61</v>
      </c>
      <c r="H5" s="4">
        <v>14</v>
      </c>
    </row>
    <row r="6" spans="1:8" x14ac:dyDescent="0.2">
      <c r="A6" s="2" t="s">
        <v>47</v>
      </c>
      <c r="B6" s="4">
        <v>177</v>
      </c>
      <c r="C6" s="5">
        <v>0.42</v>
      </c>
      <c r="D6" s="4">
        <v>3</v>
      </c>
      <c r="E6" s="5">
        <v>0.01</v>
      </c>
      <c r="F6" s="4">
        <v>160</v>
      </c>
      <c r="G6" s="5">
        <v>0.88</v>
      </c>
      <c r="H6" s="4">
        <v>0</v>
      </c>
    </row>
    <row r="7" spans="1:8" x14ac:dyDescent="0.2">
      <c r="A7" s="2" t="s">
        <v>48</v>
      </c>
      <c r="B7" s="4">
        <v>261</v>
      </c>
      <c r="C7" s="5">
        <v>0.62</v>
      </c>
      <c r="D7" s="4">
        <v>22</v>
      </c>
      <c r="E7" s="5">
        <v>0.1</v>
      </c>
      <c r="F7" s="4">
        <v>238</v>
      </c>
      <c r="G7" s="5">
        <v>1.31</v>
      </c>
      <c r="H7" s="4">
        <v>1</v>
      </c>
    </row>
    <row r="8" spans="1:8" x14ac:dyDescent="0.2">
      <c r="A8" s="2" t="s">
        <v>49</v>
      </c>
      <c r="B8" s="4">
        <v>515</v>
      </c>
      <c r="C8" s="5">
        <v>1.23</v>
      </c>
      <c r="D8" s="4">
        <v>171</v>
      </c>
      <c r="E8" s="5">
        <v>0.74</v>
      </c>
      <c r="F8" s="4">
        <v>334</v>
      </c>
      <c r="G8" s="5">
        <v>1.84</v>
      </c>
      <c r="H8" s="4">
        <v>5</v>
      </c>
    </row>
    <row r="9" spans="1:8" x14ac:dyDescent="0.2">
      <c r="A9" s="2" t="s">
        <v>50</v>
      </c>
      <c r="B9" s="4">
        <v>11433</v>
      </c>
      <c r="C9" s="5">
        <v>27.3</v>
      </c>
      <c r="D9" s="4">
        <v>5722</v>
      </c>
      <c r="E9" s="5">
        <v>24.84</v>
      </c>
      <c r="F9" s="4">
        <v>5636</v>
      </c>
      <c r="G9" s="5">
        <v>30.99</v>
      </c>
      <c r="H9" s="4">
        <v>73</v>
      </c>
    </row>
    <row r="10" spans="1:8" x14ac:dyDescent="0.2">
      <c r="A10" s="2" t="s">
        <v>51</v>
      </c>
      <c r="B10" s="4">
        <v>332</v>
      </c>
      <c r="C10" s="5">
        <v>0.79</v>
      </c>
      <c r="D10" s="4">
        <v>64</v>
      </c>
      <c r="E10" s="5">
        <v>0.28000000000000003</v>
      </c>
      <c r="F10" s="4">
        <v>268</v>
      </c>
      <c r="G10" s="5">
        <v>1.47</v>
      </c>
      <c r="H10" s="4">
        <v>0</v>
      </c>
    </row>
    <row r="11" spans="1:8" x14ac:dyDescent="0.2">
      <c r="A11" s="2" t="s">
        <v>52</v>
      </c>
      <c r="B11" s="4">
        <v>2575</v>
      </c>
      <c r="C11" s="5">
        <v>6.15</v>
      </c>
      <c r="D11" s="4">
        <v>884</v>
      </c>
      <c r="E11" s="5">
        <v>3.84</v>
      </c>
      <c r="F11" s="4">
        <v>1681</v>
      </c>
      <c r="G11" s="5">
        <v>9.24</v>
      </c>
      <c r="H11" s="4">
        <v>0</v>
      </c>
    </row>
    <row r="12" spans="1:8" x14ac:dyDescent="0.2">
      <c r="A12" s="2" t="s">
        <v>53</v>
      </c>
      <c r="B12" s="4">
        <v>2149</v>
      </c>
      <c r="C12" s="5">
        <v>5.13</v>
      </c>
      <c r="D12" s="4">
        <v>1184</v>
      </c>
      <c r="E12" s="5">
        <v>5.14</v>
      </c>
      <c r="F12" s="4">
        <v>945</v>
      </c>
      <c r="G12" s="5">
        <v>5.2</v>
      </c>
      <c r="H12" s="4">
        <v>2</v>
      </c>
    </row>
    <row r="13" spans="1:8" x14ac:dyDescent="0.2">
      <c r="A13" s="2" t="s">
        <v>54</v>
      </c>
      <c r="B13" s="4">
        <v>5631</v>
      </c>
      <c r="C13" s="5">
        <v>13.44</v>
      </c>
      <c r="D13" s="4">
        <v>4681</v>
      </c>
      <c r="E13" s="5">
        <v>20.32</v>
      </c>
      <c r="F13" s="4">
        <v>904</v>
      </c>
      <c r="G13" s="5">
        <v>4.97</v>
      </c>
      <c r="H13" s="4">
        <v>3</v>
      </c>
    </row>
    <row r="14" spans="1:8" x14ac:dyDescent="0.2">
      <c r="A14" s="2" t="s">
        <v>55</v>
      </c>
      <c r="B14" s="4">
        <v>5464</v>
      </c>
      <c r="C14" s="5">
        <v>13.05</v>
      </c>
      <c r="D14" s="4">
        <v>4555</v>
      </c>
      <c r="E14" s="5">
        <v>19.78</v>
      </c>
      <c r="F14" s="4">
        <v>869</v>
      </c>
      <c r="G14" s="5">
        <v>4.78</v>
      </c>
      <c r="H14" s="4">
        <v>18</v>
      </c>
    </row>
    <row r="15" spans="1:8" x14ac:dyDescent="0.2">
      <c r="A15" s="2" t="s">
        <v>56</v>
      </c>
      <c r="B15" s="4">
        <v>1432</v>
      </c>
      <c r="C15" s="5">
        <v>3.42</v>
      </c>
      <c r="D15" s="4">
        <v>949</v>
      </c>
      <c r="E15" s="5">
        <v>4.12</v>
      </c>
      <c r="F15" s="4">
        <v>252</v>
      </c>
      <c r="G15" s="5">
        <v>1.39</v>
      </c>
      <c r="H15" s="4">
        <v>26</v>
      </c>
    </row>
    <row r="16" spans="1:8" x14ac:dyDescent="0.2">
      <c r="A16" s="2" t="s">
        <v>57</v>
      </c>
      <c r="B16" s="4">
        <v>2167</v>
      </c>
      <c r="C16" s="5">
        <v>5.17</v>
      </c>
      <c r="D16" s="4">
        <v>1285</v>
      </c>
      <c r="E16" s="5">
        <v>5.58</v>
      </c>
      <c r="F16" s="4">
        <v>797</v>
      </c>
      <c r="G16" s="5">
        <v>4.38</v>
      </c>
      <c r="H16" s="4">
        <v>26</v>
      </c>
    </row>
    <row r="17" spans="1:8" x14ac:dyDescent="0.2">
      <c r="A17" s="2" t="s">
        <v>58</v>
      </c>
      <c r="B17" s="4">
        <v>1787</v>
      </c>
      <c r="C17" s="5">
        <v>4.2699999999999996</v>
      </c>
      <c r="D17" s="4">
        <v>939</v>
      </c>
      <c r="E17" s="5">
        <v>4.08</v>
      </c>
      <c r="F17" s="4">
        <v>740</v>
      </c>
      <c r="G17" s="5">
        <v>4.07</v>
      </c>
      <c r="H17" s="4">
        <v>35</v>
      </c>
    </row>
    <row r="18" spans="1:8" x14ac:dyDescent="0.2">
      <c r="A18" s="1" t="s">
        <v>1</v>
      </c>
      <c r="B18" s="4">
        <v>14662</v>
      </c>
      <c r="C18" s="5">
        <v>100.01000000000002</v>
      </c>
      <c r="D18" s="4">
        <v>6760</v>
      </c>
      <c r="E18" s="5">
        <v>99.99</v>
      </c>
      <c r="F18" s="4">
        <v>7823</v>
      </c>
      <c r="G18" s="5">
        <v>100.00999999999999</v>
      </c>
      <c r="H18" s="4">
        <v>61</v>
      </c>
    </row>
    <row r="19" spans="1:8" x14ac:dyDescent="0.2">
      <c r="A19" s="2" t="s">
        <v>44</v>
      </c>
      <c r="B19" s="4">
        <v>3</v>
      </c>
      <c r="C19" s="5">
        <v>0.02</v>
      </c>
      <c r="D19" s="4">
        <v>1</v>
      </c>
      <c r="E19" s="5">
        <v>0.01</v>
      </c>
      <c r="F19" s="4">
        <v>2</v>
      </c>
      <c r="G19" s="5">
        <v>0.03</v>
      </c>
      <c r="H19" s="4">
        <v>0</v>
      </c>
    </row>
    <row r="20" spans="1:8" x14ac:dyDescent="0.2">
      <c r="A20" s="2" t="s">
        <v>45</v>
      </c>
      <c r="B20" s="4">
        <v>1758</v>
      </c>
      <c r="C20" s="5">
        <v>11.99</v>
      </c>
      <c r="D20" s="4">
        <v>292</v>
      </c>
      <c r="E20" s="5">
        <v>4.32</v>
      </c>
      <c r="F20" s="4">
        <v>1466</v>
      </c>
      <c r="G20" s="5">
        <v>18.739999999999998</v>
      </c>
      <c r="H20" s="4">
        <v>0</v>
      </c>
    </row>
    <row r="21" spans="1:8" x14ac:dyDescent="0.2">
      <c r="A21" s="2" t="s">
        <v>46</v>
      </c>
      <c r="B21" s="4">
        <v>733</v>
      </c>
      <c r="C21" s="5">
        <v>5</v>
      </c>
      <c r="D21" s="4">
        <v>222</v>
      </c>
      <c r="E21" s="5">
        <v>3.28</v>
      </c>
      <c r="F21" s="4">
        <v>510</v>
      </c>
      <c r="G21" s="5">
        <v>6.52</v>
      </c>
      <c r="H21" s="4">
        <v>1</v>
      </c>
    </row>
    <row r="22" spans="1:8" x14ac:dyDescent="0.2">
      <c r="A22" s="2" t="s">
        <v>47</v>
      </c>
      <c r="B22" s="4">
        <v>32</v>
      </c>
      <c r="C22" s="5">
        <v>0.22</v>
      </c>
      <c r="D22" s="4">
        <v>1</v>
      </c>
      <c r="E22" s="5">
        <v>0.01</v>
      </c>
      <c r="F22" s="4">
        <v>31</v>
      </c>
      <c r="G22" s="5">
        <v>0.4</v>
      </c>
      <c r="H22" s="4">
        <v>0</v>
      </c>
    </row>
    <row r="23" spans="1:8" x14ac:dyDescent="0.2">
      <c r="A23" s="2" t="s">
        <v>48</v>
      </c>
      <c r="B23" s="4">
        <v>146</v>
      </c>
      <c r="C23" s="5">
        <v>1</v>
      </c>
      <c r="D23" s="4">
        <v>13</v>
      </c>
      <c r="E23" s="5">
        <v>0.19</v>
      </c>
      <c r="F23" s="4">
        <v>133</v>
      </c>
      <c r="G23" s="5">
        <v>1.7</v>
      </c>
      <c r="H23" s="4">
        <v>0</v>
      </c>
    </row>
    <row r="24" spans="1:8" x14ac:dyDescent="0.2">
      <c r="A24" s="2" t="s">
        <v>49</v>
      </c>
      <c r="B24" s="4">
        <v>212</v>
      </c>
      <c r="C24" s="5">
        <v>1.45</v>
      </c>
      <c r="D24" s="4">
        <v>96</v>
      </c>
      <c r="E24" s="5">
        <v>1.42</v>
      </c>
      <c r="F24" s="4">
        <v>114</v>
      </c>
      <c r="G24" s="5">
        <v>1.46</v>
      </c>
      <c r="H24" s="4">
        <v>0</v>
      </c>
    </row>
    <row r="25" spans="1:8" x14ac:dyDescent="0.2">
      <c r="A25" s="2" t="s">
        <v>50</v>
      </c>
      <c r="B25" s="4">
        <v>3721</v>
      </c>
      <c r="C25" s="5">
        <v>25.38</v>
      </c>
      <c r="D25" s="4">
        <v>1318</v>
      </c>
      <c r="E25" s="5">
        <v>19.5</v>
      </c>
      <c r="F25" s="4">
        <v>2371</v>
      </c>
      <c r="G25" s="5">
        <v>30.31</v>
      </c>
      <c r="H25" s="4">
        <v>32</v>
      </c>
    </row>
    <row r="26" spans="1:8" x14ac:dyDescent="0.2">
      <c r="A26" s="2" t="s">
        <v>51</v>
      </c>
      <c r="B26" s="4">
        <v>160</v>
      </c>
      <c r="C26" s="5">
        <v>1.0900000000000001</v>
      </c>
      <c r="D26" s="4">
        <v>22</v>
      </c>
      <c r="E26" s="5">
        <v>0.33</v>
      </c>
      <c r="F26" s="4">
        <v>138</v>
      </c>
      <c r="G26" s="5">
        <v>1.76</v>
      </c>
      <c r="H26" s="4">
        <v>0</v>
      </c>
    </row>
    <row r="27" spans="1:8" x14ac:dyDescent="0.2">
      <c r="A27" s="2" t="s">
        <v>52</v>
      </c>
      <c r="B27" s="4">
        <v>1502</v>
      </c>
      <c r="C27" s="5">
        <v>10.24</v>
      </c>
      <c r="D27" s="4">
        <v>483</v>
      </c>
      <c r="E27" s="5">
        <v>7.14</v>
      </c>
      <c r="F27" s="4">
        <v>1019</v>
      </c>
      <c r="G27" s="5">
        <v>13.03</v>
      </c>
      <c r="H27" s="4">
        <v>0</v>
      </c>
    </row>
    <row r="28" spans="1:8" x14ac:dyDescent="0.2">
      <c r="A28" s="2" t="s">
        <v>53</v>
      </c>
      <c r="B28" s="4">
        <v>1007</v>
      </c>
      <c r="C28" s="5">
        <v>6.87</v>
      </c>
      <c r="D28" s="4">
        <v>514</v>
      </c>
      <c r="E28" s="5">
        <v>7.6</v>
      </c>
      <c r="F28" s="4">
        <v>490</v>
      </c>
      <c r="G28" s="5">
        <v>6.26</v>
      </c>
      <c r="H28" s="4">
        <v>1</v>
      </c>
    </row>
    <row r="29" spans="1:8" x14ac:dyDescent="0.2">
      <c r="A29" s="2" t="s">
        <v>54</v>
      </c>
      <c r="B29" s="4">
        <v>1743</v>
      </c>
      <c r="C29" s="5">
        <v>11.89</v>
      </c>
      <c r="D29" s="4">
        <v>1347</v>
      </c>
      <c r="E29" s="5">
        <v>19.93</v>
      </c>
      <c r="F29" s="4">
        <v>388</v>
      </c>
      <c r="G29" s="5">
        <v>4.96</v>
      </c>
      <c r="H29" s="4">
        <v>0</v>
      </c>
    </row>
    <row r="30" spans="1:8" x14ac:dyDescent="0.2">
      <c r="A30" s="2" t="s">
        <v>55</v>
      </c>
      <c r="B30" s="4">
        <v>1713</v>
      </c>
      <c r="C30" s="5">
        <v>11.68</v>
      </c>
      <c r="D30" s="4">
        <v>1337</v>
      </c>
      <c r="E30" s="5">
        <v>19.78</v>
      </c>
      <c r="F30" s="4">
        <v>375</v>
      </c>
      <c r="G30" s="5">
        <v>4.79</v>
      </c>
      <c r="H30" s="4">
        <v>1</v>
      </c>
    </row>
    <row r="31" spans="1:8" x14ac:dyDescent="0.2">
      <c r="A31" s="2" t="s">
        <v>56</v>
      </c>
      <c r="B31" s="4">
        <v>494</v>
      </c>
      <c r="C31" s="5">
        <v>3.37</v>
      </c>
      <c r="D31" s="4">
        <v>361</v>
      </c>
      <c r="E31" s="5">
        <v>5.34</v>
      </c>
      <c r="F31" s="4">
        <v>126</v>
      </c>
      <c r="G31" s="5">
        <v>1.61</v>
      </c>
      <c r="H31" s="4">
        <v>6</v>
      </c>
    </row>
    <row r="32" spans="1:8" x14ac:dyDescent="0.2">
      <c r="A32" s="2" t="s">
        <v>57</v>
      </c>
      <c r="B32" s="4">
        <v>859</v>
      </c>
      <c r="C32" s="5">
        <v>5.86</v>
      </c>
      <c r="D32" s="4">
        <v>520</v>
      </c>
      <c r="E32" s="5">
        <v>7.69</v>
      </c>
      <c r="F32" s="4">
        <v>320</v>
      </c>
      <c r="G32" s="5">
        <v>4.09</v>
      </c>
      <c r="H32" s="4">
        <v>15</v>
      </c>
    </row>
    <row r="33" spans="1:8" x14ac:dyDescent="0.2">
      <c r="A33" s="2" t="s">
        <v>58</v>
      </c>
      <c r="B33" s="4">
        <v>579</v>
      </c>
      <c r="C33" s="5">
        <v>3.95</v>
      </c>
      <c r="D33" s="4">
        <v>233</v>
      </c>
      <c r="E33" s="5">
        <v>3.45</v>
      </c>
      <c r="F33" s="4">
        <v>340</v>
      </c>
      <c r="G33" s="5">
        <v>4.3499999999999996</v>
      </c>
      <c r="H33" s="4">
        <v>5</v>
      </c>
    </row>
    <row r="34" spans="1:8" x14ac:dyDescent="0.2">
      <c r="A34" s="1" t="s">
        <v>2</v>
      </c>
      <c r="B34" s="4">
        <v>2408</v>
      </c>
      <c r="C34" s="5">
        <v>100.01000000000002</v>
      </c>
      <c r="D34" s="4">
        <v>1404</v>
      </c>
      <c r="E34" s="5">
        <v>99.999999999999986</v>
      </c>
      <c r="F34" s="4">
        <v>961</v>
      </c>
      <c r="G34" s="5">
        <v>99.97999999999999</v>
      </c>
      <c r="H34" s="4">
        <v>22</v>
      </c>
    </row>
    <row r="35" spans="1:8" x14ac:dyDescent="0.2">
      <c r="A35" s="2" t="s">
        <v>44</v>
      </c>
      <c r="B35" s="4">
        <v>3</v>
      </c>
      <c r="C35" s="5">
        <v>0.12</v>
      </c>
      <c r="D35" s="4">
        <v>0</v>
      </c>
      <c r="E35" s="5">
        <v>0</v>
      </c>
      <c r="F35" s="4">
        <v>3</v>
      </c>
      <c r="G35" s="5">
        <v>0.31</v>
      </c>
      <c r="H35" s="4">
        <v>0</v>
      </c>
    </row>
    <row r="36" spans="1:8" x14ac:dyDescent="0.2">
      <c r="A36" s="2" t="s">
        <v>45</v>
      </c>
      <c r="B36" s="4">
        <v>263</v>
      </c>
      <c r="C36" s="5">
        <v>10.92</v>
      </c>
      <c r="D36" s="4">
        <v>64</v>
      </c>
      <c r="E36" s="5">
        <v>4.5599999999999996</v>
      </c>
      <c r="F36" s="4">
        <v>199</v>
      </c>
      <c r="G36" s="5">
        <v>20.71</v>
      </c>
      <c r="H36" s="4">
        <v>0</v>
      </c>
    </row>
    <row r="37" spans="1:8" x14ac:dyDescent="0.2">
      <c r="A37" s="2" t="s">
        <v>46</v>
      </c>
      <c r="B37" s="4">
        <v>166</v>
      </c>
      <c r="C37" s="5">
        <v>6.89</v>
      </c>
      <c r="D37" s="4">
        <v>77</v>
      </c>
      <c r="E37" s="5">
        <v>5.48</v>
      </c>
      <c r="F37" s="4">
        <v>87</v>
      </c>
      <c r="G37" s="5">
        <v>9.0500000000000007</v>
      </c>
      <c r="H37" s="4">
        <v>2</v>
      </c>
    </row>
    <row r="38" spans="1:8" x14ac:dyDescent="0.2">
      <c r="A38" s="2" t="s">
        <v>47</v>
      </c>
      <c r="B38" s="4">
        <v>12</v>
      </c>
      <c r="C38" s="5">
        <v>0.5</v>
      </c>
      <c r="D38" s="4">
        <v>1</v>
      </c>
      <c r="E38" s="5">
        <v>7.0000000000000007E-2</v>
      </c>
      <c r="F38" s="4">
        <v>11</v>
      </c>
      <c r="G38" s="5">
        <v>1.1399999999999999</v>
      </c>
      <c r="H38" s="4">
        <v>0</v>
      </c>
    </row>
    <row r="39" spans="1:8" x14ac:dyDescent="0.2">
      <c r="A39" s="2" t="s">
        <v>48</v>
      </c>
      <c r="B39" s="4">
        <v>12</v>
      </c>
      <c r="C39" s="5">
        <v>0.5</v>
      </c>
      <c r="D39" s="4">
        <v>0</v>
      </c>
      <c r="E39" s="5">
        <v>0</v>
      </c>
      <c r="F39" s="4">
        <v>12</v>
      </c>
      <c r="G39" s="5">
        <v>1.25</v>
      </c>
      <c r="H39" s="4">
        <v>0</v>
      </c>
    </row>
    <row r="40" spans="1:8" x14ac:dyDescent="0.2">
      <c r="A40" s="2" t="s">
        <v>49</v>
      </c>
      <c r="B40" s="4">
        <v>17</v>
      </c>
      <c r="C40" s="5">
        <v>0.71</v>
      </c>
      <c r="D40" s="4">
        <v>4</v>
      </c>
      <c r="E40" s="5">
        <v>0.28000000000000003</v>
      </c>
      <c r="F40" s="4">
        <v>13</v>
      </c>
      <c r="G40" s="5">
        <v>1.35</v>
      </c>
      <c r="H40" s="4">
        <v>0</v>
      </c>
    </row>
    <row r="41" spans="1:8" x14ac:dyDescent="0.2">
      <c r="A41" s="2" t="s">
        <v>50</v>
      </c>
      <c r="B41" s="4">
        <v>669</v>
      </c>
      <c r="C41" s="5">
        <v>27.78</v>
      </c>
      <c r="D41" s="4">
        <v>358</v>
      </c>
      <c r="E41" s="5">
        <v>25.5</v>
      </c>
      <c r="F41" s="4">
        <v>308</v>
      </c>
      <c r="G41" s="5">
        <v>32.049999999999997</v>
      </c>
      <c r="H41" s="4">
        <v>3</v>
      </c>
    </row>
    <row r="42" spans="1:8" x14ac:dyDescent="0.2">
      <c r="A42" s="2" t="s">
        <v>51</v>
      </c>
      <c r="B42" s="4">
        <v>17</v>
      </c>
      <c r="C42" s="5">
        <v>0.71</v>
      </c>
      <c r="D42" s="4">
        <v>1</v>
      </c>
      <c r="E42" s="5">
        <v>7.0000000000000007E-2</v>
      </c>
      <c r="F42" s="4">
        <v>16</v>
      </c>
      <c r="G42" s="5">
        <v>1.66</v>
      </c>
      <c r="H42" s="4">
        <v>0</v>
      </c>
    </row>
    <row r="43" spans="1:8" x14ac:dyDescent="0.2">
      <c r="A43" s="2" t="s">
        <v>52</v>
      </c>
      <c r="B43" s="4">
        <v>95</v>
      </c>
      <c r="C43" s="5">
        <v>3.95</v>
      </c>
      <c r="D43" s="4">
        <v>30</v>
      </c>
      <c r="E43" s="5">
        <v>2.14</v>
      </c>
      <c r="F43" s="4">
        <v>64</v>
      </c>
      <c r="G43" s="5">
        <v>6.66</v>
      </c>
      <c r="H43" s="4">
        <v>0</v>
      </c>
    </row>
    <row r="44" spans="1:8" x14ac:dyDescent="0.2">
      <c r="A44" s="2" t="s">
        <v>53</v>
      </c>
      <c r="B44" s="4">
        <v>127</v>
      </c>
      <c r="C44" s="5">
        <v>5.27</v>
      </c>
      <c r="D44" s="4">
        <v>78</v>
      </c>
      <c r="E44" s="5">
        <v>5.56</v>
      </c>
      <c r="F44" s="4">
        <v>47</v>
      </c>
      <c r="G44" s="5">
        <v>4.8899999999999997</v>
      </c>
      <c r="H44" s="4">
        <v>1</v>
      </c>
    </row>
    <row r="45" spans="1:8" x14ac:dyDescent="0.2">
      <c r="A45" s="2" t="s">
        <v>54</v>
      </c>
      <c r="B45" s="4">
        <v>340</v>
      </c>
      <c r="C45" s="5">
        <v>14.12</v>
      </c>
      <c r="D45" s="4">
        <v>295</v>
      </c>
      <c r="E45" s="5">
        <v>21.01</v>
      </c>
      <c r="F45" s="4">
        <v>43</v>
      </c>
      <c r="G45" s="5">
        <v>4.47</v>
      </c>
      <c r="H45" s="4">
        <v>0</v>
      </c>
    </row>
    <row r="46" spans="1:8" x14ac:dyDescent="0.2">
      <c r="A46" s="2" t="s">
        <v>55</v>
      </c>
      <c r="B46" s="4">
        <v>358</v>
      </c>
      <c r="C46" s="5">
        <v>14.87</v>
      </c>
      <c r="D46" s="4">
        <v>297</v>
      </c>
      <c r="E46" s="5">
        <v>21.15</v>
      </c>
      <c r="F46" s="4">
        <v>56</v>
      </c>
      <c r="G46" s="5">
        <v>5.83</v>
      </c>
      <c r="H46" s="4">
        <v>5</v>
      </c>
    </row>
    <row r="47" spans="1:8" x14ac:dyDescent="0.2">
      <c r="A47" s="2" t="s">
        <v>56</v>
      </c>
      <c r="B47" s="4">
        <v>76</v>
      </c>
      <c r="C47" s="5">
        <v>3.16</v>
      </c>
      <c r="D47" s="4">
        <v>49</v>
      </c>
      <c r="E47" s="5">
        <v>3.49</v>
      </c>
      <c r="F47" s="4">
        <v>18</v>
      </c>
      <c r="G47" s="5">
        <v>1.87</v>
      </c>
      <c r="H47" s="4">
        <v>2</v>
      </c>
    </row>
    <row r="48" spans="1:8" x14ac:dyDescent="0.2">
      <c r="A48" s="2" t="s">
        <v>57</v>
      </c>
      <c r="B48" s="4">
        <v>115</v>
      </c>
      <c r="C48" s="5">
        <v>4.78</v>
      </c>
      <c r="D48" s="4">
        <v>71</v>
      </c>
      <c r="E48" s="5">
        <v>5.0599999999999996</v>
      </c>
      <c r="F48" s="4">
        <v>44</v>
      </c>
      <c r="G48" s="5">
        <v>4.58</v>
      </c>
      <c r="H48" s="4">
        <v>0</v>
      </c>
    </row>
    <row r="49" spans="1:8" x14ac:dyDescent="0.2">
      <c r="A49" s="2" t="s">
        <v>58</v>
      </c>
      <c r="B49" s="4">
        <v>138</v>
      </c>
      <c r="C49" s="5">
        <v>5.73</v>
      </c>
      <c r="D49" s="4">
        <v>79</v>
      </c>
      <c r="E49" s="5">
        <v>5.63</v>
      </c>
      <c r="F49" s="4">
        <v>40</v>
      </c>
      <c r="G49" s="5">
        <v>4.16</v>
      </c>
      <c r="H49" s="4">
        <v>9</v>
      </c>
    </row>
    <row r="50" spans="1:8" x14ac:dyDescent="0.2">
      <c r="A50" s="1" t="s">
        <v>3</v>
      </c>
      <c r="B50" s="4">
        <v>665</v>
      </c>
      <c r="C50" s="5">
        <v>99.979999999999976</v>
      </c>
      <c r="D50" s="4">
        <v>428</v>
      </c>
      <c r="E50" s="5">
        <v>100</v>
      </c>
      <c r="F50" s="4">
        <v>219</v>
      </c>
      <c r="G50" s="5">
        <v>99.999999999999986</v>
      </c>
      <c r="H50" s="4">
        <v>6</v>
      </c>
    </row>
    <row r="51" spans="1:8" x14ac:dyDescent="0.2">
      <c r="A51" s="2" t="s">
        <v>44</v>
      </c>
      <c r="B51" s="4">
        <v>2</v>
      </c>
      <c r="C51" s="5">
        <v>0.3</v>
      </c>
      <c r="D51" s="4">
        <v>0</v>
      </c>
      <c r="E51" s="5">
        <v>0</v>
      </c>
      <c r="F51" s="4">
        <v>2</v>
      </c>
      <c r="G51" s="5">
        <v>0.91</v>
      </c>
      <c r="H51" s="4">
        <v>0</v>
      </c>
    </row>
    <row r="52" spans="1:8" x14ac:dyDescent="0.2">
      <c r="A52" s="2" t="s">
        <v>45</v>
      </c>
      <c r="B52" s="4">
        <v>44</v>
      </c>
      <c r="C52" s="5">
        <v>6.62</v>
      </c>
      <c r="D52" s="4">
        <v>23</v>
      </c>
      <c r="E52" s="5">
        <v>5.37</v>
      </c>
      <c r="F52" s="4">
        <v>21</v>
      </c>
      <c r="G52" s="5">
        <v>9.59</v>
      </c>
      <c r="H52" s="4">
        <v>0</v>
      </c>
    </row>
    <row r="53" spans="1:8" x14ac:dyDescent="0.2">
      <c r="A53" s="2" t="s">
        <v>46</v>
      </c>
      <c r="B53" s="4">
        <v>90</v>
      </c>
      <c r="C53" s="5">
        <v>13.53</v>
      </c>
      <c r="D53" s="4">
        <v>29</v>
      </c>
      <c r="E53" s="5">
        <v>6.78</v>
      </c>
      <c r="F53" s="4">
        <v>61</v>
      </c>
      <c r="G53" s="5">
        <v>27.85</v>
      </c>
      <c r="H53" s="4">
        <v>0</v>
      </c>
    </row>
    <row r="54" spans="1:8" x14ac:dyDescent="0.2">
      <c r="A54" s="2" t="s">
        <v>47</v>
      </c>
      <c r="B54" s="4">
        <v>13</v>
      </c>
      <c r="C54" s="5">
        <v>1.95</v>
      </c>
      <c r="D54" s="4">
        <v>0</v>
      </c>
      <c r="E54" s="5">
        <v>0</v>
      </c>
      <c r="F54" s="4">
        <v>12</v>
      </c>
      <c r="G54" s="5">
        <v>5.48</v>
      </c>
      <c r="H54" s="4">
        <v>0</v>
      </c>
    </row>
    <row r="55" spans="1:8" x14ac:dyDescent="0.2">
      <c r="A55" s="2" t="s">
        <v>48</v>
      </c>
      <c r="B55" s="4">
        <v>4</v>
      </c>
      <c r="C55" s="5">
        <v>0.6</v>
      </c>
      <c r="D55" s="4">
        <v>1</v>
      </c>
      <c r="E55" s="5">
        <v>0.23</v>
      </c>
      <c r="F55" s="4">
        <v>3</v>
      </c>
      <c r="G55" s="5">
        <v>1.37</v>
      </c>
      <c r="H55" s="4">
        <v>0</v>
      </c>
    </row>
    <row r="56" spans="1:8" x14ac:dyDescent="0.2">
      <c r="A56" s="2" t="s">
        <v>49</v>
      </c>
      <c r="B56" s="4">
        <v>9</v>
      </c>
      <c r="C56" s="5">
        <v>1.35</v>
      </c>
      <c r="D56" s="4">
        <v>1</v>
      </c>
      <c r="E56" s="5">
        <v>0.23</v>
      </c>
      <c r="F56" s="4">
        <v>7</v>
      </c>
      <c r="G56" s="5">
        <v>3.2</v>
      </c>
      <c r="H56" s="4">
        <v>1</v>
      </c>
    </row>
    <row r="57" spans="1:8" x14ac:dyDescent="0.2">
      <c r="A57" s="2" t="s">
        <v>50</v>
      </c>
      <c r="B57" s="4">
        <v>201</v>
      </c>
      <c r="C57" s="5">
        <v>30.23</v>
      </c>
      <c r="D57" s="4">
        <v>136</v>
      </c>
      <c r="E57" s="5">
        <v>31.78</v>
      </c>
      <c r="F57" s="4">
        <v>63</v>
      </c>
      <c r="G57" s="5">
        <v>28.77</v>
      </c>
      <c r="H57" s="4">
        <v>2</v>
      </c>
    </row>
    <row r="58" spans="1:8" x14ac:dyDescent="0.2">
      <c r="A58" s="2" t="s">
        <v>51</v>
      </c>
      <c r="B58" s="4">
        <v>7</v>
      </c>
      <c r="C58" s="5">
        <v>1.05</v>
      </c>
      <c r="D58" s="4">
        <v>5</v>
      </c>
      <c r="E58" s="5">
        <v>1.17</v>
      </c>
      <c r="F58" s="4">
        <v>2</v>
      </c>
      <c r="G58" s="5">
        <v>0.91</v>
      </c>
      <c r="H58" s="4">
        <v>0</v>
      </c>
    </row>
    <row r="59" spans="1:8" x14ac:dyDescent="0.2">
      <c r="A59" s="2" t="s">
        <v>52</v>
      </c>
      <c r="B59" s="4">
        <v>13</v>
      </c>
      <c r="C59" s="5">
        <v>1.95</v>
      </c>
      <c r="D59" s="4">
        <v>6</v>
      </c>
      <c r="E59" s="5">
        <v>1.4</v>
      </c>
      <c r="F59" s="4">
        <v>7</v>
      </c>
      <c r="G59" s="5">
        <v>3.2</v>
      </c>
      <c r="H59" s="4">
        <v>0</v>
      </c>
    </row>
    <row r="60" spans="1:8" x14ac:dyDescent="0.2">
      <c r="A60" s="2" t="s">
        <v>53</v>
      </c>
      <c r="B60" s="4">
        <v>21</v>
      </c>
      <c r="C60" s="5">
        <v>3.16</v>
      </c>
      <c r="D60" s="4">
        <v>19</v>
      </c>
      <c r="E60" s="5">
        <v>4.4400000000000004</v>
      </c>
      <c r="F60" s="4">
        <v>2</v>
      </c>
      <c r="G60" s="5">
        <v>0.91</v>
      </c>
      <c r="H60" s="4">
        <v>0</v>
      </c>
    </row>
    <row r="61" spans="1:8" x14ac:dyDescent="0.2">
      <c r="A61" s="2" t="s">
        <v>54</v>
      </c>
      <c r="B61" s="4">
        <v>89</v>
      </c>
      <c r="C61" s="5">
        <v>13.38</v>
      </c>
      <c r="D61" s="4">
        <v>82</v>
      </c>
      <c r="E61" s="5">
        <v>19.16</v>
      </c>
      <c r="F61" s="4">
        <v>6</v>
      </c>
      <c r="G61" s="5">
        <v>2.74</v>
      </c>
      <c r="H61" s="4">
        <v>0</v>
      </c>
    </row>
    <row r="62" spans="1:8" x14ac:dyDescent="0.2">
      <c r="A62" s="2" t="s">
        <v>55</v>
      </c>
      <c r="B62" s="4">
        <v>86</v>
      </c>
      <c r="C62" s="5">
        <v>12.93</v>
      </c>
      <c r="D62" s="4">
        <v>74</v>
      </c>
      <c r="E62" s="5">
        <v>17.29</v>
      </c>
      <c r="F62" s="4">
        <v>11</v>
      </c>
      <c r="G62" s="5">
        <v>5.0199999999999996</v>
      </c>
      <c r="H62" s="4">
        <v>0</v>
      </c>
    </row>
    <row r="63" spans="1:8" x14ac:dyDescent="0.2">
      <c r="A63" s="2" t="s">
        <v>56</v>
      </c>
      <c r="B63" s="4">
        <v>21</v>
      </c>
      <c r="C63" s="5">
        <v>3.16</v>
      </c>
      <c r="D63" s="4">
        <v>10</v>
      </c>
      <c r="E63" s="5">
        <v>2.34</v>
      </c>
      <c r="F63" s="4">
        <v>4</v>
      </c>
      <c r="G63" s="5">
        <v>1.83</v>
      </c>
      <c r="H63" s="4">
        <v>2</v>
      </c>
    </row>
    <row r="64" spans="1:8" x14ac:dyDescent="0.2">
      <c r="A64" s="2" t="s">
        <v>57</v>
      </c>
      <c r="B64" s="4">
        <v>37</v>
      </c>
      <c r="C64" s="5">
        <v>5.56</v>
      </c>
      <c r="D64" s="4">
        <v>22</v>
      </c>
      <c r="E64" s="5">
        <v>5.14</v>
      </c>
      <c r="F64" s="4">
        <v>13</v>
      </c>
      <c r="G64" s="5">
        <v>5.94</v>
      </c>
      <c r="H64" s="4">
        <v>0</v>
      </c>
    </row>
    <row r="65" spans="1:8" x14ac:dyDescent="0.2">
      <c r="A65" s="2" t="s">
        <v>58</v>
      </c>
      <c r="B65" s="4">
        <v>28</v>
      </c>
      <c r="C65" s="5">
        <v>4.21</v>
      </c>
      <c r="D65" s="4">
        <v>20</v>
      </c>
      <c r="E65" s="5">
        <v>4.67</v>
      </c>
      <c r="F65" s="4">
        <v>5</v>
      </c>
      <c r="G65" s="5">
        <v>2.2799999999999998</v>
      </c>
      <c r="H65" s="4">
        <v>1</v>
      </c>
    </row>
    <row r="66" spans="1:8" x14ac:dyDescent="0.2">
      <c r="A66" s="1" t="s">
        <v>4</v>
      </c>
      <c r="B66" s="4">
        <v>557</v>
      </c>
      <c r="C66" s="5">
        <v>100.00999999999999</v>
      </c>
      <c r="D66" s="4">
        <v>362</v>
      </c>
      <c r="E66" s="5">
        <v>100</v>
      </c>
      <c r="F66" s="4">
        <v>192</v>
      </c>
      <c r="G66" s="5">
        <v>100.00000000000001</v>
      </c>
      <c r="H66" s="4">
        <v>0</v>
      </c>
    </row>
    <row r="67" spans="1:8" x14ac:dyDescent="0.2">
      <c r="A67" s="2" t="s">
        <v>44</v>
      </c>
      <c r="B67" s="4">
        <v>1</v>
      </c>
      <c r="C67" s="5">
        <v>0.18</v>
      </c>
      <c r="D67" s="4">
        <v>0</v>
      </c>
      <c r="E67" s="5">
        <v>0</v>
      </c>
      <c r="F67" s="4">
        <v>1</v>
      </c>
      <c r="G67" s="5">
        <v>0.52</v>
      </c>
      <c r="H67" s="4">
        <v>0</v>
      </c>
    </row>
    <row r="68" spans="1:8" x14ac:dyDescent="0.2">
      <c r="A68" s="2" t="s">
        <v>45</v>
      </c>
      <c r="B68" s="4">
        <v>57</v>
      </c>
      <c r="C68" s="5">
        <v>10.23</v>
      </c>
      <c r="D68" s="4">
        <v>20</v>
      </c>
      <c r="E68" s="5">
        <v>5.52</v>
      </c>
      <c r="F68" s="4">
        <v>37</v>
      </c>
      <c r="G68" s="5">
        <v>19.27</v>
      </c>
      <c r="H68" s="4">
        <v>0</v>
      </c>
    </row>
    <row r="69" spans="1:8" x14ac:dyDescent="0.2">
      <c r="A69" s="2" t="s">
        <v>46</v>
      </c>
      <c r="B69" s="4">
        <v>46</v>
      </c>
      <c r="C69" s="5">
        <v>8.26</v>
      </c>
      <c r="D69" s="4">
        <v>20</v>
      </c>
      <c r="E69" s="5">
        <v>5.52</v>
      </c>
      <c r="F69" s="4">
        <v>26</v>
      </c>
      <c r="G69" s="5">
        <v>13.54</v>
      </c>
      <c r="H69" s="4">
        <v>0</v>
      </c>
    </row>
    <row r="70" spans="1:8" x14ac:dyDescent="0.2">
      <c r="A70" s="2" t="s">
        <v>47</v>
      </c>
      <c r="B70" s="4">
        <v>3</v>
      </c>
      <c r="C70" s="5">
        <v>0.54</v>
      </c>
      <c r="D70" s="4">
        <v>0</v>
      </c>
      <c r="E70" s="5">
        <v>0</v>
      </c>
      <c r="F70" s="4">
        <v>3</v>
      </c>
      <c r="G70" s="5">
        <v>1.56</v>
      </c>
      <c r="H70" s="4">
        <v>0</v>
      </c>
    </row>
    <row r="71" spans="1:8" x14ac:dyDescent="0.2">
      <c r="A71" s="2" t="s">
        <v>48</v>
      </c>
      <c r="B71" s="4">
        <v>2</v>
      </c>
      <c r="C71" s="5">
        <v>0.36</v>
      </c>
      <c r="D71" s="4">
        <v>0</v>
      </c>
      <c r="E71" s="5">
        <v>0</v>
      </c>
      <c r="F71" s="4">
        <v>2</v>
      </c>
      <c r="G71" s="5">
        <v>1.04</v>
      </c>
      <c r="H71" s="4">
        <v>0</v>
      </c>
    </row>
    <row r="72" spans="1:8" x14ac:dyDescent="0.2">
      <c r="A72" s="2" t="s">
        <v>49</v>
      </c>
      <c r="B72" s="4">
        <v>9</v>
      </c>
      <c r="C72" s="5">
        <v>1.62</v>
      </c>
      <c r="D72" s="4">
        <v>2</v>
      </c>
      <c r="E72" s="5">
        <v>0.55000000000000004</v>
      </c>
      <c r="F72" s="4">
        <v>7</v>
      </c>
      <c r="G72" s="5">
        <v>3.65</v>
      </c>
      <c r="H72" s="4">
        <v>0</v>
      </c>
    </row>
    <row r="73" spans="1:8" x14ac:dyDescent="0.2">
      <c r="A73" s="2" t="s">
        <v>50</v>
      </c>
      <c r="B73" s="4">
        <v>177</v>
      </c>
      <c r="C73" s="5">
        <v>31.78</v>
      </c>
      <c r="D73" s="4">
        <v>118</v>
      </c>
      <c r="E73" s="5">
        <v>32.6</v>
      </c>
      <c r="F73" s="4">
        <v>59</v>
      </c>
      <c r="G73" s="5">
        <v>30.73</v>
      </c>
      <c r="H73" s="4">
        <v>0</v>
      </c>
    </row>
    <row r="74" spans="1:8" x14ac:dyDescent="0.2">
      <c r="A74" s="2" t="s">
        <v>51</v>
      </c>
      <c r="B74" s="4">
        <v>2</v>
      </c>
      <c r="C74" s="5">
        <v>0.36</v>
      </c>
      <c r="D74" s="4">
        <v>0</v>
      </c>
      <c r="E74" s="5">
        <v>0</v>
      </c>
      <c r="F74" s="4">
        <v>2</v>
      </c>
      <c r="G74" s="5">
        <v>1.04</v>
      </c>
      <c r="H74" s="4">
        <v>0</v>
      </c>
    </row>
    <row r="75" spans="1:8" x14ac:dyDescent="0.2">
      <c r="A75" s="2" t="s">
        <v>52</v>
      </c>
      <c r="B75" s="4">
        <v>24</v>
      </c>
      <c r="C75" s="5">
        <v>4.3099999999999996</v>
      </c>
      <c r="D75" s="4">
        <v>15</v>
      </c>
      <c r="E75" s="5">
        <v>4.1399999999999997</v>
      </c>
      <c r="F75" s="4">
        <v>9</v>
      </c>
      <c r="G75" s="5">
        <v>4.6900000000000004</v>
      </c>
      <c r="H75" s="4">
        <v>0</v>
      </c>
    </row>
    <row r="76" spans="1:8" x14ac:dyDescent="0.2">
      <c r="A76" s="2" t="s">
        <v>53</v>
      </c>
      <c r="B76" s="4">
        <v>26</v>
      </c>
      <c r="C76" s="5">
        <v>4.67</v>
      </c>
      <c r="D76" s="4">
        <v>21</v>
      </c>
      <c r="E76" s="5">
        <v>5.8</v>
      </c>
      <c r="F76" s="4">
        <v>4</v>
      </c>
      <c r="G76" s="5">
        <v>2.08</v>
      </c>
      <c r="H76" s="4">
        <v>0</v>
      </c>
    </row>
    <row r="77" spans="1:8" x14ac:dyDescent="0.2">
      <c r="A77" s="2" t="s">
        <v>54</v>
      </c>
      <c r="B77" s="4">
        <v>80</v>
      </c>
      <c r="C77" s="5">
        <v>14.36</v>
      </c>
      <c r="D77" s="4">
        <v>65</v>
      </c>
      <c r="E77" s="5">
        <v>17.96</v>
      </c>
      <c r="F77" s="4">
        <v>14</v>
      </c>
      <c r="G77" s="5">
        <v>7.29</v>
      </c>
      <c r="H77" s="4">
        <v>0</v>
      </c>
    </row>
    <row r="78" spans="1:8" x14ac:dyDescent="0.2">
      <c r="A78" s="2" t="s">
        <v>55</v>
      </c>
      <c r="B78" s="4">
        <v>71</v>
      </c>
      <c r="C78" s="5">
        <v>12.75</v>
      </c>
      <c r="D78" s="4">
        <v>59</v>
      </c>
      <c r="E78" s="5">
        <v>16.3</v>
      </c>
      <c r="F78" s="4">
        <v>12</v>
      </c>
      <c r="G78" s="5">
        <v>6.25</v>
      </c>
      <c r="H78" s="4">
        <v>0</v>
      </c>
    </row>
    <row r="79" spans="1:8" x14ac:dyDescent="0.2">
      <c r="A79" s="2" t="s">
        <v>56</v>
      </c>
      <c r="B79" s="4">
        <v>11</v>
      </c>
      <c r="C79" s="5">
        <v>1.97</v>
      </c>
      <c r="D79" s="4">
        <v>9</v>
      </c>
      <c r="E79" s="5">
        <v>2.4900000000000002</v>
      </c>
      <c r="F79" s="4">
        <v>1</v>
      </c>
      <c r="G79" s="5">
        <v>0.52</v>
      </c>
      <c r="H79" s="4">
        <v>0</v>
      </c>
    </row>
    <row r="80" spans="1:8" x14ac:dyDescent="0.2">
      <c r="A80" s="2" t="s">
        <v>57</v>
      </c>
      <c r="B80" s="4">
        <v>27</v>
      </c>
      <c r="C80" s="5">
        <v>4.8499999999999996</v>
      </c>
      <c r="D80" s="4">
        <v>19</v>
      </c>
      <c r="E80" s="5">
        <v>5.25</v>
      </c>
      <c r="F80" s="4">
        <v>8</v>
      </c>
      <c r="G80" s="5">
        <v>4.17</v>
      </c>
      <c r="H80" s="4">
        <v>0</v>
      </c>
    </row>
    <row r="81" spans="1:8" x14ac:dyDescent="0.2">
      <c r="A81" s="2" t="s">
        <v>58</v>
      </c>
      <c r="B81" s="4">
        <v>21</v>
      </c>
      <c r="C81" s="5">
        <v>3.77</v>
      </c>
      <c r="D81" s="4">
        <v>14</v>
      </c>
      <c r="E81" s="5">
        <v>3.87</v>
      </c>
      <c r="F81" s="4">
        <v>7</v>
      </c>
      <c r="G81" s="5">
        <v>3.65</v>
      </c>
      <c r="H81" s="4">
        <v>0</v>
      </c>
    </row>
    <row r="82" spans="1:8" x14ac:dyDescent="0.2">
      <c r="A82" s="1" t="s">
        <v>5</v>
      </c>
      <c r="B82" s="4">
        <v>1341</v>
      </c>
      <c r="C82" s="5">
        <v>99.999999999999986</v>
      </c>
      <c r="D82" s="4">
        <v>798</v>
      </c>
      <c r="E82" s="5">
        <v>100.00000000000001</v>
      </c>
      <c r="F82" s="4">
        <v>530</v>
      </c>
      <c r="G82" s="5">
        <v>100.00999999999999</v>
      </c>
      <c r="H82" s="4">
        <v>5</v>
      </c>
    </row>
    <row r="83" spans="1:8" x14ac:dyDescent="0.2">
      <c r="A83" s="2" t="s">
        <v>44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45</v>
      </c>
      <c r="B84" s="4">
        <v>138</v>
      </c>
      <c r="C84" s="5">
        <v>10.29</v>
      </c>
      <c r="D84" s="4">
        <v>43</v>
      </c>
      <c r="E84" s="5">
        <v>5.39</v>
      </c>
      <c r="F84" s="4">
        <v>95</v>
      </c>
      <c r="G84" s="5">
        <v>17.920000000000002</v>
      </c>
      <c r="H84" s="4">
        <v>0</v>
      </c>
    </row>
    <row r="85" spans="1:8" x14ac:dyDescent="0.2">
      <c r="A85" s="2" t="s">
        <v>46</v>
      </c>
      <c r="B85" s="4">
        <v>99</v>
      </c>
      <c r="C85" s="5">
        <v>7.38</v>
      </c>
      <c r="D85" s="4">
        <v>35</v>
      </c>
      <c r="E85" s="5">
        <v>4.3899999999999997</v>
      </c>
      <c r="F85" s="4">
        <v>64</v>
      </c>
      <c r="G85" s="5">
        <v>12.08</v>
      </c>
      <c r="H85" s="4">
        <v>0</v>
      </c>
    </row>
    <row r="86" spans="1:8" x14ac:dyDescent="0.2">
      <c r="A86" s="2" t="s">
        <v>47</v>
      </c>
      <c r="B86" s="4">
        <v>9</v>
      </c>
      <c r="C86" s="5">
        <v>0.67</v>
      </c>
      <c r="D86" s="4">
        <v>0</v>
      </c>
      <c r="E86" s="5">
        <v>0</v>
      </c>
      <c r="F86" s="4">
        <v>9</v>
      </c>
      <c r="G86" s="5">
        <v>1.7</v>
      </c>
      <c r="H86" s="4">
        <v>0</v>
      </c>
    </row>
    <row r="87" spans="1:8" x14ac:dyDescent="0.2">
      <c r="A87" s="2" t="s">
        <v>48</v>
      </c>
      <c r="B87" s="4">
        <v>6</v>
      </c>
      <c r="C87" s="5">
        <v>0.45</v>
      </c>
      <c r="D87" s="4">
        <v>1</v>
      </c>
      <c r="E87" s="5">
        <v>0.13</v>
      </c>
      <c r="F87" s="4">
        <v>5</v>
      </c>
      <c r="G87" s="5">
        <v>0.94</v>
      </c>
      <c r="H87" s="4">
        <v>0</v>
      </c>
    </row>
    <row r="88" spans="1:8" x14ac:dyDescent="0.2">
      <c r="A88" s="2" t="s">
        <v>49</v>
      </c>
      <c r="B88" s="4">
        <v>14</v>
      </c>
      <c r="C88" s="5">
        <v>1.04</v>
      </c>
      <c r="D88" s="4">
        <v>3</v>
      </c>
      <c r="E88" s="5">
        <v>0.38</v>
      </c>
      <c r="F88" s="4">
        <v>10</v>
      </c>
      <c r="G88" s="5">
        <v>1.89</v>
      </c>
      <c r="H88" s="4">
        <v>1</v>
      </c>
    </row>
    <row r="89" spans="1:8" x14ac:dyDescent="0.2">
      <c r="A89" s="2" t="s">
        <v>50</v>
      </c>
      <c r="B89" s="4">
        <v>345</v>
      </c>
      <c r="C89" s="5">
        <v>25.73</v>
      </c>
      <c r="D89" s="4">
        <v>172</v>
      </c>
      <c r="E89" s="5">
        <v>21.55</v>
      </c>
      <c r="F89" s="4">
        <v>169</v>
      </c>
      <c r="G89" s="5">
        <v>31.89</v>
      </c>
      <c r="H89" s="4">
        <v>4</v>
      </c>
    </row>
    <row r="90" spans="1:8" x14ac:dyDescent="0.2">
      <c r="A90" s="2" t="s">
        <v>51</v>
      </c>
      <c r="B90" s="4">
        <v>12</v>
      </c>
      <c r="C90" s="5">
        <v>0.89</v>
      </c>
      <c r="D90" s="4">
        <v>0</v>
      </c>
      <c r="E90" s="5">
        <v>0</v>
      </c>
      <c r="F90" s="4">
        <v>12</v>
      </c>
      <c r="G90" s="5">
        <v>2.2599999999999998</v>
      </c>
      <c r="H90" s="4">
        <v>0</v>
      </c>
    </row>
    <row r="91" spans="1:8" x14ac:dyDescent="0.2">
      <c r="A91" s="2" t="s">
        <v>52</v>
      </c>
      <c r="B91" s="4">
        <v>69</v>
      </c>
      <c r="C91" s="5">
        <v>5.15</v>
      </c>
      <c r="D91" s="4">
        <v>25</v>
      </c>
      <c r="E91" s="5">
        <v>3.13</v>
      </c>
      <c r="F91" s="4">
        <v>44</v>
      </c>
      <c r="G91" s="5">
        <v>8.3000000000000007</v>
      </c>
      <c r="H91" s="4">
        <v>0</v>
      </c>
    </row>
    <row r="92" spans="1:8" x14ac:dyDescent="0.2">
      <c r="A92" s="2" t="s">
        <v>53</v>
      </c>
      <c r="B92" s="4">
        <v>61</v>
      </c>
      <c r="C92" s="5">
        <v>4.55</v>
      </c>
      <c r="D92" s="4">
        <v>44</v>
      </c>
      <c r="E92" s="5">
        <v>5.51</v>
      </c>
      <c r="F92" s="4">
        <v>17</v>
      </c>
      <c r="G92" s="5">
        <v>3.21</v>
      </c>
      <c r="H92" s="4">
        <v>0</v>
      </c>
    </row>
    <row r="93" spans="1:8" x14ac:dyDescent="0.2">
      <c r="A93" s="2" t="s">
        <v>54</v>
      </c>
      <c r="B93" s="4">
        <v>196</v>
      </c>
      <c r="C93" s="5">
        <v>14.62</v>
      </c>
      <c r="D93" s="4">
        <v>167</v>
      </c>
      <c r="E93" s="5">
        <v>20.93</v>
      </c>
      <c r="F93" s="4">
        <v>26</v>
      </c>
      <c r="G93" s="5">
        <v>4.91</v>
      </c>
      <c r="H93" s="4">
        <v>0</v>
      </c>
    </row>
    <row r="94" spans="1:8" x14ac:dyDescent="0.2">
      <c r="A94" s="2" t="s">
        <v>55</v>
      </c>
      <c r="B94" s="4">
        <v>191</v>
      </c>
      <c r="C94" s="5">
        <v>14.24</v>
      </c>
      <c r="D94" s="4">
        <v>166</v>
      </c>
      <c r="E94" s="5">
        <v>20.8</v>
      </c>
      <c r="F94" s="4">
        <v>24</v>
      </c>
      <c r="G94" s="5">
        <v>4.53</v>
      </c>
      <c r="H94" s="4">
        <v>0</v>
      </c>
    </row>
    <row r="95" spans="1:8" x14ac:dyDescent="0.2">
      <c r="A95" s="2" t="s">
        <v>56</v>
      </c>
      <c r="B95" s="4">
        <v>48</v>
      </c>
      <c r="C95" s="5">
        <v>3.58</v>
      </c>
      <c r="D95" s="4">
        <v>38</v>
      </c>
      <c r="E95" s="5">
        <v>4.76</v>
      </c>
      <c r="F95" s="4">
        <v>9</v>
      </c>
      <c r="G95" s="5">
        <v>1.7</v>
      </c>
      <c r="H95" s="4">
        <v>0</v>
      </c>
    </row>
    <row r="96" spans="1:8" x14ac:dyDescent="0.2">
      <c r="A96" s="2" t="s">
        <v>57</v>
      </c>
      <c r="B96" s="4">
        <v>96</v>
      </c>
      <c r="C96" s="5">
        <v>7.16</v>
      </c>
      <c r="D96" s="4">
        <v>66</v>
      </c>
      <c r="E96" s="5">
        <v>8.27</v>
      </c>
      <c r="F96" s="4">
        <v>30</v>
      </c>
      <c r="G96" s="5">
        <v>5.66</v>
      </c>
      <c r="H96" s="4">
        <v>0</v>
      </c>
    </row>
    <row r="97" spans="1:8" x14ac:dyDescent="0.2">
      <c r="A97" s="2" t="s">
        <v>58</v>
      </c>
      <c r="B97" s="4">
        <v>57</v>
      </c>
      <c r="C97" s="5">
        <v>4.25</v>
      </c>
      <c r="D97" s="4">
        <v>38</v>
      </c>
      <c r="E97" s="5">
        <v>4.76</v>
      </c>
      <c r="F97" s="4">
        <v>16</v>
      </c>
      <c r="G97" s="5">
        <v>3.02</v>
      </c>
      <c r="H97" s="4">
        <v>0</v>
      </c>
    </row>
    <row r="98" spans="1:8" x14ac:dyDescent="0.2">
      <c r="A98" s="1" t="s">
        <v>6</v>
      </c>
      <c r="B98" s="4">
        <v>1243</v>
      </c>
      <c r="C98" s="5">
        <v>99.999999999999972</v>
      </c>
      <c r="D98" s="4">
        <v>805</v>
      </c>
      <c r="E98" s="5">
        <v>100.00999999999998</v>
      </c>
      <c r="F98" s="4">
        <v>428</v>
      </c>
      <c r="G98" s="5">
        <v>99.980000000000032</v>
      </c>
      <c r="H98" s="4">
        <v>6</v>
      </c>
    </row>
    <row r="99" spans="1:8" x14ac:dyDescent="0.2">
      <c r="A99" s="2" t="s">
        <v>44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45</v>
      </c>
      <c r="B100" s="4">
        <v>154</v>
      </c>
      <c r="C100" s="5">
        <v>12.39</v>
      </c>
      <c r="D100" s="4">
        <v>74</v>
      </c>
      <c r="E100" s="5">
        <v>9.19</v>
      </c>
      <c r="F100" s="4">
        <v>80</v>
      </c>
      <c r="G100" s="5">
        <v>18.690000000000001</v>
      </c>
      <c r="H100" s="4">
        <v>0</v>
      </c>
    </row>
    <row r="101" spans="1:8" x14ac:dyDescent="0.2">
      <c r="A101" s="2" t="s">
        <v>46</v>
      </c>
      <c r="B101" s="4">
        <v>94</v>
      </c>
      <c r="C101" s="5">
        <v>7.56</v>
      </c>
      <c r="D101" s="4">
        <v>45</v>
      </c>
      <c r="E101" s="5">
        <v>5.59</v>
      </c>
      <c r="F101" s="4">
        <v>49</v>
      </c>
      <c r="G101" s="5">
        <v>11.45</v>
      </c>
      <c r="H101" s="4">
        <v>0</v>
      </c>
    </row>
    <row r="102" spans="1:8" x14ac:dyDescent="0.2">
      <c r="A102" s="2" t="s">
        <v>47</v>
      </c>
      <c r="B102" s="4">
        <v>7</v>
      </c>
      <c r="C102" s="5">
        <v>0.56000000000000005</v>
      </c>
      <c r="D102" s="4">
        <v>0</v>
      </c>
      <c r="E102" s="5">
        <v>0</v>
      </c>
      <c r="F102" s="4">
        <v>7</v>
      </c>
      <c r="G102" s="5">
        <v>1.64</v>
      </c>
      <c r="H102" s="4">
        <v>0</v>
      </c>
    </row>
    <row r="103" spans="1:8" x14ac:dyDescent="0.2">
      <c r="A103" s="2" t="s">
        <v>48</v>
      </c>
      <c r="B103" s="4">
        <v>3</v>
      </c>
      <c r="C103" s="5">
        <v>0.24</v>
      </c>
      <c r="D103" s="4">
        <v>0</v>
      </c>
      <c r="E103" s="5">
        <v>0</v>
      </c>
      <c r="F103" s="4">
        <v>3</v>
      </c>
      <c r="G103" s="5">
        <v>0.7</v>
      </c>
      <c r="H103" s="4">
        <v>0</v>
      </c>
    </row>
    <row r="104" spans="1:8" x14ac:dyDescent="0.2">
      <c r="A104" s="2" t="s">
        <v>49</v>
      </c>
      <c r="B104" s="4">
        <v>18</v>
      </c>
      <c r="C104" s="5">
        <v>1.45</v>
      </c>
      <c r="D104" s="4">
        <v>8</v>
      </c>
      <c r="E104" s="5">
        <v>0.99</v>
      </c>
      <c r="F104" s="4">
        <v>10</v>
      </c>
      <c r="G104" s="5">
        <v>2.34</v>
      </c>
      <c r="H104" s="4">
        <v>0</v>
      </c>
    </row>
    <row r="105" spans="1:8" x14ac:dyDescent="0.2">
      <c r="A105" s="2" t="s">
        <v>50</v>
      </c>
      <c r="B105" s="4">
        <v>373</v>
      </c>
      <c r="C105" s="5">
        <v>30.01</v>
      </c>
      <c r="D105" s="4">
        <v>220</v>
      </c>
      <c r="E105" s="5">
        <v>27.33</v>
      </c>
      <c r="F105" s="4">
        <v>152</v>
      </c>
      <c r="G105" s="5">
        <v>35.51</v>
      </c>
      <c r="H105" s="4">
        <v>1</v>
      </c>
    </row>
    <row r="106" spans="1:8" x14ac:dyDescent="0.2">
      <c r="A106" s="2" t="s">
        <v>51</v>
      </c>
      <c r="B106" s="4">
        <v>10</v>
      </c>
      <c r="C106" s="5">
        <v>0.8</v>
      </c>
      <c r="D106" s="4">
        <v>4</v>
      </c>
      <c r="E106" s="5">
        <v>0.5</v>
      </c>
      <c r="F106" s="4">
        <v>6</v>
      </c>
      <c r="G106" s="5">
        <v>1.4</v>
      </c>
      <c r="H106" s="4">
        <v>0</v>
      </c>
    </row>
    <row r="107" spans="1:8" x14ac:dyDescent="0.2">
      <c r="A107" s="2" t="s">
        <v>52</v>
      </c>
      <c r="B107" s="4">
        <v>41</v>
      </c>
      <c r="C107" s="5">
        <v>3.3</v>
      </c>
      <c r="D107" s="4">
        <v>21</v>
      </c>
      <c r="E107" s="5">
        <v>2.61</v>
      </c>
      <c r="F107" s="4">
        <v>20</v>
      </c>
      <c r="G107" s="5">
        <v>4.67</v>
      </c>
      <c r="H107" s="4">
        <v>0</v>
      </c>
    </row>
    <row r="108" spans="1:8" x14ac:dyDescent="0.2">
      <c r="A108" s="2" t="s">
        <v>53</v>
      </c>
      <c r="B108" s="4">
        <v>47</v>
      </c>
      <c r="C108" s="5">
        <v>3.78</v>
      </c>
      <c r="D108" s="4">
        <v>31</v>
      </c>
      <c r="E108" s="5">
        <v>3.85</v>
      </c>
      <c r="F108" s="4">
        <v>15</v>
      </c>
      <c r="G108" s="5">
        <v>3.5</v>
      </c>
      <c r="H108" s="4">
        <v>0</v>
      </c>
    </row>
    <row r="109" spans="1:8" x14ac:dyDescent="0.2">
      <c r="A109" s="2" t="s">
        <v>54</v>
      </c>
      <c r="B109" s="4">
        <v>174</v>
      </c>
      <c r="C109" s="5">
        <v>14</v>
      </c>
      <c r="D109" s="4">
        <v>146</v>
      </c>
      <c r="E109" s="5">
        <v>18.14</v>
      </c>
      <c r="F109" s="4">
        <v>26</v>
      </c>
      <c r="G109" s="5">
        <v>6.07</v>
      </c>
      <c r="H109" s="4">
        <v>0</v>
      </c>
    </row>
    <row r="110" spans="1:8" x14ac:dyDescent="0.2">
      <c r="A110" s="2" t="s">
        <v>55</v>
      </c>
      <c r="B110" s="4">
        <v>168</v>
      </c>
      <c r="C110" s="5">
        <v>13.52</v>
      </c>
      <c r="D110" s="4">
        <v>141</v>
      </c>
      <c r="E110" s="5">
        <v>17.52</v>
      </c>
      <c r="F110" s="4">
        <v>25</v>
      </c>
      <c r="G110" s="5">
        <v>5.84</v>
      </c>
      <c r="H110" s="4">
        <v>2</v>
      </c>
    </row>
    <row r="111" spans="1:8" x14ac:dyDescent="0.2">
      <c r="A111" s="2" t="s">
        <v>56</v>
      </c>
      <c r="B111" s="4">
        <v>42</v>
      </c>
      <c r="C111" s="5">
        <v>3.38</v>
      </c>
      <c r="D111" s="4">
        <v>37</v>
      </c>
      <c r="E111" s="5">
        <v>4.5999999999999996</v>
      </c>
      <c r="F111" s="4">
        <v>4</v>
      </c>
      <c r="G111" s="5">
        <v>0.93</v>
      </c>
      <c r="H111" s="4">
        <v>1</v>
      </c>
    </row>
    <row r="112" spans="1:8" x14ac:dyDescent="0.2">
      <c r="A112" s="2" t="s">
        <v>57</v>
      </c>
      <c r="B112" s="4">
        <v>51</v>
      </c>
      <c r="C112" s="5">
        <v>4.0999999999999996</v>
      </c>
      <c r="D112" s="4">
        <v>37</v>
      </c>
      <c r="E112" s="5">
        <v>4.5999999999999996</v>
      </c>
      <c r="F112" s="4">
        <v>14</v>
      </c>
      <c r="G112" s="5">
        <v>3.27</v>
      </c>
      <c r="H112" s="4">
        <v>0</v>
      </c>
    </row>
    <row r="113" spans="1:8" x14ac:dyDescent="0.2">
      <c r="A113" s="2" t="s">
        <v>58</v>
      </c>
      <c r="B113" s="4">
        <v>61</v>
      </c>
      <c r="C113" s="5">
        <v>4.91</v>
      </c>
      <c r="D113" s="4">
        <v>41</v>
      </c>
      <c r="E113" s="5">
        <v>5.09</v>
      </c>
      <c r="F113" s="4">
        <v>17</v>
      </c>
      <c r="G113" s="5">
        <v>3.97</v>
      </c>
      <c r="H113" s="4">
        <v>2</v>
      </c>
    </row>
    <row r="114" spans="1:8" x14ac:dyDescent="0.2">
      <c r="A114" s="1" t="s">
        <v>7</v>
      </c>
      <c r="B114" s="4">
        <v>522</v>
      </c>
      <c r="C114" s="5">
        <v>99.98</v>
      </c>
      <c r="D114" s="4">
        <v>332</v>
      </c>
      <c r="E114" s="5">
        <v>99.99</v>
      </c>
      <c r="F114" s="4">
        <v>184</v>
      </c>
      <c r="G114" s="5">
        <v>100.01</v>
      </c>
      <c r="H114" s="4">
        <v>2</v>
      </c>
    </row>
    <row r="115" spans="1:8" x14ac:dyDescent="0.2">
      <c r="A115" s="2" t="s">
        <v>44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45</v>
      </c>
      <c r="B116" s="4">
        <v>49</v>
      </c>
      <c r="C116" s="5">
        <v>9.39</v>
      </c>
      <c r="D116" s="4">
        <v>15</v>
      </c>
      <c r="E116" s="5">
        <v>4.5199999999999996</v>
      </c>
      <c r="F116" s="4">
        <v>34</v>
      </c>
      <c r="G116" s="5">
        <v>18.48</v>
      </c>
      <c r="H116" s="4">
        <v>0</v>
      </c>
    </row>
    <row r="117" spans="1:8" x14ac:dyDescent="0.2">
      <c r="A117" s="2" t="s">
        <v>46</v>
      </c>
      <c r="B117" s="4">
        <v>40</v>
      </c>
      <c r="C117" s="5">
        <v>7.66</v>
      </c>
      <c r="D117" s="4">
        <v>24</v>
      </c>
      <c r="E117" s="5">
        <v>7.23</v>
      </c>
      <c r="F117" s="4">
        <v>16</v>
      </c>
      <c r="G117" s="5">
        <v>8.6999999999999993</v>
      </c>
      <c r="H117" s="4">
        <v>0</v>
      </c>
    </row>
    <row r="118" spans="1:8" x14ac:dyDescent="0.2">
      <c r="A118" s="2" t="s">
        <v>47</v>
      </c>
      <c r="B118" s="4">
        <v>2</v>
      </c>
      <c r="C118" s="5">
        <v>0.38</v>
      </c>
      <c r="D118" s="4">
        <v>0</v>
      </c>
      <c r="E118" s="5">
        <v>0</v>
      </c>
      <c r="F118" s="4">
        <v>1</v>
      </c>
      <c r="G118" s="5">
        <v>0.54</v>
      </c>
      <c r="H118" s="4">
        <v>0</v>
      </c>
    </row>
    <row r="119" spans="1:8" x14ac:dyDescent="0.2">
      <c r="A119" s="2" t="s">
        <v>48</v>
      </c>
      <c r="B119" s="4">
        <v>2</v>
      </c>
      <c r="C119" s="5">
        <v>0.38</v>
      </c>
      <c r="D119" s="4">
        <v>0</v>
      </c>
      <c r="E119" s="5">
        <v>0</v>
      </c>
      <c r="F119" s="4">
        <v>1</v>
      </c>
      <c r="G119" s="5">
        <v>0.54</v>
      </c>
      <c r="H119" s="4">
        <v>1</v>
      </c>
    </row>
    <row r="120" spans="1:8" x14ac:dyDescent="0.2">
      <c r="A120" s="2" t="s">
        <v>49</v>
      </c>
      <c r="B120" s="4">
        <v>3</v>
      </c>
      <c r="C120" s="5">
        <v>0.56999999999999995</v>
      </c>
      <c r="D120" s="4">
        <v>1</v>
      </c>
      <c r="E120" s="5">
        <v>0.3</v>
      </c>
      <c r="F120" s="4">
        <v>2</v>
      </c>
      <c r="G120" s="5">
        <v>1.0900000000000001</v>
      </c>
      <c r="H120" s="4">
        <v>0</v>
      </c>
    </row>
    <row r="121" spans="1:8" x14ac:dyDescent="0.2">
      <c r="A121" s="2" t="s">
        <v>50</v>
      </c>
      <c r="B121" s="4">
        <v>160</v>
      </c>
      <c r="C121" s="5">
        <v>30.65</v>
      </c>
      <c r="D121" s="4">
        <v>94</v>
      </c>
      <c r="E121" s="5">
        <v>28.31</v>
      </c>
      <c r="F121" s="4">
        <v>66</v>
      </c>
      <c r="G121" s="5">
        <v>35.869999999999997</v>
      </c>
      <c r="H121" s="4">
        <v>0</v>
      </c>
    </row>
    <row r="122" spans="1:8" x14ac:dyDescent="0.2">
      <c r="A122" s="2" t="s">
        <v>51</v>
      </c>
      <c r="B122" s="4">
        <v>3</v>
      </c>
      <c r="C122" s="5">
        <v>0.56999999999999995</v>
      </c>
      <c r="D122" s="4">
        <v>1</v>
      </c>
      <c r="E122" s="5">
        <v>0.3</v>
      </c>
      <c r="F122" s="4">
        <v>2</v>
      </c>
      <c r="G122" s="5">
        <v>1.0900000000000001</v>
      </c>
      <c r="H122" s="4">
        <v>0</v>
      </c>
    </row>
    <row r="123" spans="1:8" x14ac:dyDescent="0.2">
      <c r="A123" s="2" t="s">
        <v>52</v>
      </c>
      <c r="B123" s="4">
        <v>22</v>
      </c>
      <c r="C123" s="5">
        <v>4.21</v>
      </c>
      <c r="D123" s="4">
        <v>10</v>
      </c>
      <c r="E123" s="5">
        <v>3.01</v>
      </c>
      <c r="F123" s="4">
        <v>12</v>
      </c>
      <c r="G123" s="5">
        <v>6.52</v>
      </c>
      <c r="H123" s="4">
        <v>0</v>
      </c>
    </row>
    <row r="124" spans="1:8" x14ac:dyDescent="0.2">
      <c r="A124" s="2" t="s">
        <v>53</v>
      </c>
      <c r="B124" s="4">
        <v>25</v>
      </c>
      <c r="C124" s="5">
        <v>4.79</v>
      </c>
      <c r="D124" s="4">
        <v>12</v>
      </c>
      <c r="E124" s="5">
        <v>3.61</v>
      </c>
      <c r="F124" s="4">
        <v>13</v>
      </c>
      <c r="G124" s="5">
        <v>7.07</v>
      </c>
      <c r="H124" s="4">
        <v>0</v>
      </c>
    </row>
    <row r="125" spans="1:8" x14ac:dyDescent="0.2">
      <c r="A125" s="2" t="s">
        <v>54</v>
      </c>
      <c r="B125" s="4">
        <v>91</v>
      </c>
      <c r="C125" s="5">
        <v>17.43</v>
      </c>
      <c r="D125" s="4">
        <v>81</v>
      </c>
      <c r="E125" s="5">
        <v>24.4</v>
      </c>
      <c r="F125" s="4">
        <v>10</v>
      </c>
      <c r="G125" s="5">
        <v>5.43</v>
      </c>
      <c r="H125" s="4">
        <v>0</v>
      </c>
    </row>
    <row r="126" spans="1:8" x14ac:dyDescent="0.2">
      <c r="A126" s="2" t="s">
        <v>55</v>
      </c>
      <c r="B126" s="4">
        <v>67</v>
      </c>
      <c r="C126" s="5">
        <v>12.84</v>
      </c>
      <c r="D126" s="4">
        <v>62</v>
      </c>
      <c r="E126" s="5">
        <v>18.670000000000002</v>
      </c>
      <c r="F126" s="4">
        <v>5</v>
      </c>
      <c r="G126" s="5">
        <v>2.72</v>
      </c>
      <c r="H126" s="4">
        <v>0</v>
      </c>
    </row>
    <row r="127" spans="1:8" x14ac:dyDescent="0.2">
      <c r="A127" s="2" t="s">
        <v>56</v>
      </c>
      <c r="B127" s="4">
        <v>9</v>
      </c>
      <c r="C127" s="5">
        <v>1.72</v>
      </c>
      <c r="D127" s="4">
        <v>6</v>
      </c>
      <c r="E127" s="5">
        <v>1.81</v>
      </c>
      <c r="F127" s="4">
        <v>3</v>
      </c>
      <c r="G127" s="5">
        <v>1.63</v>
      </c>
      <c r="H127" s="4">
        <v>0</v>
      </c>
    </row>
    <row r="128" spans="1:8" x14ac:dyDescent="0.2">
      <c r="A128" s="2" t="s">
        <v>57</v>
      </c>
      <c r="B128" s="4">
        <v>26</v>
      </c>
      <c r="C128" s="5">
        <v>4.9800000000000004</v>
      </c>
      <c r="D128" s="4">
        <v>12</v>
      </c>
      <c r="E128" s="5">
        <v>3.61</v>
      </c>
      <c r="F128" s="4">
        <v>13</v>
      </c>
      <c r="G128" s="5">
        <v>7.07</v>
      </c>
      <c r="H128" s="4">
        <v>0</v>
      </c>
    </row>
    <row r="129" spans="1:8" x14ac:dyDescent="0.2">
      <c r="A129" s="2" t="s">
        <v>58</v>
      </c>
      <c r="B129" s="4">
        <v>23</v>
      </c>
      <c r="C129" s="5">
        <v>4.41</v>
      </c>
      <c r="D129" s="4">
        <v>14</v>
      </c>
      <c r="E129" s="5">
        <v>4.22</v>
      </c>
      <c r="F129" s="4">
        <v>6</v>
      </c>
      <c r="G129" s="5">
        <v>3.26</v>
      </c>
      <c r="H129" s="4">
        <v>1</v>
      </c>
    </row>
    <row r="130" spans="1:8" x14ac:dyDescent="0.2">
      <c r="A130" s="1" t="s">
        <v>8</v>
      </c>
      <c r="B130" s="4">
        <v>383</v>
      </c>
      <c r="C130" s="5">
        <v>99.99</v>
      </c>
      <c r="D130" s="4">
        <v>221</v>
      </c>
      <c r="E130" s="5">
        <v>99.989999999999981</v>
      </c>
      <c r="F130" s="4">
        <v>146</v>
      </c>
      <c r="G130" s="5">
        <v>99.960000000000008</v>
      </c>
      <c r="H130" s="4">
        <v>1</v>
      </c>
    </row>
    <row r="131" spans="1:8" x14ac:dyDescent="0.2">
      <c r="A131" s="2" t="s">
        <v>44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45</v>
      </c>
      <c r="B132" s="4">
        <v>42</v>
      </c>
      <c r="C132" s="5">
        <v>10.97</v>
      </c>
      <c r="D132" s="4">
        <v>13</v>
      </c>
      <c r="E132" s="5">
        <v>5.88</v>
      </c>
      <c r="F132" s="4">
        <v>29</v>
      </c>
      <c r="G132" s="5">
        <v>19.86</v>
      </c>
      <c r="H132" s="4">
        <v>0</v>
      </c>
    </row>
    <row r="133" spans="1:8" x14ac:dyDescent="0.2">
      <c r="A133" s="2" t="s">
        <v>46</v>
      </c>
      <c r="B133" s="4">
        <v>40</v>
      </c>
      <c r="C133" s="5">
        <v>10.44</v>
      </c>
      <c r="D133" s="4">
        <v>16</v>
      </c>
      <c r="E133" s="5">
        <v>7.24</v>
      </c>
      <c r="F133" s="4">
        <v>23</v>
      </c>
      <c r="G133" s="5">
        <v>15.75</v>
      </c>
      <c r="H133" s="4">
        <v>0</v>
      </c>
    </row>
    <row r="134" spans="1:8" x14ac:dyDescent="0.2">
      <c r="A134" s="2" t="s">
        <v>47</v>
      </c>
      <c r="B134" s="4">
        <v>1</v>
      </c>
      <c r="C134" s="5">
        <v>0.26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48</v>
      </c>
      <c r="B135" s="4">
        <v>3</v>
      </c>
      <c r="C135" s="5">
        <v>0.78</v>
      </c>
      <c r="D135" s="4">
        <v>0</v>
      </c>
      <c r="E135" s="5">
        <v>0</v>
      </c>
      <c r="F135" s="4">
        <v>3</v>
      </c>
      <c r="G135" s="5">
        <v>2.0499999999999998</v>
      </c>
      <c r="H135" s="4">
        <v>0</v>
      </c>
    </row>
    <row r="136" spans="1:8" x14ac:dyDescent="0.2">
      <c r="A136" s="2" t="s">
        <v>49</v>
      </c>
      <c r="B136" s="4">
        <v>4</v>
      </c>
      <c r="C136" s="5">
        <v>1.04</v>
      </c>
      <c r="D136" s="4">
        <v>1</v>
      </c>
      <c r="E136" s="5">
        <v>0.45</v>
      </c>
      <c r="F136" s="4">
        <v>3</v>
      </c>
      <c r="G136" s="5">
        <v>2.0499999999999998</v>
      </c>
      <c r="H136" s="4">
        <v>0</v>
      </c>
    </row>
    <row r="137" spans="1:8" x14ac:dyDescent="0.2">
      <c r="A137" s="2" t="s">
        <v>50</v>
      </c>
      <c r="B137" s="4">
        <v>132</v>
      </c>
      <c r="C137" s="5">
        <v>34.46</v>
      </c>
      <c r="D137" s="4">
        <v>82</v>
      </c>
      <c r="E137" s="5">
        <v>37.1</v>
      </c>
      <c r="F137" s="4">
        <v>50</v>
      </c>
      <c r="G137" s="5">
        <v>34.25</v>
      </c>
      <c r="H137" s="4">
        <v>0</v>
      </c>
    </row>
    <row r="138" spans="1:8" x14ac:dyDescent="0.2">
      <c r="A138" s="2" t="s">
        <v>51</v>
      </c>
      <c r="B138" s="4">
        <v>6</v>
      </c>
      <c r="C138" s="5">
        <v>1.57</v>
      </c>
      <c r="D138" s="4">
        <v>3</v>
      </c>
      <c r="E138" s="5">
        <v>1.36</v>
      </c>
      <c r="F138" s="4">
        <v>3</v>
      </c>
      <c r="G138" s="5">
        <v>2.0499999999999998</v>
      </c>
      <c r="H138" s="4">
        <v>0</v>
      </c>
    </row>
    <row r="139" spans="1:8" x14ac:dyDescent="0.2">
      <c r="A139" s="2" t="s">
        <v>52</v>
      </c>
      <c r="B139" s="4">
        <v>7</v>
      </c>
      <c r="C139" s="5">
        <v>1.83</v>
      </c>
      <c r="D139" s="4">
        <v>2</v>
      </c>
      <c r="E139" s="5">
        <v>0.9</v>
      </c>
      <c r="F139" s="4">
        <v>5</v>
      </c>
      <c r="G139" s="5">
        <v>3.42</v>
      </c>
      <c r="H139" s="4">
        <v>0</v>
      </c>
    </row>
    <row r="140" spans="1:8" x14ac:dyDescent="0.2">
      <c r="A140" s="2" t="s">
        <v>53</v>
      </c>
      <c r="B140" s="4">
        <v>4</v>
      </c>
      <c r="C140" s="5">
        <v>1.04</v>
      </c>
      <c r="D140" s="4">
        <v>3</v>
      </c>
      <c r="E140" s="5">
        <v>1.36</v>
      </c>
      <c r="F140" s="4">
        <v>1</v>
      </c>
      <c r="G140" s="5">
        <v>0.68</v>
      </c>
      <c r="H140" s="4">
        <v>0</v>
      </c>
    </row>
    <row r="141" spans="1:8" x14ac:dyDescent="0.2">
      <c r="A141" s="2" t="s">
        <v>54</v>
      </c>
      <c r="B141" s="4">
        <v>42</v>
      </c>
      <c r="C141" s="5">
        <v>10.97</v>
      </c>
      <c r="D141" s="4">
        <v>31</v>
      </c>
      <c r="E141" s="5">
        <v>14.03</v>
      </c>
      <c r="F141" s="4">
        <v>11</v>
      </c>
      <c r="G141" s="5">
        <v>7.53</v>
      </c>
      <c r="H141" s="4">
        <v>0</v>
      </c>
    </row>
    <row r="142" spans="1:8" x14ac:dyDescent="0.2">
      <c r="A142" s="2" t="s">
        <v>55</v>
      </c>
      <c r="B142" s="4">
        <v>50</v>
      </c>
      <c r="C142" s="5">
        <v>13.05</v>
      </c>
      <c r="D142" s="4">
        <v>42</v>
      </c>
      <c r="E142" s="5">
        <v>19</v>
      </c>
      <c r="F142" s="4">
        <v>7</v>
      </c>
      <c r="G142" s="5">
        <v>4.79</v>
      </c>
      <c r="H142" s="4">
        <v>0</v>
      </c>
    </row>
    <row r="143" spans="1:8" x14ac:dyDescent="0.2">
      <c r="A143" s="2" t="s">
        <v>56</v>
      </c>
      <c r="B143" s="4">
        <v>17</v>
      </c>
      <c r="C143" s="5">
        <v>4.4400000000000004</v>
      </c>
      <c r="D143" s="4">
        <v>7</v>
      </c>
      <c r="E143" s="5">
        <v>3.17</v>
      </c>
      <c r="F143" s="4">
        <v>0</v>
      </c>
      <c r="G143" s="5">
        <v>0</v>
      </c>
      <c r="H143" s="4">
        <v>0</v>
      </c>
    </row>
    <row r="144" spans="1:8" x14ac:dyDescent="0.2">
      <c r="A144" s="2" t="s">
        <v>57</v>
      </c>
      <c r="B144" s="4">
        <v>21</v>
      </c>
      <c r="C144" s="5">
        <v>5.48</v>
      </c>
      <c r="D144" s="4">
        <v>12</v>
      </c>
      <c r="E144" s="5">
        <v>5.43</v>
      </c>
      <c r="F144" s="4">
        <v>9</v>
      </c>
      <c r="G144" s="5">
        <v>6.16</v>
      </c>
      <c r="H144" s="4">
        <v>0</v>
      </c>
    </row>
    <row r="145" spans="1:8" x14ac:dyDescent="0.2">
      <c r="A145" s="2" t="s">
        <v>58</v>
      </c>
      <c r="B145" s="4">
        <v>14</v>
      </c>
      <c r="C145" s="5">
        <v>3.66</v>
      </c>
      <c r="D145" s="4">
        <v>9</v>
      </c>
      <c r="E145" s="5">
        <v>4.07</v>
      </c>
      <c r="F145" s="4">
        <v>2</v>
      </c>
      <c r="G145" s="5">
        <v>1.37</v>
      </c>
      <c r="H145" s="4">
        <v>1</v>
      </c>
    </row>
    <row r="146" spans="1:8" x14ac:dyDescent="0.2">
      <c r="A146" s="1" t="s">
        <v>9</v>
      </c>
      <c r="B146" s="4">
        <v>2117</v>
      </c>
      <c r="C146" s="5">
        <v>99.99</v>
      </c>
      <c r="D146" s="4">
        <v>1136</v>
      </c>
      <c r="E146" s="5">
        <v>100.00999999999999</v>
      </c>
      <c r="F146" s="4">
        <v>950</v>
      </c>
      <c r="G146" s="5">
        <v>100.02000000000001</v>
      </c>
      <c r="H146" s="4">
        <v>6</v>
      </c>
    </row>
    <row r="147" spans="1:8" x14ac:dyDescent="0.2">
      <c r="A147" s="2" t="s">
        <v>44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45</v>
      </c>
      <c r="B148" s="4">
        <v>285</v>
      </c>
      <c r="C148" s="5">
        <v>13.46</v>
      </c>
      <c r="D148" s="4">
        <v>72</v>
      </c>
      <c r="E148" s="5">
        <v>6.34</v>
      </c>
      <c r="F148" s="4">
        <v>213</v>
      </c>
      <c r="G148" s="5">
        <v>22.42</v>
      </c>
      <c r="H148" s="4">
        <v>0</v>
      </c>
    </row>
    <row r="149" spans="1:8" x14ac:dyDescent="0.2">
      <c r="A149" s="2" t="s">
        <v>46</v>
      </c>
      <c r="B149" s="4">
        <v>140</v>
      </c>
      <c r="C149" s="5">
        <v>6.61</v>
      </c>
      <c r="D149" s="4">
        <v>38</v>
      </c>
      <c r="E149" s="5">
        <v>3.35</v>
      </c>
      <c r="F149" s="4">
        <v>102</v>
      </c>
      <c r="G149" s="5">
        <v>10.74</v>
      </c>
      <c r="H149" s="4">
        <v>0</v>
      </c>
    </row>
    <row r="150" spans="1:8" x14ac:dyDescent="0.2">
      <c r="A150" s="2" t="s">
        <v>47</v>
      </c>
      <c r="B150" s="4">
        <v>13</v>
      </c>
      <c r="C150" s="5">
        <v>0.61</v>
      </c>
      <c r="D150" s="4">
        <v>0</v>
      </c>
      <c r="E150" s="5">
        <v>0</v>
      </c>
      <c r="F150" s="4">
        <v>13</v>
      </c>
      <c r="G150" s="5">
        <v>1.37</v>
      </c>
      <c r="H150" s="4">
        <v>0</v>
      </c>
    </row>
    <row r="151" spans="1:8" x14ac:dyDescent="0.2">
      <c r="A151" s="2" t="s">
        <v>48</v>
      </c>
      <c r="B151" s="4">
        <v>9</v>
      </c>
      <c r="C151" s="5">
        <v>0.43</v>
      </c>
      <c r="D151" s="4">
        <v>0</v>
      </c>
      <c r="E151" s="5">
        <v>0</v>
      </c>
      <c r="F151" s="4">
        <v>9</v>
      </c>
      <c r="G151" s="5">
        <v>0.95</v>
      </c>
      <c r="H151" s="4">
        <v>0</v>
      </c>
    </row>
    <row r="152" spans="1:8" x14ac:dyDescent="0.2">
      <c r="A152" s="2" t="s">
        <v>49</v>
      </c>
      <c r="B152" s="4">
        <v>31</v>
      </c>
      <c r="C152" s="5">
        <v>1.46</v>
      </c>
      <c r="D152" s="4">
        <v>6</v>
      </c>
      <c r="E152" s="5">
        <v>0.53</v>
      </c>
      <c r="F152" s="4">
        <v>25</v>
      </c>
      <c r="G152" s="5">
        <v>2.63</v>
      </c>
      <c r="H152" s="4">
        <v>0</v>
      </c>
    </row>
    <row r="153" spans="1:8" x14ac:dyDescent="0.2">
      <c r="A153" s="2" t="s">
        <v>50</v>
      </c>
      <c r="B153" s="4">
        <v>588</v>
      </c>
      <c r="C153" s="5">
        <v>27.78</v>
      </c>
      <c r="D153" s="4">
        <v>285</v>
      </c>
      <c r="E153" s="5">
        <v>25.09</v>
      </c>
      <c r="F153" s="4">
        <v>301</v>
      </c>
      <c r="G153" s="5">
        <v>31.68</v>
      </c>
      <c r="H153" s="4">
        <v>2</v>
      </c>
    </row>
    <row r="154" spans="1:8" x14ac:dyDescent="0.2">
      <c r="A154" s="2" t="s">
        <v>51</v>
      </c>
      <c r="B154" s="4">
        <v>15</v>
      </c>
      <c r="C154" s="5">
        <v>0.71</v>
      </c>
      <c r="D154" s="4">
        <v>3</v>
      </c>
      <c r="E154" s="5">
        <v>0.26</v>
      </c>
      <c r="F154" s="4">
        <v>12</v>
      </c>
      <c r="G154" s="5">
        <v>1.26</v>
      </c>
      <c r="H154" s="4">
        <v>0</v>
      </c>
    </row>
    <row r="155" spans="1:8" x14ac:dyDescent="0.2">
      <c r="A155" s="2" t="s">
        <v>52</v>
      </c>
      <c r="B155" s="4">
        <v>94</v>
      </c>
      <c r="C155" s="5">
        <v>4.4400000000000004</v>
      </c>
      <c r="D155" s="4">
        <v>30</v>
      </c>
      <c r="E155" s="5">
        <v>2.64</v>
      </c>
      <c r="F155" s="4">
        <v>64</v>
      </c>
      <c r="G155" s="5">
        <v>6.74</v>
      </c>
      <c r="H155" s="4">
        <v>0</v>
      </c>
    </row>
    <row r="156" spans="1:8" x14ac:dyDescent="0.2">
      <c r="A156" s="2" t="s">
        <v>53</v>
      </c>
      <c r="B156" s="4">
        <v>82</v>
      </c>
      <c r="C156" s="5">
        <v>3.87</v>
      </c>
      <c r="D156" s="4">
        <v>51</v>
      </c>
      <c r="E156" s="5">
        <v>4.49</v>
      </c>
      <c r="F156" s="4">
        <v>30</v>
      </c>
      <c r="G156" s="5">
        <v>3.16</v>
      </c>
      <c r="H156" s="4">
        <v>0</v>
      </c>
    </row>
    <row r="157" spans="1:8" x14ac:dyDescent="0.2">
      <c r="A157" s="2" t="s">
        <v>54</v>
      </c>
      <c r="B157" s="4">
        <v>322</v>
      </c>
      <c r="C157" s="5">
        <v>15.21</v>
      </c>
      <c r="D157" s="4">
        <v>264</v>
      </c>
      <c r="E157" s="5">
        <v>23.24</v>
      </c>
      <c r="F157" s="4">
        <v>49</v>
      </c>
      <c r="G157" s="5">
        <v>5.16</v>
      </c>
      <c r="H157" s="4">
        <v>1</v>
      </c>
    </row>
    <row r="158" spans="1:8" x14ac:dyDescent="0.2">
      <c r="A158" s="2" t="s">
        <v>55</v>
      </c>
      <c r="B158" s="4">
        <v>292</v>
      </c>
      <c r="C158" s="5">
        <v>13.79</v>
      </c>
      <c r="D158" s="4">
        <v>251</v>
      </c>
      <c r="E158" s="5">
        <v>22.1</v>
      </c>
      <c r="F158" s="4">
        <v>41</v>
      </c>
      <c r="G158" s="5">
        <v>4.32</v>
      </c>
      <c r="H158" s="4">
        <v>0</v>
      </c>
    </row>
    <row r="159" spans="1:8" x14ac:dyDescent="0.2">
      <c r="A159" s="2" t="s">
        <v>56</v>
      </c>
      <c r="B159" s="4">
        <v>61</v>
      </c>
      <c r="C159" s="5">
        <v>2.88</v>
      </c>
      <c r="D159" s="4">
        <v>45</v>
      </c>
      <c r="E159" s="5">
        <v>3.96</v>
      </c>
      <c r="F159" s="4">
        <v>9</v>
      </c>
      <c r="G159" s="5">
        <v>0.95</v>
      </c>
      <c r="H159" s="4">
        <v>0</v>
      </c>
    </row>
    <row r="160" spans="1:8" x14ac:dyDescent="0.2">
      <c r="A160" s="2" t="s">
        <v>57</v>
      </c>
      <c r="B160" s="4">
        <v>94</v>
      </c>
      <c r="C160" s="5">
        <v>4.4400000000000004</v>
      </c>
      <c r="D160" s="4">
        <v>52</v>
      </c>
      <c r="E160" s="5">
        <v>4.58</v>
      </c>
      <c r="F160" s="4">
        <v>39</v>
      </c>
      <c r="G160" s="5">
        <v>4.1100000000000003</v>
      </c>
      <c r="H160" s="4">
        <v>1</v>
      </c>
    </row>
    <row r="161" spans="1:8" x14ac:dyDescent="0.2">
      <c r="A161" s="2" t="s">
        <v>58</v>
      </c>
      <c r="B161" s="4">
        <v>91</v>
      </c>
      <c r="C161" s="5">
        <v>4.3</v>
      </c>
      <c r="D161" s="4">
        <v>39</v>
      </c>
      <c r="E161" s="5">
        <v>3.43</v>
      </c>
      <c r="F161" s="4">
        <v>43</v>
      </c>
      <c r="G161" s="5">
        <v>4.53</v>
      </c>
      <c r="H161" s="4">
        <v>2</v>
      </c>
    </row>
    <row r="162" spans="1:8" x14ac:dyDescent="0.2">
      <c r="A162" s="1" t="s">
        <v>10</v>
      </c>
      <c r="B162" s="4">
        <v>1115</v>
      </c>
      <c r="C162" s="5">
        <v>100.00999999999999</v>
      </c>
      <c r="D162" s="4">
        <v>655</v>
      </c>
      <c r="E162" s="5">
        <v>99.980000000000018</v>
      </c>
      <c r="F162" s="4">
        <v>420</v>
      </c>
      <c r="G162" s="5">
        <v>99.989999999999981</v>
      </c>
      <c r="H162" s="4">
        <v>3</v>
      </c>
    </row>
    <row r="163" spans="1:8" x14ac:dyDescent="0.2">
      <c r="A163" s="2" t="s">
        <v>44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45</v>
      </c>
      <c r="B164" s="4">
        <v>167</v>
      </c>
      <c r="C164" s="5">
        <v>14.98</v>
      </c>
      <c r="D164" s="4">
        <v>58</v>
      </c>
      <c r="E164" s="5">
        <v>8.85</v>
      </c>
      <c r="F164" s="4">
        <v>109</v>
      </c>
      <c r="G164" s="5">
        <v>25.95</v>
      </c>
      <c r="H164" s="4">
        <v>0</v>
      </c>
    </row>
    <row r="165" spans="1:8" x14ac:dyDescent="0.2">
      <c r="A165" s="2" t="s">
        <v>46</v>
      </c>
      <c r="B165" s="4">
        <v>98</v>
      </c>
      <c r="C165" s="5">
        <v>8.7899999999999991</v>
      </c>
      <c r="D165" s="4">
        <v>42</v>
      </c>
      <c r="E165" s="5">
        <v>6.41</v>
      </c>
      <c r="F165" s="4">
        <v>56</v>
      </c>
      <c r="G165" s="5">
        <v>13.33</v>
      </c>
      <c r="H165" s="4">
        <v>0</v>
      </c>
    </row>
    <row r="166" spans="1:8" x14ac:dyDescent="0.2">
      <c r="A166" s="2" t="s">
        <v>47</v>
      </c>
      <c r="B166" s="4">
        <v>8</v>
      </c>
      <c r="C166" s="5">
        <v>0.72</v>
      </c>
      <c r="D166" s="4">
        <v>0</v>
      </c>
      <c r="E166" s="5">
        <v>0</v>
      </c>
      <c r="F166" s="4">
        <v>5</v>
      </c>
      <c r="G166" s="5">
        <v>1.19</v>
      </c>
      <c r="H166" s="4">
        <v>0</v>
      </c>
    </row>
    <row r="167" spans="1:8" x14ac:dyDescent="0.2">
      <c r="A167" s="2" t="s">
        <v>48</v>
      </c>
      <c r="B167" s="4">
        <v>2</v>
      </c>
      <c r="C167" s="5">
        <v>0.18</v>
      </c>
      <c r="D167" s="4">
        <v>0</v>
      </c>
      <c r="E167" s="5">
        <v>0</v>
      </c>
      <c r="F167" s="4">
        <v>2</v>
      </c>
      <c r="G167" s="5">
        <v>0.48</v>
      </c>
      <c r="H167" s="4">
        <v>0</v>
      </c>
    </row>
    <row r="168" spans="1:8" x14ac:dyDescent="0.2">
      <c r="A168" s="2" t="s">
        <v>49</v>
      </c>
      <c r="B168" s="4">
        <v>9</v>
      </c>
      <c r="C168" s="5">
        <v>0.81</v>
      </c>
      <c r="D168" s="4">
        <v>4</v>
      </c>
      <c r="E168" s="5">
        <v>0.61</v>
      </c>
      <c r="F168" s="4">
        <v>5</v>
      </c>
      <c r="G168" s="5">
        <v>1.19</v>
      </c>
      <c r="H168" s="4">
        <v>0</v>
      </c>
    </row>
    <row r="169" spans="1:8" x14ac:dyDescent="0.2">
      <c r="A169" s="2" t="s">
        <v>50</v>
      </c>
      <c r="B169" s="4">
        <v>294</v>
      </c>
      <c r="C169" s="5">
        <v>26.37</v>
      </c>
      <c r="D169" s="4">
        <v>180</v>
      </c>
      <c r="E169" s="5">
        <v>27.48</v>
      </c>
      <c r="F169" s="4">
        <v>112</v>
      </c>
      <c r="G169" s="5">
        <v>26.67</v>
      </c>
      <c r="H169" s="4">
        <v>2</v>
      </c>
    </row>
    <row r="170" spans="1:8" x14ac:dyDescent="0.2">
      <c r="A170" s="2" t="s">
        <v>51</v>
      </c>
      <c r="B170" s="4">
        <v>3</v>
      </c>
      <c r="C170" s="5">
        <v>0.27</v>
      </c>
      <c r="D170" s="4">
        <v>0</v>
      </c>
      <c r="E170" s="5">
        <v>0</v>
      </c>
      <c r="F170" s="4">
        <v>3</v>
      </c>
      <c r="G170" s="5">
        <v>0.71</v>
      </c>
      <c r="H170" s="4">
        <v>0</v>
      </c>
    </row>
    <row r="171" spans="1:8" x14ac:dyDescent="0.2">
      <c r="A171" s="2" t="s">
        <v>52</v>
      </c>
      <c r="B171" s="4">
        <v>37</v>
      </c>
      <c r="C171" s="5">
        <v>3.32</v>
      </c>
      <c r="D171" s="4">
        <v>14</v>
      </c>
      <c r="E171" s="5">
        <v>2.14</v>
      </c>
      <c r="F171" s="4">
        <v>23</v>
      </c>
      <c r="G171" s="5">
        <v>5.48</v>
      </c>
      <c r="H171" s="4">
        <v>0</v>
      </c>
    </row>
    <row r="172" spans="1:8" x14ac:dyDescent="0.2">
      <c r="A172" s="2" t="s">
        <v>53</v>
      </c>
      <c r="B172" s="4">
        <v>52</v>
      </c>
      <c r="C172" s="5">
        <v>4.66</v>
      </c>
      <c r="D172" s="4">
        <v>28</v>
      </c>
      <c r="E172" s="5">
        <v>4.2699999999999996</v>
      </c>
      <c r="F172" s="4">
        <v>24</v>
      </c>
      <c r="G172" s="5">
        <v>5.71</v>
      </c>
      <c r="H172" s="4">
        <v>0</v>
      </c>
    </row>
    <row r="173" spans="1:8" x14ac:dyDescent="0.2">
      <c r="A173" s="2" t="s">
        <v>54</v>
      </c>
      <c r="B173" s="4">
        <v>123</v>
      </c>
      <c r="C173" s="5">
        <v>11.03</v>
      </c>
      <c r="D173" s="4">
        <v>99</v>
      </c>
      <c r="E173" s="5">
        <v>15.11</v>
      </c>
      <c r="F173" s="4">
        <v>24</v>
      </c>
      <c r="G173" s="5">
        <v>5.71</v>
      </c>
      <c r="H173" s="4">
        <v>0</v>
      </c>
    </row>
    <row r="174" spans="1:8" x14ac:dyDescent="0.2">
      <c r="A174" s="2" t="s">
        <v>55</v>
      </c>
      <c r="B174" s="4">
        <v>156</v>
      </c>
      <c r="C174" s="5">
        <v>13.99</v>
      </c>
      <c r="D174" s="4">
        <v>129</v>
      </c>
      <c r="E174" s="5">
        <v>19.690000000000001</v>
      </c>
      <c r="F174" s="4">
        <v>23</v>
      </c>
      <c r="G174" s="5">
        <v>5.48</v>
      </c>
      <c r="H174" s="4">
        <v>0</v>
      </c>
    </row>
    <row r="175" spans="1:8" x14ac:dyDescent="0.2">
      <c r="A175" s="2" t="s">
        <v>56</v>
      </c>
      <c r="B175" s="4">
        <v>67</v>
      </c>
      <c r="C175" s="5">
        <v>6.01</v>
      </c>
      <c r="D175" s="4">
        <v>41</v>
      </c>
      <c r="E175" s="5">
        <v>6.26</v>
      </c>
      <c r="F175" s="4">
        <v>4</v>
      </c>
      <c r="G175" s="5">
        <v>0.95</v>
      </c>
      <c r="H175" s="4">
        <v>0</v>
      </c>
    </row>
    <row r="176" spans="1:8" x14ac:dyDescent="0.2">
      <c r="A176" s="2" t="s">
        <v>57</v>
      </c>
      <c r="B176" s="4">
        <v>57</v>
      </c>
      <c r="C176" s="5">
        <v>5.1100000000000003</v>
      </c>
      <c r="D176" s="4">
        <v>37</v>
      </c>
      <c r="E176" s="5">
        <v>5.65</v>
      </c>
      <c r="F176" s="4">
        <v>15</v>
      </c>
      <c r="G176" s="5">
        <v>3.57</v>
      </c>
      <c r="H176" s="4">
        <v>0</v>
      </c>
    </row>
    <row r="177" spans="1:8" x14ac:dyDescent="0.2">
      <c r="A177" s="2" t="s">
        <v>58</v>
      </c>
      <c r="B177" s="4">
        <v>42</v>
      </c>
      <c r="C177" s="5">
        <v>3.77</v>
      </c>
      <c r="D177" s="4">
        <v>23</v>
      </c>
      <c r="E177" s="5">
        <v>3.51</v>
      </c>
      <c r="F177" s="4">
        <v>15</v>
      </c>
      <c r="G177" s="5">
        <v>3.57</v>
      </c>
      <c r="H177" s="4">
        <v>1</v>
      </c>
    </row>
    <row r="178" spans="1:8" x14ac:dyDescent="0.2">
      <c r="A178" s="1" t="s">
        <v>11</v>
      </c>
      <c r="B178" s="4">
        <v>801</v>
      </c>
      <c r="C178" s="5">
        <v>100.00000000000001</v>
      </c>
      <c r="D178" s="4">
        <v>505</v>
      </c>
      <c r="E178" s="5">
        <v>99.999999999999986</v>
      </c>
      <c r="F178" s="4">
        <v>283</v>
      </c>
      <c r="G178" s="5">
        <v>100.01</v>
      </c>
      <c r="H178" s="4">
        <v>4</v>
      </c>
    </row>
    <row r="179" spans="1:8" x14ac:dyDescent="0.2">
      <c r="A179" s="2" t="s">
        <v>44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45</v>
      </c>
      <c r="B180" s="4">
        <v>118</v>
      </c>
      <c r="C180" s="5">
        <v>14.73</v>
      </c>
      <c r="D180" s="4">
        <v>46</v>
      </c>
      <c r="E180" s="5">
        <v>9.11</v>
      </c>
      <c r="F180" s="4">
        <v>72</v>
      </c>
      <c r="G180" s="5">
        <v>25.44</v>
      </c>
      <c r="H180" s="4">
        <v>0</v>
      </c>
    </row>
    <row r="181" spans="1:8" x14ac:dyDescent="0.2">
      <c r="A181" s="2" t="s">
        <v>46</v>
      </c>
      <c r="B181" s="4">
        <v>79</v>
      </c>
      <c r="C181" s="5">
        <v>9.86</v>
      </c>
      <c r="D181" s="4">
        <v>54</v>
      </c>
      <c r="E181" s="5">
        <v>10.69</v>
      </c>
      <c r="F181" s="4">
        <v>25</v>
      </c>
      <c r="G181" s="5">
        <v>8.83</v>
      </c>
      <c r="H181" s="4">
        <v>0</v>
      </c>
    </row>
    <row r="182" spans="1:8" x14ac:dyDescent="0.2">
      <c r="A182" s="2" t="s">
        <v>47</v>
      </c>
      <c r="B182" s="4">
        <v>10</v>
      </c>
      <c r="C182" s="5">
        <v>1.25</v>
      </c>
      <c r="D182" s="4">
        <v>0</v>
      </c>
      <c r="E182" s="5">
        <v>0</v>
      </c>
      <c r="F182" s="4">
        <v>10</v>
      </c>
      <c r="G182" s="5">
        <v>3.53</v>
      </c>
      <c r="H182" s="4">
        <v>0</v>
      </c>
    </row>
    <row r="183" spans="1:8" x14ac:dyDescent="0.2">
      <c r="A183" s="2" t="s">
        <v>48</v>
      </c>
      <c r="B183" s="4">
        <v>2</v>
      </c>
      <c r="C183" s="5">
        <v>0.25</v>
      </c>
      <c r="D183" s="4">
        <v>0</v>
      </c>
      <c r="E183" s="5">
        <v>0</v>
      </c>
      <c r="F183" s="4">
        <v>2</v>
      </c>
      <c r="G183" s="5">
        <v>0.71</v>
      </c>
      <c r="H183" s="4">
        <v>0</v>
      </c>
    </row>
    <row r="184" spans="1:8" x14ac:dyDescent="0.2">
      <c r="A184" s="2" t="s">
        <v>49</v>
      </c>
      <c r="B184" s="4">
        <v>4</v>
      </c>
      <c r="C184" s="5">
        <v>0.5</v>
      </c>
      <c r="D184" s="4">
        <v>1</v>
      </c>
      <c r="E184" s="5">
        <v>0.2</v>
      </c>
      <c r="F184" s="4">
        <v>3</v>
      </c>
      <c r="G184" s="5">
        <v>1.06</v>
      </c>
      <c r="H184" s="4">
        <v>0</v>
      </c>
    </row>
    <row r="185" spans="1:8" x14ac:dyDescent="0.2">
      <c r="A185" s="2" t="s">
        <v>50</v>
      </c>
      <c r="B185" s="4">
        <v>237</v>
      </c>
      <c r="C185" s="5">
        <v>29.59</v>
      </c>
      <c r="D185" s="4">
        <v>146</v>
      </c>
      <c r="E185" s="5">
        <v>28.91</v>
      </c>
      <c r="F185" s="4">
        <v>91</v>
      </c>
      <c r="G185" s="5">
        <v>32.159999999999997</v>
      </c>
      <c r="H185" s="4">
        <v>0</v>
      </c>
    </row>
    <row r="186" spans="1:8" x14ac:dyDescent="0.2">
      <c r="A186" s="2" t="s">
        <v>51</v>
      </c>
      <c r="B186" s="4">
        <v>2</v>
      </c>
      <c r="C186" s="5">
        <v>0.25</v>
      </c>
      <c r="D186" s="4">
        <v>0</v>
      </c>
      <c r="E186" s="5">
        <v>0</v>
      </c>
      <c r="F186" s="4">
        <v>2</v>
      </c>
      <c r="G186" s="5">
        <v>0.71</v>
      </c>
      <c r="H186" s="4">
        <v>0</v>
      </c>
    </row>
    <row r="187" spans="1:8" x14ac:dyDescent="0.2">
      <c r="A187" s="2" t="s">
        <v>52</v>
      </c>
      <c r="B187" s="4">
        <v>19</v>
      </c>
      <c r="C187" s="5">
        <v>2.37</v>
      </c>
      <c r="D187" s="4">
        <v>6</v>
      </c>
      <c r="E187" s="5">
        <v>1.19</v>
      </c>
      <c r="F187" s="4">
        <v>11</v>
      </c>
      <c r="G187" s="5">
        <v>3.89</v>
      </c>
      <c r="H187" s="4">
        <v>0</v>
      </c>
    </row>
    <row r="188" spans="1:8" x14ac:dyDescent="0.2">
      <c r="A188" s="2" t="s">
        <v>53</v>
      </c>
      <c r="B188" s="4">
        <v>40</v>
      </c>
      <c r="C188" s="5">
        <v>4.99</v>
      </c>
      <c r="D188" s="4">
        <v>19</v>
      </c>
      <c r="E188" s="5">
        <v>3.76</v>
      </c>
      <c r="F188" s="4">
        <v>20</v>
      </c>
      <c r="G188" s="5">
        <v>7.07</v>
      </c>
      <c r="H188" s="4">
        <v>0</v>
      </c>
    </row>
    <row r="189" spans="1:8" x14ac:dyDescent="0.2">
      <c r="A189" s="2" t="s">
        <v>54</v>
      </c>
      <c r="B189" s="4">
        <v>77</v>
      </c>
      <c r="C189" s="5">
        <v>9.61</v>
      </c>
      <c r="D189" s="4">
        <v>66</v>
      </c>
      <c r="E189" s="5">
        <v>13.07</v>
      </c>
      <c r="F189" s="4">
        <v>11</v>
      </c>
      <c r="G189" s="5">
        <v>3.89</v>
      </c>
      <c r="H189" s="4">
        <v>0</v>
      </c>
    </row>
    <row r="190" spans="1:8" x14ac:dyDescent="0.2">
      <c r="A190" s="2" t="s">
        <v>55</v>
      </c>
      <c r="B190" s="4">
        <v>117</v>
      </c>
      <c r="C190" s="5">
        <v>14.61</v>
      </c>
      <c r="D190" s="4">
        <v>106</v>
      </c>
      <c r="E190" s="5">
        <v>20.99</v>
      </c>
      <c r="F190" s="4">
        <v>10</v>
      </c>
      <c r="G190" s="5">
        <v>3.53</v>
      </c>
      <c r="H190" s="4">
        <v>0</v>
      </c>
    </row>
    <row r="191" spans="1:8" x14ac:dyDescent="0.2">
      <c r="A191" s="2" t="s">
        <v>56</v>
      </c>
      <c r="B191" s="4">
        <v>18</v>
      </c>
      <c r="C191" s="5">
        <v>2.25</v>
      </c>
      <c r="D191" s="4">
        <v>10</v>
      </c>
      <c r="E191" s="5">
        <v>1.98</v>
      </c>
      <c r="F191" s="4">
        <v>5</v>
      </c>
      <c r="G191" s="5">
        <v>1.77</v>
      </c>
      <c r="H191" s="4">
        <v>1</v>
      </c>
    </row>
    <row r="192" spans="1:8" x14ac:dyDescent="0.2">
      <c r="A192" s="2" t="s">
        <v>57</v>
      </c>
      <c r="B192" s="4">
        <v>39</v>
      </c>
      <c r="C192" s="5">
        <v>4.87</v>
      </c>
      <c r="D192" s="4">
        <v>21</v>
      </c>
      <c r="E192" s="5">
        <v>4.16</v>
      </c>
      <c r="F192" s="4">
        <v>12</v>
      </c>
      <c r="G192" s="5">
        <v>4.24</v>
      </c>
      <c r="H192" s="4">
        <v>3</v>
      </c>
    </row>
    <row r="193" spans="1:8" x14ac:dyDescent="0.2">
      <c r="A193" s="2" t="s">
        <v>58</v>
      </c>
      <c r="B193" s="4">
        <v>39</v>
      </c>
      <c r="C193" s="5">
        <v>4.87</v>
      </c>
      <c r="D193" s="4">
        <v>30</v>
      </c>
      <c r="E193" s="5">
        <v>5.94</v>
      </c>
      <c r="F193" s="4">
        <v>9</v>
      </c>
      <c r="G193" s="5">
        <v>3.18</v>
      </c>
      <c r="H193" s="4">
        <v>0</v>
      </c>
    </row>
    <row r="194" spans="1:8" x14ac:dyDescent="0.2">
      <c r="A194" s="1" t="s">
        <v>12</v>
      </c>
      <c r="B194" s="4">
        <v>2509</v>
      </c>
      <c r="C194" s="5">
        <v>100.02000000000001</v>
      </c>
      <c r="D194" s="4">
        <v>1282</v>
      </c>
      <c r="E194" s="5">
        <v>99.99</v>
      </c>
      <c r="F194" s="4">
        <v>1192</v>
      </c>
      <c r="G194" s="5">
        <v>100.01</v>
      </c>
      <c r="H194" s="4">
        <v>5</v>
      </c>
    </row>
    <row r="195" spans="1:8" x14ac:dyDescent="0.2">
      <c r="A195" s="2" t="s">
        <v>44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45</v>
      </c>
      <c r="B196" s="4">
        <v>342</v>
      </c>
      <c r="C196" s="5">
        <v>13.63</v>
      </c>
      <c r="D196" s="4">
        <v>85</v>
      </c>
      <c r="E196" s="5">
        <v>6.63</v>
      </c>
      <c r="F196" s="4">
        <v>257</v>
      </c>
      <c r="G196" s="5">
        <v>21.56</v>
      </c>
      <c r="H196" s="4">
        <v>0</v>
      </c>
    </row>
    <row r="197" spans="1:8" x14ac:dyDescent="0.2">
      <c r="A197" s="2" t="s">
        <v>46</v>
      </c>
      <c r="B197" s="4">
        <v>164</v>
      </c>
      <c r="C197" s="5">
        <v>6.54</v>
      </c>
      <c r="D197" s="4">
        <v>71</v>
      </c>
      <c r="E197" s="5">
        <v>5.54</v>
      </c>
      <c r="F197" s="4">
        <v>92</v>
      </c>
      <c r="G197" s="5">
        <v>7.72</v>
      </c>
      <c r="H197" s="4">
        <v>0</v>
      </c>
    </row>
    <row r="198" spans="1:8" x14ac:dyDescent="0.2">
      <c r="A198" s="2" t="s">
        <v>47</v>
      </c>
      <c r="B198" s="4">
        <v>12</v>
      </c>
      <c r="C198" s="5">
        <v>0.48</v>
      </c>
      <c r="D198" s="4">
        <v>0</v>
      </c>
      <c r="E198" s="5">
        <v>0</v>
      </c>
      <c r="F198" s="4">
        <v>12</v>
      </c>
      <c r="G198" s="5">
        <v>1.01</v>
      </c>
      <c r="H198" s="4">
        <v>0</v>
      </c>
    </row>
    <row r="199" spans="1:8" x14ac:dyDescent="0.2">
      <c r="A199" s="2" t="s">
        <v>48</v>
      </c>
      <c r="B199" s="4">
        <v>7</v>
      </c>
      <c r="C199" s="5">
        <v>0.28000000000000003</v>
      </c>
      <c r="D199" s="4">
        <v>0</v>
      </c>
      <c r="E199" s="5">
        <v>0</v>
      </c>
      <c r="F199" s="4">
        <v>7</v>
      </c>
      <c r="G199" s="5">
        <v>0.59</v>
      </c>
      <c r="H199" s="4">
        <v>0</v>
      </c>
    </row>
    <row r="200" spans="1:8" x14ac:dyDescent="0.2">
      <c r="A200" s="2" t="s">
        <v>49</v>
      </c>
      <c r="B200" s="4">
        <v>23</v>
      </c>
      <c r="C200" s="5">
        <v>0.92</v>
      </c>
      <c r="D200" s="4">
        <v>1</v>
      </c>
      <c r="E200" s="5">
        <v>0.08</v>
      </c>
      <c r="F200" s="4">
        <v>22</v>
      </c>
      <c r="G200" s="5">
        <v>1.85</v>
      </c>
      <c r="H200" s="4">
        <v>0</v>
      </c>
    </row>
    <row r="201" spans="1:8" x14ac:dyDescent="0.2">
      <c r="A201" s="2" t="s">
        <v>50</v>
      </c>
      <c r="B201" s="4">
        <v>675</v>
      </c>
      <c r="C201" s="5">
        <v>26.9</v>
      </c>
      <c r="D201" s="4">
        <v>295</v>
      </c>
      <c r="E201" s="5">
        <v>23.01</v>
      </c>
      <c r="F201" s="4">
        <v>379</v>
      </c>
      <c r="G201" s="5">
        <v>31.8</v>
      </c>
      <c r="H201" s="4">
        <v>1</v>
      </c>
    </row>
    <row r="202" spans="1:8" x14ac:dyDescent="0.2">
      <c r="A202" s="2" t="s">
        <v>51</v>
      </c>
      <c r="B202" s="4">
        <v>14</v>
      </c>
      <c r="C202" s="5">
        <v>0.56000000000000005</v>
      </c>
      <c r="D202" s="4">
        <v>3</v>
      </c>
      <c r="E202" s="5">
        <v>0.23</v>
      </c>
      <c r="F202" s="4">
        <v>11</v>
      </c>
      <c r="G202" s="5">
        <v>0.92</v>
      </c>
      <c r="H202" s="4">
        <v>0</v>
      </c>
    </row>
    <row r="203" spans="1:8" x14ac:dyDescent="0.2">
      <c r="A203" s="2" t="s">
        <v>52</v>
      </c>
      <c r="B203" s="4">
        <v>143</v>
      </c>
      <c r="C203" s="5">
        <v>5.7</v>
      </c>
      <c r="D203" s="4">
        <v>33</v>
      </c>
      <c r="E203" s="5">
        <v>2.57</v>
      </c>
      <c r="F203" s="4">
        <v>109</v>
      </c>
      <c r="G203" s="5">
        <v>9.14</v>
      </c>
      <c r="H203" s="4">
        <v>0</v>
      </c>
    </row>
    <row r="204" spans="1:8" x14ac:dyDescent="0.2">
      <c r="A204" s="2" t="s">
        <v>53</v>
      </c>
      <c r="B204" s="4">
        <v>122</v>
      </c>
      <c r="C204" s="5">
        <v>4.8600000000000003</v>
      </c>
      <c r="D204" s="4">
        <v>62</v>
      </c>
      <c r="E204" s="5">
        <v>4.84</v>
      </c>
      <c r="F204" s="4">
        <v>59</v>
      </c>
      <c r="G204" s="5">
        <v>4.95</v>
      </c>
      <c r="H204" s="4">
        <v>0</v>
      </c>
    </row>
    <row r="205" spans="1:8" x14ac:dyDescent="0.2">
      <c r="A205" s="2" t="s">
        <v>54</v>
      </c>
      <c r="B205" s="4">
        <v>311</v>
      </c>
      <c r="C205" s="5">
        <v>12.4</v>
      </c>
      <c r="D205" s="4">
        <v>234</v>
      </c>
      <c r="E205" s="5">
        <v>18.25</v>
      </c>
      <c r="F205" s="4">
        <v>76</v>
      </c>
      <c r="G205" s="5">
        <v>6.38</v>
      </c>
      <c r="H205" s="4">
        <v>0</v>
      </c>
    </row>
    <row r="206" spans="1:8" x14ac:dyDescent="0.2">
      <c r="A206" s="2" t="s">
        <v>55</v>
      </c>
      <c r="B206" s="4">
        <v>374</v>
      </c>
      <c r="C206" s="5">
        <v>14.91</v>
      </c>
      <c r="D206" s="4">
        <v>305</v>
      </c>
      <c r="E206" s="5">
        <v>23.79</v>
      </c>
      <c r="F206" s="4">
        <v>66</v>
      </c>
      <c r="G206" s="5">
        <v>5.54</v>
      </c>
      <c r="H206" s="4">
        <v>2</v>
      </c>
    </row>
    <row r="207" spans="1:8" x14ac:dyDescent="0.2">
      <c r="A207" s="2" t="s">
        <v>56</v>
      </c>
      <c r="B207" s="4">
        <v>90</v>
      </c>
      <c r="C207" s="5">
        <v>3.59</v>
      </c>
      <c r="D207" s="4">
        <v>57</v>
      </c>
      <c r="E207" s="5">
        <v>4.45</v>
      </c>
      <c r="F207" s="4">
        <v>14</v>
      </c>
      <c r="G207" s="5">
        <v>1.17</v>
      </c>
      <c r="H207" s="4">
        <v>0</v>
      </c>
    </row>
    <row r="208" spans="1:8" x14ac:dyDescent="0.2">
      <c r="A208" s="2" t="s">
        <v>57</v>
      </c>
      <c r="B208" s="4">
        <v>132</v>
      </c>
      <c r="C208" s="5">
        <v>5.26</v>
      </c>
      <c r="D208" s="4">
        <v>83</v>
      </c>
      <c r="E208" s="5">
        <v>6.47</v>
      </c>
      <c r="F208" s="4">
        <v>46</v>
      </c>
      <c r="G208" s="5">
        <v>3.86</v>
      </c>
      <c r="H208" s="4">
        <v>1</v>
      </c>
    </row>
    <row r="209" spans="1:8" x14ac:dyDescent="0.2">
      <c r="A209" s="2" t="s">
        <v>58</v>
      </c>
      <c r="B209" s="4">
        <v>100</v>
      </c>
      <c r="C209" s="5">
        <v>3.99</v>
      </c>
      <c r="D209" s="4">
        <v>53</v>
      </c>
      <c r="E209" s="5">
        <v>4.13</v>
      </c>
      <c r="F209" s="4">
        <v>42</v>
      </c>
      <c r="G209" s="5">
        <v>3.52</v>
      </c>
      <c r="H209" s="4">
        <v>1</v>
      </c>
    </row>
    <row r="210" spans="1:8" x14ac:dyDescent="0.2">
      <c r="A210" s="1" t="s">
        <v>13</v>
      </c>
      <c r="B210" s="4">
        <v>768</v>
      </c>
      <c r="C210" s="5">
        <v>100.00000000000001</v>
      </c>
      <c r="D210" s="4">
        <v>477</v>
      </c>
      <c r="E210" s="5">
        <v>100.00000000000001</v>
      </c>
      <c r="F210" s="4">
        <v>278</v>
      </c>
      <c r="G210" s="5">
        <v>100.03</v>
      </c>
      <c r="H210" s="4">
        <v>7</v>
      </c>
    </row>
    <row r="211" spans="1:8" x14ac:dyDescent="0.2">
      <c r="A211" s="2" t="s">
        <v>44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45</v>
      </c>
      <c r="B212" s="4">
        <v>106</v>
      </c>
      <c r="C212" s="5">
        <v>13.8</v>
      </c>
      <c r="D212" s="4">
        <v>40</v>
      </c>
      <c r="E212" s="5">
        <v>8.39</v>
      </c>
      <c r="F212" s="4">
        <v>66</v>
      </c>
      <c r="G212" s="5">
        <v>23.74</v>
      </c>
      <c r="H212" s="4">
        <v>0</v>
      </c>
    </row>
    <row r="213" spans="1:8" x14ac:dyDescent="0.2">
      <c r="A213" s="2" t="s">
        <v>46</v>
      </c>
      <c r="B213" s="4">
        <v>66</v>
      </c>
      <c r="C213" s="5">
        <v>8.59</v>
      </c>
      <c r="D213" s="4">
        <v>24</v>
      </c>
      <c r="E213" s="5">
        <v>5.03</v>
      </c>
      <c r="F213" s="4">
        <v>42</v>
      </c>
      <c r="G213" s="5">
        <v>15.11</v>
      </c>
      <c r="H213" s="4">
        <v>0</v>
      </c>
    </row>
    <row r="214" spans="1:8" x14ac:dyDescent="0.2">
      <c r="A214" s="2" t="s">
        <v>47</v>
      </c>
      <c r="B214" s="4">
        <v>2</v>
      </c>
      <c r="C214" s="5">
        <v>0.26</v>
      </c>
      <c r="D214" s="4">
        <v>0</v>
      </c>
      <c r="E214" s="5">
        <v>0</v>
      </c>
      <c r="F214" s="4">
        <v>2</v>
      </c>
      <c r="G214" s="5">
        <v>0.72</v>
      </c>
      <c r="H214" s="4">
        <v>0</v>
      </c>
    </row>
    <row r="215" spans="1:8" x14ac:dyDescent="0.2">
      <c r="A215" s="2" t="s">
        <v>48</v>
      </c>
      <c r="B215" s="4">
        <v>3</v>
      </c>
      <c r="C215" s="5">
        <v>0.39</v>
      </c>
      <c r="D215" s="4">
        <v>0</v>
      </c>
      <c r="E215" s="5">
        <v>0</v>
      </c>
      <c r="F215" s="4">
        <v>3</v>
      </c>
      <c r="G215" s="5">
        <v>1.08</v>
      </c>
      <c r="H215" s="4">
        <v>0</v>
      </c>
    </row>
    <row r="216" spans="1:8" x14ac:dyDescent="0.2">
      <c r="A216" s="2" t="s">
        <v>49</v>
      </c>
      <c r="B216" s="4">
        <v>8</v>
      </c>
      <c r="C216" s="5">
        <v>1.04</v>
      </c>
      <c r="D216" s="4">
        <v>4</v>
      </c>
      <c r="E216" s="5">
        <v>0.84</v>
      </c>
      <c r="F216" s="4">
        <v>4</v>
      </c>
      <c r="G216" s="5">
        <v>1.44</v>
      </c>
      <c r="H216" s="4">
        <v>0</v>
      </c>
    </row>
    <row r="217" spans="1:8" x14ac:dyDescent="0.2">
      <c r="A217" s="2" t="s">
        <v>50</v>
      </c>
      <c r="B217" s="4">
        <v>216</v>
      </c>
      <c r="C217" s="5">
        <v>28.13</v>
      </c>
      <c r="D217" s="4">
        <v>130</v>
      </c>
      <c r="E217" s="5">
        <v>27.25</v>
      </c>
      <c r="F217" s="4">
        <v>84</v>
      </c>
      <c r="G217" s="5">
        <v>30.22</v>
      </c>
      <c r="H217" s="4">
        <v>2</v>
      </c>
    </row>
    <row r="218" spans="1:8" x14ac:dyDescent="0.2">
      <c r="A218" s="2" t="s">
        <v>51</v>
      </c>
      <c r="B218" s="4">
        <v>7</v>
      </c>
      <c r="C218" s="5">
        <v>0.91</v>
      </c>
      <c r="D218" s="4">
        <v>4</v>
      </c>
      <c r="E218" s="5">
        <v>0.84</v>
      </c>
      <c r="F218" s="4">
        <v>3</v>
      </c>
      <c r="G218" s="5">
        <v>1.08</v>
      </c>
      <c r="H218" s="4">
        <v>0</v>
      </c>
    </row>
    <row r="219" spans="1:8" x14ac:dyDescent="0.2">
      <c r="A219" s="2" t="s">
        <v>52</v>
      </c>
      <c r="B219" s="4">
        <v>32</v>
      </c>
      <c r="C219" s="5">
        <v>4.17</v>
      </c>
      <c r="D219" s="4">
        <v>18</v>
      </c>
      <c r="E219" s="5">
        <v>3.77</v>
      </c>
      <c r="F219" s="4">
        <v>14</v>
      </c>
      <c r="G219" s="5">
        <v>5.04</v>
      </c>
      <c r="H219" s="4">
        <v>0</v>
      </c>
    </row>
    <row r="220" spans="1:8" x14ac:dyDescent="0.2">
      <c r="A220" s="2" t="s">
        <v>53</v>
      </c>
      <c r="B220" s="4">
        <v>22</v>
      </c>
      <c r="C220" s="5">
        <v>2.86</v>
      </c>
      <c r="D220" s="4">
        <v>16</v>
      </c>
      <c r="E220" s="5">
        <v>3.35</v>
      </c>
      <c r="F220" s="4">
        <v>6</v>
      </c>
      <c r="G220" s="5">
        <v>2.16</v>
      </c>
      <c r="H220" s="4">
        <v>0</v>
      </c>
    </row>
    <row r="221" spans="1:8" x14ac:dyDescent="0.2">
      <c r="A221" s="2" t="s">
        <v>54</v>
      </c>
      <c r="B221" s="4">
        <v>81</v>
      </c>
      <c r="C221" s="5">
        <v>10.55</v>
      </c>
      <c r="D221" s="4">
        <v>68</v>
      </c>
      <c r="E221" s="5">
        <v>14.26</v>
      </c>
      <c r="F221" s="4">
        <v>11</v>
      </c>
      <c r="G221" s="5">
        <v>3.96</v>
      </c>
      <c r="H221" s="4">
        <v>0</v>
      </c>
    </row>
    <row r="222" spans="1:8" x14ac:dyDescent="0.2">
      <c r="A222" s="2" t="s">
        <v>55</v>
      </c>
      <c r="B222" s="4">
        <v>111</v>
      </c>
      <c r="C222" s="5">
        <v>14.45</v>
      </c>
      <c r="D222" s="4">
        <v>97</v>
      </c>
      <c r="E222" s="5">
        <v>20.34</v>
      </c>
      <c r="F222" s="4">
        <v>14</v>
      </c>
      <c r="G222" s="5">
        <v>5.04</v>
      </c>
      <c r="H222" s="4">
        <v>0</v>
      </c>
    </row>
    <row r="223" spans="1:8" x14ac:dyDescent="0.2">
      <c r="A223" s="2" t="s">
        <v>56</v>
      </c>
      <c r="B223" s="4">
        <v>26</v>
      </c>
      <c r="C223" s="5">
        <v>3.39</v>
      </c>
      <c r="D223" s="4">
        <v>21</v>
      </c>
      <c r="E223" s="5">
        <v>4.4000000000000004</v>
      </c>
      <c r="F223" s="4">
        <v>1</v>
      </c>
      <c r="G223" s="5">
        <v>0.36</v>
      </c>
      <c r="H223" s="4">
        <v>1</v>
      </c>
    </row>
    <row r="224" spans="1:8" x14ac:dyDescent="0.2">
      <c r="A224" s="2" t="s">
        <v>57</v>
      </c>
      <c r="B224" s="4">
        <v>41</v>
      </c>
      <c r="C224" s="5">
        <v>5.34</v>
      </c>
      <c r="D224" s="4">
        <v>27</v>
      </c>
      <c r="E224" s="5">
        <v>5.66</v>
      </c>
      <c r="F224" s="4">
        <v>14</v>
      </c>
      <c r="G224" s="5">
        <v>5.04</v>
      </c>
      <c r="H224" s="4">
        <v>0</v>
      </c>
    </row>
    <row r="225" spans="1:8" x14ac:dyDescent="0.2">
      <c r="A225" s="2" t="s">
        <v>58</v>
      </c>
      <c r="B225" s="4">
        <v>47</v>
      </c>
      <c r="C225" s="5">
        <v>6.12</v>
      </c>
      <c r="D225" s="4">
        <v>28</v>
      </c>
      <c r="E225" s="5">
        <v>5.87</v>
      </c>
      <c r="F225" s="4">
        <v>14</v>
      </c>
      <c r="G225" s="5">
        <v>5.04</v>
      </c>
      <c r="H225" s="4">
        <v>4</v>
      </c>
    </row>
    <row r="226" spans="1:8" x14ac:dyDescent="0.2">
      <c r="A226" s="1" t="s">
        <v>14</v>
      </c>
      <c r="B226" s="4">
        <v>831</v>
      </c>
      <c r="C226" s="5">
        <v>99.97999999999999</v>
      </c>
      <c r="D226" s="4">
        <v>473</v>
      </c>
      <c r="E226" s="5">
        <v>100</v>
      </c>
      <c r="F226" s="4">
        <v>327</v>
      </c>
      <c r="G226" s="5">
        <v>99.990000000000023</v>
      </c>
      <c r="H226" s="4">
        <v>2</v>
      </c>
    </row>
    <row r="227" spans="1:8" x14ac:dyDescent="0.2">
      <c r="A227" s="2" t="s">
        <v>44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45</v>
      </c>
      <c r="B228" s="4">
        <v>103</v>
      </c>
      <c r="C228" s="5">
        <v>12.39</v>
      </c>
      <c r="D228" s="4">
        <v>34</v>
      </c>
      <c r="E228" s="5">
        <v>7.19</v>
      </c>
      <c r="F228" s="4">
        <v>69</v>
      </c>
      <c r="G228" s="5">
        <v>21.1</v>
      </c>
      <c r="H228" s="4">
        <v>0</v>
      </c>
    </row>
    <row r="229" spans="1:8" x14ac:dyDescent="0.2">
      <c r="A229" s="2" t="s">
        <v>46</v>
      </c>
      <c r="B229" s="4">
        <v>58</v>
      </c>
      <c r="C229" s="5">
        <v>6.98</v>
      </c>
      <c r="D229" s="4">
        <v>23</v>
      </c>
      <c r="E229" s="5">
        <v>4.8600000000000003</v>
      </c>
      <c r="F229" s="4">
        <v>35</v>
      </c>
      <c r="G229" s="5">
        <v>10.7</v>
      </c>
      <c r="H229" s="4">
        <v>0</v>
      </c>
    </row>
    <row r="230" spans="1:8" x14ac:dyDescent="0.2">
      <c r="A230" s="2" t="s">
        <v>47</v>
      </c>
      <c r="B230" s="4">
        <v>4</v>
      </c>
      <c r="C230" s="5">
        <v>0.48</v>
      </c>
      <c r="D230" s="4">
        <v>0</v>
      </c>
      <c r="E230" s="5">
        <v>0</v>
      </c>
      <c r="F230" s="4">
        <v>4</v>
      </c>
      <c r="G230" s="5">
        <v>1.22</v>
      </c>
      <c r="H230" s="4">
        <v>0</v>
      </c>
    </row>
    <row r="231" spans="1:8" x14ac:dyDescent="0.2">
      <c r="A231" s="2" t="s">
        <v>48</v>
      </c>
      <c r="B231" s="4">
        <v>2</v>
      </c>
      <c r="C231" s="5">
        <v>0.24</v>
      </c>
      <c r="D231" s="4">
        <v>0</v>
      </c>
      <c r="E231" s="5">
        <v>0</v>
      </c>
      <c r="F231" s="4">
        <v>2</v>
      </c>
      <c r="G231" s="5">
        <v>0.61</v>
      </c>
      <c r="H231" s="4">
        <v>0</v>
      </c>
    </row>
    <row r="232" spans="1:8" x14ac:dyDescent="0.2">
      <c r="A232" s="2" t="s">
        <v>49</v>
      </c>
      <c r="B232" s="4">
        <v>12</v>
      </c>
      <c r="C232" s="5">
        <v>1.44</v>
      </c>
      <c r="D232" s="4">
        <v>10</v>
      </c>
      <c r="E232" s="5">
        <v>2.11</v>
      </c>
      <c r="F232" s="4">
        <v>2</v>
      </c>
      <c r="G232" s="5">
        <v>0.61</v>
      </c>
      <c r="H232" s="4">
        <v>0</v>
      </c>
    </row>
    <row r="233" spans="1:8" x14ac:dyDescent="0.2">
      <c r="A233" s="2" t="s">
        <v>50</v>
      </c>
      <c r="B233" s="4">
        <v>244</v>
      </c>
      <c r="C233" s="5">
        <v>29.36</v>
      </c>
      <c r="D233" s="4">
        <v>135</v>
      </c>
      <c r="E233" s="5">
        <v>28.54</v>
      </c>
      <c r="F233" s="4">
        <v>108</v>
      </c>
      <c r="G233" s="5">
        <v>33.03</v>
      </c>
      <c r="H233" s="4">
        <v>1</v>
      </c>
    </row>
    <row r="234" spans="1:8" x14ac:dyDescent="0.2">
      <c r="A234" s="2" t="s">
        <v>51</v>
      </c>
      <c r="B234" s="4">
        <v>7</v>
      </c>
      <c r="C234" s="5">
        <v>0.84</v>
      </c>
      <c r="D234" s="4">
        <v>4</v>
      </c>
      <c r="E234" s="5">
        <v>0.85</v>
      </c>
      <c r="F234" s="4">
        <v>3</v>
      </c>
      <c r="G234" s="5">
        <v>0.92</v>
      </c>
      <c r="H234" s="4">
        <v>0</v>
      </c>
    </row>
    <row r="235" spans="1:8" x14ac:dyDescent="0.2">
      <c r="A235" s="2" t="s">
        <v>52</v>
      </c>
      <c r="B235" s="4">
        <v>21</v>
      </c>
      <c r="C235" s="5">
        <v>2.5299999999999998</v>
      </c>
      <c r="D235" s="4">
        <v>9</v>
      </c>
      <c r="E235" s="5">
        <v>1.9</v>
      </c>
      <c r="F235" s="4">
        <v>12</v>
      </c>
      <c r="G235" s="5">
        <v>3.67</v>
      </c>
      <c r="H235" s="4">
        <v>0</v>
      </c>
    </row>
    <row r="236" spans="1:8" x14ac:dyDescent="0.2">
      <c r="A236" s="2" t="s">
        <v>53</v>
      </c>
      <c r="B236" s="4">
        <v>33</v>
      </c>
      <c r="C236" s="5">
        <v>3.97</v>
      </c>
      <c r="D236" s="4">
        <v>17</v>
      </c>
      <c r="E236" s="5">
        <v>3.59</v>
      </c>
      <c r="F236" s="4">
        <v>15</v>
      </c>
      <c r="G236" s="5">
        <v>4.59</v>
      </c>
      <c r="H236" s="4">
        <v>0</v>
      </c>
    </row>
    <row r="237" spans="1:8" x14ac:dyDescent="0.2">
      <c r="A237" s="2" t="s">
        <v>54</v>
      </c>
      <c r="B237" s="4">
        <v>94</v>
      </c>
      <c r="C237" s="5">
        <v>11.31</v>
      </c>
      <c r="D237" s="4">
        <v>75</v>
      </c>
      <c r="E237" s="5">
        <v>15.86</v>
      </c>
      <c r="F237" s="4">
        <v>19</v>
      </c>
      <c r="G237" s="5">
        <v>5.81</v>
      </c>
      <c r="H237" s="4">
        <v>0</v>
      </c>
    </row>
    <row r="238" spans="1:8" x14ac:dyDescent="0.2">
      <c r="A238" s="2" t="s">
        <v>55</v>
      </c>
      <c r="B238" s="4">
        <v>117</v>
      </c>
      <c r="C238" s="5">
        <v>14.08</v>
      </c>
      <c r="D238" s="4">
        <v>98</v>
      </c>
      <c r="E238" s="5">
        <v>20.72</v>
      </c>
      <c r="F238" s="4">
        <v>18</v>
      </c>
      <c r="G238" s="5">
        <v>5.5</v>
      </c>
      <c r="H238" s="4">
        <v>1</v>
      </c>
    </row>
    <row r="239" spans="1:8" x14ac:dyDescent="0.2">
      <c r="A239" s="2" t="s">
        <v>56</v>
      </c>
      <c r="B239" s="4">
        <v>53</v>
      </c>
      <c r="C239" s="5">
        <v>6.38</v>
      </c>
      <c r="D239" s="4">
        <v>18</v>
      </c>
      <c r="E239" s="5">
        <v>3.81</v>
      </c>
      <c r="F239" s="4">
        <v>8</v>
      </c>
      <c r="G239" s="5">
        <v>2.4500000000000002</v>
      </c>
      <c r="H239" s="4">
        <v>0</v>
      </c>
    </row>
    <row r="240" spans="1:8" x14ac:dyDescent="0.2">
      <c r="A240" s="2" t="s">
        <v>57</v>
      </c>
      <c r="B240" s="4">
        <v>42</v>
      </c>
      <c r="C240" s="5">
        <v>5.05</v>
      </c>
      <c r="D240" s="4">
        <v>26</v>
      </c>
      <c r="E240" s="5">
        <v>5.5</v>
      </c>
      <c r="F240" s="4">
        <v>16</v>
      </c>
      <c r="G240" s="5">
        <v>4.8899999999999997</v>
      </c>
      <c r="H240" s="4">
        <v>0</v>
      </c>
    </row>
    <row r="241" spans="1:8" x14ac:dyDescent="0.2">
      <c r="A241" s="2" t="s">
        <v>58</v>
      </c>
      <c r="B241" s="4">
        <v>41</v>
      </c>
      <c r="C241" s="5">
        <v>4.93</v>
      </c>
      <c r="D241" s="4">
        <v>24</v>
      </c>
      <c r="E241" s="5">
        <v>5.07</v>
      </c>
      <c r="F241" s="4">
        <v>16</v>
      </c>
      <c r="G241" s="5">
        <v>4.8899999999999997</v>
      </c>
      <c r="H241" s="4">
        <v>0</v>
      </c>
    </row>
    <row r="242" spans="1:8" x14ac:dyDescent="0.2">
      <c r="A242" s="1" t="s">
        <v>15</v>
      </c>
      <c r="B242" s="4">
        <v>787</v>
      </c>
      <c r="C242" s="5">
        <v>99.97</v>
      </c>
      <c r="D242" s="4">
        <v>446</v>
      </c>
      <c r="E242" s="5">
        <v>100.00000000000001</v>
      </c>
      <c r="F242" s="4">
        <v>326</v>
      </c>
      <c r="G242" s="5">
        <v>99.999999999999986</v>
      </c>
      <c r="H242" s="4">
        <v>3</v>
      </c>
    </row>
    <row r="243" spans="1:8" x14ac:dyDescent="0.2">
      <c r="A243" s="2" t="s">
        <v>44</v>
      </c>
      <c r="B243" s="4">
        <v>2</v>
      </c>
      <c r="C243" s="5">
        <v>0.25</v>
      </c>
      <c r="D243" s="4">
        <v>0</v>
      </c>
      <c r="E243" s="5">
        <v>0</v>
      </c>
      <c r="F243" s="4">
        <v>2</v>
      </c>
      <c r="G243" s="5">
        <v>0.61</v>
      </c>
      <c r="H243" s="4">
        <v>0</v>
      </c>
    </row>
    <row r="244" spans="1:8" x14ac:dyDescent="0.2">
      <c r="A244" s="2" t="s">
        <v>45</v>
      </c>
      <c r="B244" s="4">
        <v>85</v>
      </c>
      <c r="C244" s="5">
        <v>10.8</v>
      </c>
      <c r="D244" s="4">
        <v>24</v>
      </c>
      <c r="E244" s="5">
        <v>5.38</v>
      </c>
      <c r="F244" s="4">
        <v>61</v>
      </c>
      <c r="G244" s="5">
        <v>18.71</v>
      </c>
      <c r="H244" s="4">
        <v>0</v>
      </c>
    </row>
    <row r="245" spans="1:8" x14ac:dyDescent="0.2">
      <c r="A245" s="2" t="s">
        <v>46</v>
      </c>
      <c r="B245" s="4">
        <v>70</v>
      </c>
      <c r="C245" s="5">
        <v>8.89</v>
      </c>
      <c r="D245" s="4">
        <v>27</v>
      </c>
      <c r="E245" s="5">
        <v>6.05</v>
      </c>
      <c r="F245" s="4">
        <v>43</v>
      </c>
      <c r="G245" s="5">
        <v>13.19</v>
      </c>
      <c r="H245" s="4">
        <v>0</v>
      </c>
    </row>
    <row r="246" spans="1:8" x14ac:dyDescent="0.2">
      <c r="A246" s="2" t="s">
        <v>47</v>
      </c>
      <c r="B246" s="4">
        <v>2</v>
      </c>
      <c r="C246" s="5">
        <v>0.25</v>
      </c>
      <c r="D246" s="4">
        <v>0</v>
      </c>
      <c r="E246" s="5">
        <v>0</v>
      </c>
      <c r="F246" s="4">
        <v>2</v>
      </c>
      <c r="G246" s="5">
        <v>0.61</v>
      </c>
      <c r="H246" s="4">
        <v>0</v>
      </c>
    </row>
    <row r="247" spans="1:8" x14ac:dyDescent="0.2">
      <c r="A247" s="2" t="s">
        <v>48</v>
      </c>
      <c r="B247" s="4">
        <v>4</v>
      </c>
      <c r="C247" s="5">
        <v>0.51</v>
      </c>
      <c r="D247" s="4">
        <v>0</v>
      </c>
      <c r="E247" s="5">
        <v>0</v>
      </c>
      <c r="F247" s="4">
        <v>4</v>
      </c>
      <c r="G247" s="5">
        <v>1.23</v>
      </c>
      <c r="H247" s="4">
        <v>0</v>
      </c>
    </row>
    <row r="248" spans="1:8" x14ac:dyDescent="0.2">
      <c r="A248" s="2" t="s">
        <v>49</v>
      </c>
      <c r="B248" s="4">
        <v>37</v>
      </c>
      <c r="C248" s="5">
        <v>4.7</v>
      </c>
      <c r="D248" s="4">
        <v>0</v>
      </c>
      <c r="E248" s="5">
        <v>0</v>
      </c>
      <c r="F248" s="4">
        <v>37</v>
      </c>
      <c r="G248" s="5">
        <v>11.35</v>
      </c>
      <c r="H248" s="4">
        <v>0</v>
      </c>
    </row>
    <row r="249" spans="1:8" x14ac:dyDescent="0.2">
      <c r="A249" s="2" t="s">
        <v>50</v>
      </c>
      <c r="B249" s="4">
        <v>227</v>
      </c>
      <c r="C249" s="5">
        <v>28.84</v>
      </c>
      <c r="D249" s="4">
        <v>133</v>
      </c>
      <c r="E249" s="5">
        <v>29.82</v>
      </c>
      <c r="F249" s="4">
        <v>93</v>
      </c>
      <c r="G249" s="5">
        <v>28.53</v>
      </c>
      <c r="H249" s="4">
        <v>1</v>
      </c>
    </row>
    <row r="250" spans="1:8" x14ac:dyDescent="0.2">
      <c r="A250" s="2" t="s">
        <v>51</v>
      </c>
      <c r="B250" s="4">
        <v>8</v>
      </c>
      <c r="C250" s="5">
        <v>1.02</v>
      </c>
      <c r="D250" s="4">
        <v>2</v>
      </c>
      <c r="E250" s="5">
        <v>0.45</v>
      </c>
      <c r="F250" s="4">
        <v>6</v>
      </c>
      <c r="G250" s="5">
        <v>1.84</v>
      </c>
      <c r="H250" s="4">
        <v>0</v>
      </c>
    </row>
    <row r="251" spans="1:8" x14ac:dyDescent="0.2">
      <c r="A251" s="2" t="s">
        <v>52</v>
      </c>
      <c r="B251" s="4">
        <v>23</v>
      </c>
      <c r="C251" s="5">
        <v>2.92</v>
      </c>
      <c r="D251" s="4">
        <v>7</v>
      </c>
      <c r="E251" s="5">
        <v>1.57</v>
      </c>
      <c r="F251" s="4">
        <v>16</v>
      </c>
      <c r="G251" s="5">
        <v>4.91</v>
      </c>
      <c r="H251" s="4">
        <v>0</v>
      </c>
    </row>
    <row r="252" spans="1:8" x14ac:dyDescent="0.2">
      <c r="A252" s="2" t="s">
        <v>53</v>
      </c>
      <c r="B252" s="4">
        <v>33</v>
      </c>
      <c r="C252" s="5">
        <v>4.1900000000000004</v>
      </c>
      <c r="D252" s="4">
        <v>16</v>
      </c>
      <c r="E252" s="5">
        <v>3.59</v>
      </c>
      <c r="F252" s="4">
        <v>16</v>
      </c>
      <c r="G252" s="5">
        <v>4.91</v>
      </c>
      <c r="H252" s="4">
        <v>0</v>
      </c>
    </row>
    <row r="253" spans="1:8" x14ac:dyDescent="0.2">
      <c r="A253" s="2" t="s">
        <v>54</v>
      </c>
      <c r="B253" s="4">
        <v>91</v>
      </c>
      <c r="C253" s="5">
        <v>11.56</v>
      </c>
      <c r="D253" s="4">
        <v>86</v>
      </c>
      <c r="E253" s="5">
        <v>19.28</v>
      </c>
      <c r="F253" s="4">
        <v>5</v>
      </c>
      <c r="G253" s="5">
        <v>1.53</v>
      </c>
      <c r="H253" s="4">
        <v>0</v>
      </c>
    </row>
    <row r="254" spans="1:8" x14ac:dyDescent="0.2">
      <c r="A254" s="2" t="s">
        <v>55</v>
      </c>
      <c r="B254" s="4">
        <v>109</v>
      </c>
      <c r="C254" s="5">
        <v>13.85</v>
      </c>
      <c r="D254" s="4">
        <v>99</v>
      </c>
      <c r="E254" s="5">
        <v>22.2</v>
      </c>
      <c r="F254" s="4">
        <v>9</v>
      </c>
      <c r="G254" s="5">
        <v>2.76</v>
      </c>
      <c r="H254" s="4">
        <v>1</v>
      </c>
    </row>
    <row r="255" spans="1:8" x14ac:dyDescent="0.2">
      <c r="A255" s="2" t="s">
        <v>56</v>
      </c>
      <c r="B255" s="4">
        <v>26</v>
      </c>
      <c r="C255" s="5">
        <v>3.3</v>
      </c>
      <c r="D255" s="4">
        <v>14</v>
      </c>
      <c r="E255" s="5">
        <v>3.14</v>
      </c>
      <c r="F255" s="4">
        <v>3</v>
      </c>
      <c r="G255" s="5">
        <v>0.92</v>
      </c>
      <c r="H255" s="4">
        <v>0</v>
      </c>
    </row>
    <row r="256" spans="1:8" x14ac:dyDescent="0.2">
      <c r="A256" s="2" t="s">
        <v>57</v>
      </c>
      <c r="B256" s="4">
        <v>36</v>
      </c>
      <c r="C256" s="5">
        <v>4.57</v>
      </c>
      <c r="D256" s="4">
        <v>19</v>
      </c>
      <c r="E256" s="5">
        <v>4.26</v>
      </c>
      <c r="F256" s="4">
        <v>16</v>
      </c>
      <c r="G256" s="5">
        <v>4.91</v>
      </c>
      <c r="H256" s="4">
        <v>0</v>
      </c>
    </row>
    <row r="257" spans="1:8" x14ac:dyDescent="0.2">
      <c r="A257" s="2" t="s">
        <v>58</v>
      </c>
      <c r="B257" s="4">
        <v>34</v>
      </c>
      <c r="C257" s="5">
        <v>4.32</v>
      </c>
      <c r="D257" s="4">
        <v>19</v>
      </c>
      <c r="E257" s="5">
        <v>4.26</v>
      </c>
      <c r="F257" s="4">
        <v>13</v>
      </c>
      <c r="G257" s="5">
        <v>3.99</v>
      </c>
      <c r="H257" s="4">
        <v>1</v>
      </c>
    </row>
    <row r="258" spans="1:8" x14ac:dyDescent="0.2">
      <c r="A258" s="1" t="s">
        <v>16</v>
      </c>
      <c r="B258" s="4">
        <v>1600</v>
      </c>
      <c r="C258" s="5">
        <v>100.01</v>
      </c>
      <c r="D258" s="4">
        <v>911</v>
      </c>
      <c r="E258" s="5">
        <v>99.979999999999976</v>
      </c>
      <c r="F258" s="4">
        <v>658</v>
      </c>
      <c r="G258" s="5">
        <v>100.01</v>
      </c>
      <c r="H258" s="4">
        <v>13</v>
      </c>
    </row>
    <row r="259" spans="1:8" x14ac:dyDescent="0.2">
      <c r="A259" s="2" t="s">
        <v>44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45</v>
      </c>
      <c r="B260" s="4">
        <v>117</v>
      </c>
      <c r="C260" s="5">
        <v>7.31</v>
      </c>
      <c r="D260" s="4">
        <v>23</v>
      </c>
      <c r="E260" s="5">
        <v>2.52</v>
      </c>
      <c r="F260" s="4">
        <v>94</v>
      </c>
      <c r="G260" s="5">
        <v>14.29</v>
      </c>
      <c r="H260" s="4">
        <v>0</v>
      </c>
    </row>
    <row r="261" spans="1:8" x14ac:dyDescent="0.2">
      <c r="A261" s="2" t="s">
        <v>46</v>
      </c>
      <c r="B261" s="4">
        <v>125</v>
      </c>
      <c r="C261" s="5">
        <v>7.81</v>
      </c>
      <c r="D261" s="4">
        <v>53</v>
      </c>
      <c r="E261" s="5">
        <v>5.82</v>
      </c>
      <c r="F261" s="4">
        <v>71</v>
      </c>
      <c r="G261" s="5">
        <v>10.79</v>
      </c>
      <c r="H261" s="4">
        <v>1</v>
      </c>
    </row>
    <row r="262" spans="1:8" x14ac:dyDescent="0.2">
      <c r="A262" s="2" t="s">
        <v>47</v>
      </c>
      <c r="B262" s="4">
        <v>8</v>
      </c>
      <c r="C262" s="5">
        <v>0.5</v>
      </c>
      <c r="D262" s="4">
        <v>0</v>
      </c>
      <c r="E262" s="5">
        <v>0</v>
      </c>
      <c r="F262" s="4">
        <v>7</v>
      </c>
      <c r="G262" s="5">
        <v>1.06</v>
      </c>
      <c r="H262" s="4">
        <v>0</v>
      </c>
    </row>
    <row r="263" spans="1:8" x14ac:dyDescent="0.2">
      <c r="A263" s="2" t="s">
        <v>48</v>
      </c>
      <c r="B263" s="4">
        <v>13</v>
      </c>
      <c r="C263" s="5">
        <v>0.81</v>
      </c>
      <c r="D263" s="4">
        <v>2</v>
      </c>
      <c r="E263" s="5">
        <v>0.22</v>
      </c>
      <c r="F263" s="4">
        <v>11</v>
      </c>
      <c r="G263" s="5">
        <v>1.67</v>
      </c>
      <c r="H263" s="4">
        <v>0</v>
      </c>
    </row>
    <row r="264" spans="1:8" x14ac:dyDescent="0.2">
      <c r="A264" s="2" t="s">
        <v>49</v>
      </c>
      <c r="B264" s="4">
        <v>11</v>
      </c>
      <c r="C264" s="5">
        <v>0.69</v>
      </c>
      <c r="D264" s="4">
        <v>1</v>
      </c>
      <c r="E264" s="5">
        <v>0.11</v>
      </c>
      <c r="F264" s="4">
        <v>10</v>
      </c>
      <c r="G264" s="5">
        <v>1.52</v>
      </c>
      <c r="H264" s="4">
        <v>0</v>
      </c>
    </row>
    <row r="265" spans="1:8" x14ac:dyDescent="0.2">
      <c r="A265" s="2" t="s">
        <v>50</v>
      </c>
      <c r="B265" s="4">
        <v>464</v>
      </c>
      <c r="C265" s="5">
        <v>29</v>
      </c>
      <c r="D265" s="4">
        <v>257</v>
      </c>
      <c r="E265" s="5">
        <v>28.21</v>
      </c>
      <c r="F265" s="4">
        <v>201</v>
      </c>
      <c r="G265" s="5">
        <v>30.55</v>
      </c>
      <c r="H265" s="4">
        <v>6</v>
      </c>
    </row>
    <row r="266" spans="1:8" x14ac:dyDescent="0.2">
      <c r="A266" s="2" t="s">
        <v>51</v>
      </c>
      <c r="B266" s="4">
        <v>16</v>
      </c>
      <c r="C266" s="5">
        <v>1</v>
      </c>
      <c r="D266" s="4">
        <v>2</v>
      </c>
      <c r="E266" s="5">
        <v>0.22</v>
      </c>
      <c r="F266" s="4">
        <v>14</v>
      </c>
      <c r="G266" s="5">
        <v>2.13</v>
      </c>
      <c r="H266" s="4">
        <v>0</v>
      </c>
    </row>
    <row r="267" spans="1:8" x14ac:dyDescent="0.2">
      <c r="A267" s="2" t="s">
        <v>52</v>
      </c>
      <c r="B267" s="4">
        <v>98</v>
      </c>
      <c r="C267" s="5">
        <v>6.13</v>
      </c>
      <c r="D267" s="4">
        <v>29</v>
      </c>
      <c r="E267" s="5">
        <v>3.18</v>
      </c>
      <c r="F267" s="4">
        <v>68</v>
      </c>
      <c r="G267" s="5">
        <v>10.33</v>
      </c>
      <c r="H267" s="4">
        <v>0</v>
      </c>
    </row>
    <row r="268" spans="1:8" x14ac:dyDescent="0.2">
      <c r="A268" s="2" t="s">
        <v>53</v>
      </c>
      <c r="B268" s="4">
        <v>83</v>
      </c>
      <c r="C268" s="5">
        <v>5.19</v>
      </c>
      <c r="D268" s="4">
        <v>33</v>
      </c>
      <c r="E268" s="5">
        <v>3.62</v>
      </c>
      <c r="F268" s="4">
        <v>49</v>
      </c>
      <c r="G268" s="5">
        <v>7.45</v>
      </c>
      <c r="H268" s="4">
        <v>0</v>
      </c>
    </row>
    <row r="269" spans="1:8" x14ac:dyDescent="0.2">
      <c r="A269" s="2" t="s">
        <v>54</v>
      </c>
      <c r="B269" s="4">
        <v>306</v>
      </c>
      <c r="C269" s="5">
        <v>19.13</v>
      </c>
      <c r="D269" s="4">
        <v>270</v>
      </c>
      <c r="E269" s="5">
        <v>29.64</v>
      </c>
      <c r="F269" s="4">
        <v>33</v>
      </c>
      <c r="G269" s="5">
        <v>5.0199999999999996</v>
      </c>
      <c r="H269" s="4">
        <v>0</v>
      </c>
    </row>
    <row r="270" spans="1:8" x14ac:dyDescent="0.2">
      <c r="A270" s="2" t="s">
        <v>55</v>
      </c>
      <c r="B270" s="4">
        <v>201</v>
      </c>
      <c r="C270" s="5">
        <v>12.56</v>
      </c>
      <c r="D270" s="4">
        <v>167</v>
      </c>
      <c r="E270" s="5">
        <v>18.329999999999998</v>
      </c>
      <c r="F270" s="4">
        <v>32</v>
      </c>
      <c r="G270" s="5">
        <v>4.8600000000000003</v>
      </c>
      <c r="H270" s="4">
        <v>1</v>
      </c>
    </row>
    <row r="271" spans="1:8" x14ac:dyDescent="0.2">
      <c r="A271" s="2" t="s">
        <v>56</v>
      </c>
      <c r="B271" s="4">
        <v>37</v>
      </c>
      <c r="C271" s="5">
        <v>2.31</v>
      </c>
      <c r="D271" s="4">
        <v>25</v>
      </c>
      <c r="E271" s="5">
        <v>2.74</v>
      </c>
      <c r="F271" s="4">
        <v>5</v>
      </c>
      <c r="G271" s="5">
        <v>0.76</v>
      </c>
      <c r="H271" s="4">
        <v>2</v>
      </c>
    </row>
    <row r="272" spans="1:8" x14ac:dyDescent="0.2">
      <c r="A272" s="2" t="s">
        <v>57</v>
      </c>
      <c r="B272" s="4">
        <v>62</v>
      </c>
      <c r="C272" s="5">
        <v>3.88</v>
      </c>
      <c r="D272" s="4">
        <v>27</v>
      </c>
      <c r="E272" s="5">
        <v>2.96</v>
      </c>
      <c r="F272" s="4">
        <v>29</v>
      </c>
      <c r="G272" s="5">
        <v>4.41</v>
      </c>
      <c r="H272" s="4">
        <v>3</v>
      </c>
    </row>
    <row r="273" spans="1:8" x14ac:dyDescent="0.2">
      <c r="A273" s="2" t="s">
        <v>58</v>
      </c>
      <c r="B273" s="4">
        <v>59</v>
      </c>
      <c r="C273" s="5">
        <v>3.69</v>
      </c>
      <c r="D273" s="4">
        <v>22</v>
      </c>
      <c r="E273" s="5">
        <v>2.41</v>
      </c>
      <c r="F273" s="4">
        <v>34</v>
      </c>
      <c r="G273" s="5">
        <v>5.17</v>
      </c>
      <c r="H273" s="4">
        <v>0</v>
      </c>
    </row>
    <row r="274" spans="1:8" x14ac:dyDescent="0.2">
      <c r="A274" s="1" t="s">
        <v>17</v>
      </c>
      <c r="B274" s="4">
        <v>1052</v>
      </c>
      <c r="C274" s="5">
        <v>100.00999999999999</v>
      </c>
      <c r="D274" s="4">
        <v>654</v>
      </c>
      <c r="E274" s="5">
        <v>99.99</v>
      </c>
      <c r="F274" s="4">
        <v>373</v>
      </c>
      <c r="G274" s="5">
        <v>100.01</v>
      </c>
      <c r="H274" s="4">
        <v>2</v>
      </c>
    </row>
    <row r="275" spans="1:8" x14ac:dyDescent="0.2">
      <c r="A275" s="2" t="s">
        <v>44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45</v>
      </c>
      <c r="B276" s="4">
        <v>129</v>
      </c>
      <c r="C276" s="5">
        <v>12.26</v>
      </c>
      <c r="D276" s="4">
        <v>53</v>
      </c>
      <c r="E276" s="5">
        <v>8.1</v>
      </c>
      <c r="F276" s="4">
        <v>76</v>
      </c>
      <c r="G276" s="5">
        <v>20.38</v>
      </c>
      <c r="H276" s="4">
        <v>0</v>
      </c>
    </row>
    <row r="277" spans="1:8" x14ac:dyDescent="0.2">
      <c r="A277" s="2" t="s">
        <v>46</v>
      </c>
      <c r="B277" s="4">
        <v>206</v>
      </c>
      <c r="C277" s="5">
        <v>19.579999999999998</v>
      </c>
      <c r="D277" s="4">
        <v>107</v>
      </c>
      <c r="E277" s="5">
        <v>16.36</v>
      </c>
      <c r="F277" s="4">
        <v>99</v>
      </c>
      <c r="G277" s="5">
        <v>26.54</v>
      </c>
      <c r="H277" s="4">
        <v>0</v>
      </c>
    </row>
    <row r="278" spans="1:8" x14ac:dyDescent="0.2">
      <c r="A278" s="2" t="s">
        <v>47</v>
      </c>
      <c r="B278" s="4">
        <v>3</v>
      </c>
      <c r="C278" s="5">
        <v>0.28999999999999998</v>
      </c>
      <c r="D278" s="4">
        <v>1</v>
      </c>
      <c r="E278" s="5">
        <v>0.15</v>
      </c>
      <c r="F278" s="4">
        <v>2</v>
      </c>
      <c r="G278" s="5">
        <v>0.54</v>
      </c>
      <c r="H278" s="4">
        <v>0</v>
      </c>
    </row>
    <row r="279" spans="1:8" x14ac:dyDescent="0.2">
      <c r="A279" s="2" t="s">
        <v>48</v>
      </c>
      <c r="B279" s="4">
        <v>2</v>
      </c>
      <c r="C279" s="5">
        <v>0.19</v>
      </c>
      <c r="D279" s="4">
        <v>1</v>
      </c>
      <c r="E279" s="5">
        <v>0.15</v>
      </c>
      <c r="F279" s="4">
        <v>1</v>
      </c>
      <c r="G279" s="5">
        <v>0.27</v>
      </c>
      <c r="H279" s="4">
        <v>0</v>
      </c>
    </row>
    <row r="280" spans="1:8" x14ac:dyDescent="0.2">
      <c r="A280" s="2" t="s">
        <v>49</v>
      </c>
      <c r="B280" s="4">
        <v>6</v>
      </c>
      <c r="C280" s="5">
        <v>0.56999999999999995</v>
      </c>
      <c r="D280" s="4">
        <v>4</v>
      </c>
      <c r="E280" s="5">
        <v>0.61</v>
      </c>
      <c r="F280" s="4">
        <v>2</v>
      </c>
      <c r="G280" s="5">
        <v>0.54</v>
      </c>
      <c r="H280" s="4">
        <v>0</v>
      </c>
    </row>
    <row r="281" spans="1:8" x14ac:dyDescent="0.2">
      <c r="A281" s="2" t="s">
        <v>50</v>
      </c>
      <c r="B281" s="4">
        <v>300</v>
      </c>
      <c r="C281" s="5">
        <v>28.52</v>
      </c>
      <c r="D281" s="4">
        <v>181</v>
      </c>
      <c r="E281" s="5">
        <v>27.68</v>
      </c>
      <c r="F281" s="4">
        <v>118</v>
      </c>
      <c r="G281" s="5">
        <v>31.64</v>
      </c>
      <c r="H281" s="4">
        <v>1</v>
      </c>
    </row>
    <row r="282" spans="1:8" x14ac:dyDescent="0.2">
      <c r="A282" s="2" t="s">
        <v>51</v>
      </c>
      <c r="B282" s="4">
        <v>3</v>
      </c>
      <c r="C282" s="5">
        <v>0.28999999999999998</v>
      </c>
      <c r="D282" s="4">
        <v>1</v>
      </c>
      <c r="E282" s="5">
        <v>0.15</v>
      </c>
      <c r="F282" s="4">
        <v>2</v>
      </c>
      <c r="G282" s="5">
        <v>0.54</v>
      </c>
      <c r="H282" s="4">
        <v>0</v>
      </c>
    </row>
    <row r="283" spans="1:8" x14ac:dyDescent="0.2">
      <c r="A283" s="2" t="s">
        <v>52</v>
      </c>
      <c r="B283" s="4">
        <v>20</v>
      </c>
      <c r="C283" s="5">
        <v>1.9</v>
      </c>
      <c r="D283" s="4">
        <v>5</v>
      </c>
      <c r="E283" s="5">
        <v>0.76</v>
      </c>
      <c r="F283" s="4">
        <v>15</v>
      </c>
      <c r="G283" s="5">
        <v>4.0199999999999996</v>
      </c>
      <c r="H283" s="4">
        <v>0</v>
      </c>
    </row>
    <row r="284" spans="1:8" x14ac:dyDescent="0.2">
      <c r="A284" s="2" t="s">
        <v>53</v>
      </c>
      <c r="B284" s="4">
        <v>38</v>
      </c>
      <c r="C284" s="5">
        <v>3.61</v>
      </c>
      <c r="D284" s="4">
        <v>23</v>
      </c>
      <c r="E284" s="5">
        <v>3.52</v>
      </c>
      <c r="F284" s="4">
        <v>15</v>
      </c>
      <c r="G284" s="5">
        <v>4.0199999999999996</v>
      </c>
      <c r="H284" s="4">
        <v>0</v>
      </c>
    </row>
    <row r="285" spans="1:8" x14ac:dyDescent="0.2">
      <c r="A285" s="2" t="s">
        <v>54</v>
      </c>
      <c r="B285" s="4">
        <v>83</v>
      </c>
      <c r="C285" s="5">
        <v>7.89</v>
      </c>
      <c r="D285" s="4">
        <v>73</v>
      </c>
      <c r="E285" s="5">
        <v>11.16</v>
      </c>
      <c r="F285" s="4">
        <v>9</v>
      </c>
      <c r="G285" s="5">
        <v>2.41</v>
      </c>
      <c r="H285" s="4">
        <v>0</v>
      </c>
    </row>
    <row r="286" spans="1:8" x14ac:dyDescent="0.2">
      <c r="A286" s="2" t="s">
        <v>55</v>
      </c>
      <c r="B286" s="4">
        <v>120</v>
      </c>
      <c r="C286" s="5">
        <v>11.41</v>
      </c>
      <c r="D286" s="4">
        <v>111</v>
      </c>
      <c r="E286" s="5">
        <v>16.97</v>
      </c>
      <c r="F286" s="4">
        <v>8</v>
      </c>
      <c r="G286" s="5">
        <v>2.14</v>
      </c>
      <c r="H286" s="4">
        <v>1</v>
      </c>
    </row>
    <row r="287" spans="1:8" x14ac:dyDescent="0.2">
      <c r="A287" s="2" t="s">
        <v>56</v>
      </c>
      <c r="B287" s="4">
        <v>37</v>
      </c>
      <c r="C287" s="5">
        <v>3.52</v>
      </c>
      <c r="D287" s="4">
        <v>16</v>
      </c>
      <c r="E287" s="5">
        <v>2.4500000000000002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57</v>
      </c>
      <c r="B288" s="4">
        <v>53</v>
      </c>
      <c r="C288" s="5">
        <v>5.04</v>
      </c>
      <c r="D288" s="4">
        <v>37</v>
      </c>
      <c r="E288" s="5">
        <v>5.66</v>
      </c>
      <c r="F288" s="4">
        <v>16</v>
      </c>
      <c r="G288" s="5">
        <v>4.29</v>
      </c>
      <c r="H288" s="4">
        <v>0</v>
      </c>
    </row>
    <row r="289" spans="1:8" x14ac:dyDescent="0.2">
      <c r="A289" s="2" t="s">
        <v>58</v>
      </c>
      <c r="B289" s="4">
        <v>52</v>
      </c>
      <c r="C289" s="5">
        <v>4.9400000000000004</v>
      </c>
      <c r="D289" s="4">
        <v>41</v>
      </c>
      <c r="E289" s="5">
        <v>6.27</v>
      </c>
      <c r="F289" s="4">
        <v>10</v>
      </c>
      <c r="G289" s="5">
        <v>2.68</v>
      </c>
      <c r="H289" s="4">
        <v>0</v>
      </c>
    </row>
    <row r="290" spans="1:8" x14ac:dyDescent="0.2">
      <c r="A290" s="1" t="s">
        <v>18</v>
      </c>
      <c r="B290" s="4">
        <v>584</v>
      </c>
      <c r="C290" s="5">
        <v>100</v>
      </c>
      <c r="D290" s="4">
        <v>335</v>
      </c>
      <c r="E290" s="5">
        <v>100</v>
      </c>
      <c r="F290" s="4">
        <v>236</v>
      </c>
      <c r="G290" s="5">
        <v>99.980000000000018</v>
      </c>
      <c r="H290" s="4">
        <v>3</v>
      </c>
    </row>
    <row r="291" spans="1:8" x14ac:dyDescent="0.2">
      <c r="A291" s="2" t="s">
        <v>44</v>
      </c>
      <c r="B291" s="4">
        <v>1</v>
      </c>
      <c r="C291" s="5">
        <v>0.17</v>
      </c>
      <c r="D291" s="4">
        <v>0</v>
      </c>
      <c r="E291" s="5">
        <v>0</v>
      </c>
      <c r="F291" s="4">
        <v>1</v>
      </c>
      <c r="G291" s="5">
        <v>0.42</v>
      </c>
      <c r="H291" s="4">
        <v>0</v>
      </c>
    </row>
    <row r="292" spans="1:8" x14ac:dyDescent="0.2">
      <c r="A292" s="2" t="s">
        <v>45</v>
      </c>
      <c r="B292" s="4">
        <v>68</v>
      </c>
      <c r="C292" s="5">
        <v>11.64</v>
      </c>
      <c r="D292" s="4">
        <v>19</v>
      </c>
      <c r="E292" s="5">
        <v>5.67</v>
      </c>
      <c r="F292" s="4">
        <v>49</v>
      </c>
      <c r="G292" s="5">
        <v>20.76</v>
      </c>
      <c r="H292" s="4">
        <v>0</v>
      </c>
    </row>
    <row r="293" spans="1:8" x14ac:dyDescent="0.2">
      <c r="A293" s="2" t="s">
        <v>46</v>
      </c>
      <c r="B293" s="4">
        <v>38</v>
      </c>
      <c r="C293" s="5">
        <v>6.51</v>
      </c>
      <c r="D293" s="4">
        <v>9</v>
      </c>
      <c r="E293" s="5">
        <v>2.69</v>
      </c>
      <c r="F293" s="4">
        <v>29</v>
      </c>
      <c r="G293" s="5">
        <v>12.29</v>
      </c>
      <c r="H293" s="4">
        <v>0</v>
      </c>
    </row>
    <row r="294" spans="1:8" x14ac:dyDescent="0.2">
      <c r="A294" s="2" t="s">
        <v>47</v>
      </c>
      <c r="B294" s="4">
        <v>1</v>
      </c>
      <c r="C294" s="5">
        <v>0.17</v>
      </c>
      <c r="D294" s="4">
        <v>0</v>
      </c>
      <c r="E294" s="5">
        <v>0</v>
      </c>
      <c r="F294" s="4">
        <v>1</v>
      </c>
      <c r="G294" s="5">
        <v>0.42</v>
      </c>
      <c r="H294" s="4">
        <v>0</v>
      </c>
    </row>
    <row r="295" spans="1:8" x14ac:dyDescent="0.2">
      <c r="A295" s="2" t="s">
        <v>48</v>
      </c>
      <c r="B295" s="4">
        <v>2</v>
      </c>
      <c r="C295" s="5">
        <v>0.34</v>
      </c>
      <c r="D295" s="4">
        <v>0</v>
      </c>
      <c r="E295" s="5">
        <v>0</v>
      </c>
      <c r="F295" s="4">
        <v>2</v>
      </c>
      <c r="G295" s="5">
        <v>0.85</v>
      </c>
      <c r="H295" s="4">
        <v>0</v>
      </c>
    </row>
    <row r="296" spans="1:8" x14ac:dyDescent="0.2">
      <c r="A296" s="2" t="s">
        <v>49</v>
      </c>
      <c r="B296" s="4">
        <v>0</v>
      </c>
      <c r="C296" s="5">
        <v>0</v>
      </c>
      <c r="D296" s="4">
        <v>0</v>
      </c>
      <c r="E296" s="5">
        <v>0</v>
      </c>
      <c r="F296" s="4">
        <v>0</v>
      </c>
      <c r="G296" s="5">
        <v>0</v>
      </c>
      <c r="H296" s="4">
        <v>0</v>
      </c>
    </row>
    <row r="297" spans="1:8" x14ac:dyDescent="0.2">
      <c r="A297" s="2" t="s">
        <v>50</v>
      </c>
      <c r="B297" s="4">
        <v>194</v>
      </c>
      <c r="C297" s="5">
        <v>33.22</v>
      </c>
      <c r="D297" s="4">
        <v>98</v>
      </c>
      <c r="E297" s="5">
        <v>29.25</v>
      </c>
      <c r="F297" s="4">
        <v>95</v>
      </c>
      <c r="G297" s="5">
        <v>40.25</v>
      </c>
      <c r="H297" s="4">
        <v>1</v>
      </c>
    </row>
    <row r="298" spans="1:8" x14ac:dyDescent="0.2">
      <c r="A298" s="2" t="s">
        <v>51</v>
      </c>
      <c r="B298" s="4">
        <v>1</v>
      </c>
      <c r="C298" s="5">
        <v>0.17</v>
      </c>
      <c r="D298" s="4">
        <v>0</v>
      </c>
      <c r="E298" s="5">
        <v>0</v>
      </c>
      <c r="F298" s="4">
        <v>1</v>
      </c>
      <c r="G298" s="5">
        <v>0.42</v>
      </c>
      <c r="H298" s="4">
        <v>0</v>
      </c>
    </row>
    <row r="299" spans="1:8" x14ac:dyDescent="0.2">
      <c r="A299" s="2" t="s">
        <v>52</v>
      </c>
      <c r="B299" s="4">
        <v>15</v>
      </c>
      <c r="C299" s="5">
        <v>2.57</v>
      </c>
      <c r="D299" s="4">
        <v>3</v>
      </c>
      <c r="E299" s="5">
        <v>0.9</v>
      </c>
      <c r="F299" s="4">
        <v>12</v>
      </c>
      <c r="G299" s="5">
        <v>5.08</v>
      </c>
      <c r="H299" s="4">
        <v>0</v>
      </c>
    </row>
    <row r="300" spans="1:8" x14ac:dyDescent="0.2">
      <c r="A300" s="2" t="s">
        <v>53</v>
      </c>
      <c r="B300" s="4">
        <v>25</v>
      </c>
      <c r="C300" s="5">
        <v>4.28</v>
      </c>
      <c r="D300" s="4">
        <v>19</v>
      </c>
      <c r="E300" s="5">
        <v>5.67</v>
      </c>
      <c r="F300" s="4">
        <v>5</v>
      </c>
      <c r="G300" s="5">
        <v>2.12</v>
      </c>
      <c r="H300" s="4">
        <v>0</v>
      </c>
    </row>
    <row r="301" spans="1:8" x14ac:dyDescent="0.2">
      <c r="A301" s="2" t="s">
        <v>54</v>
      </c>
      <c r="B301" s="4">
        <v>70</v>
      </c>
      <c r="C301" s="5">
        <v>11.99</v>
      </c>
      <c r="D301" s="4">
        <v>61</v>
      </c>
      <c r="E301" s="5">
        <v>18.21</v>
      </c>
      <c r="F301" s="4">
        <v>9</v>
      </c>
      <c r="G301" s="5">
        <v>3.81</v>
      </c>
      <c r="H301" s="4">
        <v>0</v>
      </c>
    </row>
    <row r="302" spans="1:8" x14ac:dyDescent="0.2">
      <c r="A302" s="2" t="s">
        <v>55</v>
      </c>
      <c r="B302" s="4">
        <v>95</v>
      </c>
      <c r="C302" s="5">
        <v>16.27</v>
      </c>
      <c r="D302" s="4">
        <v>88</v>
      </c>
      <c r="E302" s="5">
        <v>26.27</v>
      </c>
      <c r="F302" s="4">
        <v>7</v>
      </c>
      <c r="G302" s="5">
        <v>2.97</v>
      </c>
      <c r="H302" s="4">
        <v>0</v>
      </c>
    </row>
    <row r="303" spans="1:8" x14ac:dyDescent="0.2">
      <c r="A303" s="2" t="s">
        <v>56</v>
      </c>
      <c r="B303" s="4">
        <v>11</v>
      </c>
      <c r="C303" s="5">
        <v>1.88</v>
      </c>
      <c r="D303" s="4">
        <v>8</v>
      </c>
      <c r="E303" s="5">
        <v>2.39</v>
      </c>
      <c r="F303" s="4">
        <v>1</v>
      </c>
      <c r="G303" s="5">
        <v>0.42</v>
      </c>
      <c r="H303" s="4">
        <v>1</v>
      </c>
    </row>
    <row r="304" spans="1:8" x14ac:dyDescent="0.2">
      <c r="A304" s="2" t="s">
        <v>57</v>
      </c>
      <c r="B304" s="4">
        <v>38</v>
      </c>
      <c r="C304" s="5">
        <v>6.51</v>
      </c>
      <c r="D304" s="4">
        <v>13</v>
      </c>
      <c r="E304" s="5">
        <v>3.88</v>
      </c>
      <c r="F304" s="4">
        <v>21</v>
      </c>
      <c r="G304" s="5">
        <v>8.9</v>
      </c>
      <c r="H304" s="4">
        <v>1</v>
      </c>
    </row>
    <row r="305" spans="1:8" x14ac:dyDescent="0.2">
      <c r="A305" s="2" t="s">
        <v>58</v>
      </c>
      <c r="B305" s="4">
        <v>25</v>
      </c>
      <c r="C305" s="5">
        <v>4.28</v>
      </c>
      <c r="D305" s="4">
        <v>17</v>
      </c>
      <c r="E305" s="5">
        <v>5.07</v>
      </c>
      <c r="F305" s="4">
        <v>3</v>
      </c>
      <c r="G305" s="5">
        <v>1.27</v>
      </c>
      <c r="H305" s="4">
        <v>0</v>
      </c>
    </row>
    <row r="306" spans="1:8" x14ac:dyDescent="0.2">
      <c r="A306" s="1" t="s">
        <v>19</v>
      </c>
      <c r="B306" s="4">
        <v>1569</v>
      </c>
      <c r="C306" s="5">
        <v>100</v>
      </c>
      <c r="D306" s="4">
        <v>824</v>
      </c>
      <c r="E306" s="5">
        <v>99.990000000000009</v>
      </c>
      <c r="F306" s="4">
        <v>717</v>
      </c>
      <c r="G306" s="5">
        <v>100.00999999999999</v>
      </c>
      <c r="H306" s="4">
        <v>6</v>
      </c>
    </row>
    <row r="307" spans="1:8" x14ac:dyDescent="0.2">
      <c r="A307" s="2" t="s">
        <v>44</v>
      </c>
      <c r="B307" s="4">
        <v>1</v>
      </c>
      <c r="C307" s="5">
        <v>0.06</v>
      </c>
      <c r="D307" s="4">
        <v>0</v>
      </c>
      <c r="E307" s="5">
        <v>0</v>
      </c>
      <c r="F307" s="4">
        <v>1</v>
      </c>
      <c r="G307" s="5">
        <v>0.14000000000000001</v>
      </c>
      <c r="H307" s="4">
        <v>0</v>
      </c>
    </row>
    <row r="308" spans="1:8" x14ac:dyDescent="0.2">
      <c r="A308" s="2" t="s">
        <v>45</v>
      </c>
      <c r="B308" s="4">
        <v>189</v>
      </c>
      <c r="C308" s="5">
        <v>12.05</v>
      </c>
      <c r="D308" s="4">
        <v>55</v>
      </c>
      <c r="E308" s="5">
        <v>6.67</v>
      </c>
      <c r="F308" s="4">
        <v>134</v>
      </c>
      <c r="G308" s="5">
        <v>18.690000000000001</v>
      </c>
      <c r="H308" s="4">
        <v>0</v>
      </c>
    </row>
    <row r="309" spans="1:8" x14ac:dyDescent="0.2">
      <c r="A309" s="2" t="s">
        <v>46</v>
      </c>
      <c r="B309" s="4">
        <v>101</v>
      </c>
      <c r="C309" s="5">
        <v>6.44</v>
      </c>
      <c r="D309" s="4">
        <v>44</v>
      </c>
      <c r="E309" s="5">
        <v>5.34</v>
      </c>
      <c r="F309" s="4">
        <v>57</v>
      </c>
      <c r="G309" s="5">
        <v>7.95</v>
      </c>
      <c r="H309" s="4">
        <v>0</v>
      </c>
    </row>
    <row r="310" spans="1:8" x14ac:dyDescent="0.2">
      <c r="A310" s="2" t="s">
        <v>47</v>
      </c>
      <c r="B310" s="4">
        <v>6</v>
      </c>
      <c r="C310" s="5">
        <v>0.38</v>
      </c>
      <c r="D310" s="4">
        <v>0</v>
      </c>
      <c r="E310" s="5">
        <v>0</v>
      </c>
      <c r="F310" s="4">
        <v>6</v>
      </c>
      <c r="G310" s="5">
        <v>0.84</v>
      </c>
      <c r="H310" s="4">
        <v>0</v>
      </c>
    </row>
    <row r="311" spans="1:8" x14ac:dyDescent="0.2">
      <c r="A311" s="2" t="s">
        <v>48</v>
      </c>
      <c r="B311" s="4">
        <v>12</v>
      </c>
      <c r="C311" s="5">
        <v>0.76</v>
      </c>
      <c r="D311" s="4">
        <v>0</v>
      </c>
      <c r="E311" s="5">
        <v>0</v>
      </c>
      <c r="F311" s="4">
        <v>12</v>
      </c>
      <c r="G311" s="5">
        <v>1.67</v>
      </c>
      <c r="H311" s="4">
        <v>0</v>
      </c>
    </row>
    <row r="312" spans="1:8" x14ac:dyDescent="0.2">
      <c r="A312" s="2" t="s">
        <v>49</v>
      </c>
      <c r="B312" s="4">
        <v>10</v>
      </c>
      <c r="C312" s="5">
        <v>0.64</v>
      </c>
      <c r="D312" s="4">
        <v>2</v>
      </c>
      <c r="E312" s="5">
        <v>0.24</v>
      </c>
      <c r="F312" s="4">
        <v>8</v>
      </c>
      <c r="G312" s="5">
        <v>1.1200000000000001</v>
      </c>
      <c r="H312" s="4">
        <v>0</v>
      </c>
    </row>
    <row r="313" spans="1:8" x14ac:dyDescent="0.2">
      <c r="A313" s="2" t="s">
        <v>50</v>
      </c>
      <c r="B313" s="4">
        <v>420</v>
      </c>
      <c r="C313" s="5">
        <v>26.77</v>
      </c>
      <c r="D313" s="4">
        <v>178</v>
      </c>
      <c r="E313" s="5">
        <v>21.6</v>
      </c>
      <c r="F313" s="4">
        <v>237</v>
      </c>
      <c r="G313" s="5">
        <v>33.049999999999997</v>
      </c>
      <c r="H313" s="4">
        <v>5</v>
      </c>
    </row>
    <row r="314" spans="1:8" x14ac:dyDescent="0.2">
      <c r="A314" s="2" t="s">
        <v>51</v>
      </c>
      <c r="B314" s="4">
        <v>12</v>
      </c>
      <c r="C314" s="5">
        <v>0.76</v>
      </c>
      <c r="D314" s="4">
        <v>4</v>
      </c>
      <c r="E314" s="5">
        <v>0.49</v>
      </c>
      <c r="F314" s="4">
        <v>8</v>
      </c>
      <c r="G314" s="5">
        <v>1.1200000000000001</v>
      </c>
      <c r="H314" s="4">
        <v>0</v>
      </c>
    </row>
    <row r="315" spans="1:8" x14ac:dyDescent="0.2">
      <c r="A315" s="2" t="s">
        <v>52</v>
      </c>
      <c r="B315" s="4">
        <v>69</v>
      </c>
      <c r="C315" s="5">
        <v>4.4000000000000004</v>
      </c>
      <c r="D315" s="4">
        <v>18</v>
      </c>
      <c r="E315" s="5">
        <v>2.1800000000000002</v>
      </c>
      <c r="F315" s="4">
        <v>51</v>
      </c>
      <c r="G315" s="5">
        <v>7.11</v>
      </c>
      <c r="H315" s="4">
        <v>0</v>
      </c>
    </row>
    <row r="316" spans="1:8" x14ac:dyDescent="0.2">
      <c r="A316" s="2" t="s">
        <v>53</v>
      </c>
      <c r="B316" s="4">
        <v>101</v>
      </c>
      <c r="C316" s="5">
        <v>6.44</v>
      </c>
      <c r="D316" s="4">
        <v>56</v>
      </c>
      <c r="E316" s="5">
        <v>6.8</v>
      </c>
      <c r="F316" s="4">
        <v>45</v>
      </c>
      <c r="G316" s="5">
        <v>6.28</v>
      </c>
      <c r="H316" s="4">
        <v>0</v>
      </c>
    </row>
    <row r="317" spans="1:8" x14ac:dyDescent="0.2">
      <c r="A317" s="2" t="s">
        <v>54</v>
      </c>
      <c r="B317" s="4">
        <v>167</v>
      </c>
      <c r="C317" s="5">
        <v>10.64</v>
      </c>
      <c r="D317" s="4">
        <v>140</v>
      </c>
      <c r="E317" s="5">
        <v>16.989999999999998</v>
      </c>
      <c r="F317" s="4">
        <v>25</v>
      </c>
      <c r="G317" s="5">
        <v>3.49</v>
      </c>
      <c r="H317" s="4">
        <v>0</v>
      </c>
    </row>
    <row r="318" spans="1:8" x14ac:dyDescent="0.2">
      <c r="A318" s="2" t="s">
        <v>55</v>
      </c>
      <c r="B318" s="4">
        <v>240</v>
      </c>
      <c r="C318" s="5">
        <v>15.3</v>
      </c>
      <c r="D318" s="4">
        <v>186</v>
      </c>
      <c r="E318" s="5">
        <v>22.57</v>
      </c>
      <c r="F318" s="4">
        <v>53</v>
      </c>
      <c r="G318" s="5">
        <v>7.39</v>
      </c>
      <c r="H318" s="4">
        <v>0</v>
      </c>
    </row>
    <row r="319" spans="1:8" x14ac:dyDescent="0.2">
      <c r="A319" s="2" t="s">
        <v>56</v>
      </c>
      <c r="B319" s="4">
        <v>83</v>
      </c>
      <c r="C319" s="5">
        <v>5.29</v>
      </c>
      <c r="D319" s="4">
        <v>52</v>
      </c>
      <c r="E319" s="5">
        <v>6.31</v>
      </c>
      <c r="F319" s="4">
        <v>17</v>
      </c>
      <c r="G319" s="5">
        <v>2.37</v>
      </c>
      <c r="H319" s="4">
        <v>0</v>
      </c>
    </row>
    <row r="320" spans="1:8" x14ac:dyDescent="0.2">
      <c r="A320" s="2" t="s">
        <v>57</v>
      </c>
      <c r="B320" s="4">
        <v>104</v>
      </c>
      <c r="C320" s="5">
        <v>6.63</v>
      </c>
      <c r="D320" s="4">
        <v>66</v>
      </c>
      <c r="E320" s="5">
        <v>8.01</v>
      </c>
      <c r="F320" s="4">
        <v>35</v>
      </c>
      <c r="G320" s="5">
        <v>4.88</v>
      </c>
      <c r="H320" s="4">
        <v>0</v>
      </c>
    </row>
    <row r="321" spans="1:8" x14ac:dyDescent="0.2">
      <c r="A321" s="2" t="s">
        <v>58</v>
      </c>
      <c r="B321" s="4">
        <v>54</v>
      </c>
      <c r="C321" s="5">
        <v>3.44</v>
      </c>
      <c r="D321" s="4">
        <v>23</v>
      </c>
      <c r="E321" s="5">
        <v>2.79</v>
      </c>
      <c r="F321" s="4">
        <v>28</v>
      </c>
      <c r="G321" s="5">
        <v>3.91</v>
      </c>
      <c r="H321" s="4">
        <v>1</v>
      </c>
    </row>
    <row r="322" spans="1:8" x14ac:dyDescent="0.2">
      <c r="A322" s="1" t="s">
        <v>20</v>
      </c>
      <c r="B322" s="4">
        <v>29</v>
      </c>
      <c r="C322" s="5">
        <v>100</v>
      </c>
      <c r="D322" s="4">
        <v>17</v>
      </c>
      <c r="E322" s="5">
        <v>100</v>
      </c>
      <c r="F322" s="4">
        <v>3</v>
      </c>
      <c r="G322" s="5">
        <v>99.99</v>
      </c>
      <c r="H322" s="4">
        <v>2</v>
      </c>
    </row>
    <row r="323" spans="1:8" x14ac:dyDescent="0.2">
      <c r="A323" s="2" t="s">
        <v>44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45</v>
      </c>
      <c r="B324" s="4">
        <v>0</v>
      </c>
      <c r="C324" s="5">
        <v>0</v>
      </c>
      <c r="D324" s="4">
        <v>0</v>
      </c>
      <c r="E324" s="5">
        <v>0</v>
      </c>
      <c r="F324" s="4">
        <v>0</v>
      </c>
      <c r="G324" s="5">
        <v>0</v>
      </c>
      <c r="H324" s="4">
        <v>0</v>
      </c>
    </row>
    <row r="325" spans="1:8" x14ac:dyDescent="0.2">
      <c r="A325" s="2" t="s">
        <v>46</v>
      </c>
      <c r="B325" s="4">
        <v>3</v>
      </c>
      <c r="C325" s="5">
        <v>10.34</v>
      </c>
      <c r="D325" s="4">
        <v>0</v>
      </c>
      <c r="E325" s="5">
        <v>0</v>
      </c>
      <c r="F325" s="4">
        <v>1</v>
      </c>
      <c r="G325" s="5">
        <v>33.33</v>
      </c>
      <c r="H325" s="4">
        <v>1</v>
      </c>
    </row>
    <row r="326" spans="1:8" x14ac:dyDescent="0.2">
      <c r="A326" s="2" t="s">
        <v>47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48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49</v>
      </c>
      <c r="B328" s="4">
        <v>2</v>
      </c>
      <c r="C328" s="5">
        <v>6.9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x14ac:dyDescent="0.2">
      <c r="A329" s="2" t="s">
        <v>50</v>
      </c>
      <c r="B329" s="4">
        <v>8</v>
      </c>
      <c r="C329" s="5">
        <v>27.59</v>
      </c>
      <c r="D329" s="4">
        <v>6</v>
      </c>
      <c r="E329" s="5">
        <v>35.29</v>
      </c>
      <c r="F329" s="4">
        <v>1</v>
      </c>
      <c r="G329" s="5">
        <v>33.33</v>
      </c>
      <c r="H329" s="4">
        <v>1</v>
      </c>
    </row>
    <row r="330" spans="1:8" x14ac:dyDescent="0.2">
      <c r="A330" s="2" t="s">
        <v>51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52</v>
      </c>
      <c r="B331" s="4">
        <v>0</v>
      </c>
      <c r="C331" s="5">
        <v>0</v>
      </c>
      <c r="D331" s="4">
        <v>0</v>
      </c>
      <c r="E331" s="5">
        <v>0</v>
      </c>
      <c r="F331" s="4">
        <v>0</v>
      </c>
      <c r="G331" s="5">
        <v>0</v>
      </c>
      <c r="H331" s="4">
        <v>0</v>
      </c>
    </row>
    <row r="332" spans="1:8" x14ac:dyDescent="0.2">
      <c r="A332" s="2" t="s">
        <v>53</v>
      </c>
      <c r="B332" s="4">
        <v>1</v>
      </c>
      <c r="C332" s="5">
        <v>3.45</v>
      </c>
      <c r="D332" s="4">
        <v>0</v>
      </c>
      <c r="E332" s="5">
        <v>0</v>
      </c>
      <c r="F332" s="4">
        <v>1</v>
      </c>
      <c r="G332" s="5">
        <v>33.33</v>
      </c>
      <c r="H332" s="4">
        <v>0</v>
      </c>
    </row>
    <row r="333" spans="1:8" x14ac:dyDescent="0.2">
      <c r="A333" s="2" t="s">
        <v>54</v>
      </c>
      <c r="B333" s="4">
        <v>11</v>
      </c>
      <c r="C333" s="5">
        <v>37.93</v>
      </c>
      <c r="D333" s="4">
        <v>11</v>
      </c>
      <c r="E333" s="5">
        <v>64.709999999999994</v>
      </c>
      <c r="F333" s="4">
        <v>0</v>
      </c>
      <c r="G333" s="5">
        <v>0</v>
      </c>
      <c r="H333" s="4">
        <v>0</v>
      </c>
    </row>
    <row r="334" spans="1:8" x14ac:dyDescent="0.2">
      <c r="A334" s="2" t="s">
        <v>55</v>
      </c>
      <c r="B334" s="4">
        <v>0</v>
      </c>
      <c r="C334" s="5">
        <v>0</v>
      </c>
      <c r="D334" s="4">
        <v>0</v>
      </c>
      <c r="E334" s="5">
        <v>0</v>
      </c>
      <c r="F334" s="4">
        <v>0</v>
      </c>
      <c r="G334" s="5">
        <v>0</v>
      </c>
      <c r="H334" s="4">
        <v>0</v>
      </c>
    </row>
    <row r="335" spans="1:8" x14ac:dyDescent="0.2">
      <c r="A335" s="2" t="s">
        <v>56</v>
      </c>
      <c r="B335" s="4">
        <v>0</v>
      </c>
      <c r="C335" s="5">
        <v>0</v>
      </c>
      <c r="D335" s="4">
        <v>0</v>
      </c>
      <c r="E335" s="5">
        <v>0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57</v>
      </c>
      <c r="B336" s="4">
        <v>0</v>
      </c>
      <c r="C336" s="5">
        <v>0</v>
      </c>
      <c r="D336" s="4">
        <v>0</v>
      </c>
      <c r="E336" s="5">
        <v>0</v>
      </c>
      <c r="F336" s="4">
        <v>0</v>
      </c>
      <c r="G336" s="5">
        <v>0</v>
      </c>
      <c r="H336" s="4">
        <v>0</v>
      </c>
    </row>
    <row r="337" spans="1:8" x14ac:dyDescent="0.2">
      <c r="A337" s="2" t="s">
        <v>58</v>
      </c>
      <c r="B337" s="4">
        <v>4</v>
      </c>
      <c r="C337" s="5">
        <v>13.79</v>
      </c>
      <c r="D337" s="4">
        <v>0</v>
      </c>
      <c r="E337" s="5">
        <v>0</v>
      </c>
      <c r="F337" s="4">
        <v>0</v>
      </c>
      <c r="G337" s="5">
        <v>0</v>
      </c>
      <c r="H337" s="4">
        <v>0</v>
      </c>
    </row>
    <row r="338" spans="1:8" x14ac:dyDescent="0.2">
      <c r="A338" s="1" t="s">
        <v>21</v>
      </c>
      <c r="B338" s="4">
        <v>48</v>
      </c>
      <c r="C338" s="5">
        <v>100</v>
      </c>
      <c r="D338" s="4">
        <v>32</v>
      </c>
      <c r="E338" s="5">
        <v>100.00999999999999</v>
      </c>
      <c r="F338" s="4">
        <v>6</v>
      </c>
      <c r="G338" s="5">
        <v>100.01</v>
      </c>
      <c r="H338" s="4">
        <v>0</v>
      </c>
    </row>
    <row r="339" spans="1:8" x14ac:dyDescent="0.2">
      <c r="A339" s="2" t="s">
        <v>44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45</v>
      </c>
      <c r="B340" s="4">
        <v>0</v>
      </c>
      <c r="C340" s="5">
        <v>0</v>
      </c>
      <c r="D340" s="4">
        <v>0</v>
      </c>
      <c r="E340" s="5">
        <v>0</v>
      </c>
      <c r="F340" s="4">
        <v>0</v>
      </c>
      <c r="G340" s="5">
        <v>0</v>
      </c>
      <c r="H340" s="4">
        <v>0</v>
      </c>
    </row>
    <row r="341" spans="1:8" x14ac:dyDescent="0.2">
      <c r="A341" s="2" t="s">
        <v>46</v>
      </c>
      <c r="B341" s="4">
        <v>6</v>
      </c>
      <c r="C341" s="5">
        <v>12.5</v>
      </c>
      <c r="D341" s="4">
        <v>2</v>
      </c>
      <c r="E341" s="5">
        <v>6.25</v>
      </c>
      <c r="F341" s="4">
        <v>4</v>
      </c>
      <c r="G341" s="5">
        <v>66.67</v>
      </c>
      <c r="H341" s="4">
        <v>0</v>
      </c>
    </row>
    <row r="342" spans="1:8" x14ac:dyDescent="0.2">
      <c r="A342" s="2" t="s">
        <v>47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48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2">
      <c r="A344" s="2" t="s">
        <v>49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2">
      <c r="A345" s="2" t="s">
        <v>50</v>
      </c>
      <c r="B345" s="4">
        <v>4</v>
      </c>
      <c r="C345" s="5">
        <v>8.33</v>
      </c>
      <c r="D345" s="4">
        <v>3</v>
      </c>
      <c r="E345" s="5">
        <v>9.3800000000000008</v>
      </c>
      <c r="F345" s="4">
        <v>1</v>
      </c>
      <c r="G345" s="5">
        <v>16.670000000000002</v>
      </c>
      <c r="H345" s="4">
        <v>0</v>
      </c>
    </row>
    <row r="346" spans="1:8" x14ac:dyDescent="0.2">
      <c r="A346" s="2" t="s">
        <v>51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52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2">
      <c r="A348" s="2" t="s">
        <v>53</v>
      </c>
      <c r="B348" s="4">
        <v>0</v>
      </c>
      <c r="C348" s="5">
        <v>0</v>
      </c>
      <c r="D348" s="4">
        <v>0</v>
      </c>
      <c r="E348" s="5">
        <v>0</v>
      </c>
      <c r="F348" s="4">
        <v>0</v>
      </c>
      <c r="G348" s="5">
        <v>0</v>
      </c>
      <c r="H348" s="4">
        <v>0</v>
      </c>
    </row>
    <row r="349" spans="1:8" x14ac:dyDescent="0.2">
      <c r="A349" s="2" t="s">
        <v>54</v>
      </c>
      <c r="B349" s="4">
        <v>27</v>
      </c>
      <c r="C349" s="5">
        <v>56.25</v>
      </c>
      <c r="D349" s="4">
        <v>27</v>
      </c>
      <c r="E349" s="5">
        <v>84.38</v>
      </c>
      <c r="F349" s="4">
        <v>0</v>
      </c>
      <c r="G349" s="5">
        <v>0</v>
      </c>
      <c r="H349" s="4">
        <v>0</v>
      </c>
    </row>
    <row r="350" spans="1:8" x14ac:dyDescent="0.2">
      <c r="A350" s="2" t="s">
        <v>55</v>
      </c>
      <c r="B350" s="4">
        <v>0</v>
      </c>
      <c r="C350" s="5">
        <v>0</v>
      </c>
      <c r="D350" s="4">
        <v>0</v>
      </c>
      <c r="E350" s="5">
        <v>0</v>
      </c>
      <c r="F350" s="4">
        <v>0</v>
      </c>
      <c r="G350" s="5">
        <v>0</v>
      </c>
      <c r="H350" s="4">
        <v>0</v>
      </c>
    </row>
    <row r="351" spans="1:8" x14ac:dyDescent="0.2">
      <c r="A351" s="2" t="s">
        <v>56</v>
      </c>
      <c r="B351" s="4">
        <v>0</v>
      </c>
      <c r="C351" s="5">
        <v>0</v>
      </c>
      <c r="D351" s="4">
        <v>0</v>
      </c>
      <c r="E351" s="5">
        <v>0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57</v>
      </c>
      <c r="B352" s="4">
        <v>11</v>
      </c>
      <c r="C352" s="5">
        <v>22.92</v>
      </c>
      <c r="D352" s="4">
        <v>0</v>
      </c>
      <c r="E352" s="5">
        <v>0</v>
      </c>
      <c r="F352" s="4">
        <v>1</v>
      </c>
      <c r="G352" s="5">
        <v>16.670000000000002</v>
      </c>
      <c r="H352" s="4">
        <v>0</v>
      </c>
    </row>
    <row r="353" spans="1:8" x14ac:dyDescent="0.2">
      <c r="A353" s="2" t="s">
        <v>58</v>
      </c>
      <c r="B353" s="4">
        <v>0</v>
      </c>
      <c r="C353" s="5">
        <v>0</v>
      </c>
      <c r="D353" s="4">
        <v>0</v>
      </c>
      <c r="E353" s="5">
        <v>0</v>
      </c>
      <c r="F353" s="4">
        <v>0</v>
      </c>
      <c r="G353" s="5">
        <v>0</v>
      </c>
      <c r="H353" s="4">
        <v>0</v>
      </c>
    </row>
    <row r="354" spans="1:8" x14ac:dyDescent="0.2">
      <c r="A354" s="1" t="s">
        <v>22</v>
      </c>
      <c r="B354" s="4">
        <v>670</v>
      </c>
      <c r="C354" s="5">
        <v>100.00999999999999</v>
      </c>
      <c r="D354" s="4">
        <v>438</v>
      </c>
      <c r="E354" s="5">
        <v>100</v>
      </c>
      <c r="F354" s="4">
        <v>215</v>
      </c>
      <c r="G354" s="5">
        <v>100.01</v>
      </c>
      <c r="H354" s="4">
        <v>6</v>
      </c>
    </row>
    <row r="355" spans="1:8" x14ac:dyDescent="0.2">
      <c r="A355" s="2" t="s">
        <v>44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45</v>
      </c>
      <c r="B356" s="4">
        <v>71</v>
      </c>
      <c r="C356" s="5">
        <v>10.6</v>
      </c>
      <c r="D356" s="4">
        <v>36</v>
      </c>
      <c r="E356" s="5">
        <v>8.2200000000000006</v>
      </c>
      <c r="F356" s="4">
        <v>35</v>
      </c>
      <c r="G356" s="5">
        <v>16.28</v>
      </c>
      <c r="H356" s="4">
        <v>0</v>
      </c>
    </row>
    <row r="357" spans="1:8" x14ac:dyDescent="0.2">
      <c r="A357" s="2" t="s">
        <v>46</v>
      </c>
      <c r="B357" s="4">
        <v>76</v>
      </c>
      <c r="C357" s="5">
        <v>11.34</v>
      </c>
      <c r="D357" s="4">
        <v>40</v>
      </c>
      <c r="E357" s="5">
        <v>9.1300000000000008</v>
      </c>
      <c r="F357" s="4">
        <v>36</v>
      </c>
      <c r="G357" s="5">
        <v>16.739999999999998</v>
      </c>
      <c r="H357" s="4">
        <v>0</v>
      </c>
    </row>
    <row r="358" spans="1:8" x14ac:dyDescent="0.2">
      <c r="A358" s="2" t="s">
        <v>47</v>
      </c>
      <c r="B358" s="4">
        <v>3</v>
      </c>
      <c r="C358" s="5">
        <v>0.45</v>
      </c>
      <c r="D358" s="4">
        <v>0</v>
      </c>
      <c r="E358" s="5">
        <v>0</v>
      </c>
      <c r="F358" s="4">
        <v>3</v>
      </c>
      <c r="G358" s="5">
        <v>1.4</v>
      </c>
      <c r="H358" s="4">
        <v>0</v>
      </c>
    </row>
    <row r="359" spans="1:8" x14ac:dyDescent="0.2">
      <c r="A359" s="2" t="s">
        <v>48</v>
      </c>
      <c r="B359" s="4">
        <v>1</v>
      </c>
      <c r="C359" s="5">
        <v>0.15</v>
      </c>
      <c r="D359" s="4">
        <v>0</v>
      </c>
      <c r="E359" s="5">
        <v>0</v>
      </c>
      <c r="F359" s="4">
        <v>1</v>
      </c>
      <c r="G359" s="5">
        <v>0.47</v>
      </c>
      <c r="H359" s="4">
        <v>0</v>
      </c>
    </row>
    <row r="360" spans="1:8" x14ac:dyDescent="0.2">
      <c r="A360" s="2" t="s">
        <v>49</v>
      </c>
      <c r="B360" s="4">
        <v>4</v>
      </c>
      <c r="C360" s="5">
        <v>0.6</v>
      </c>
      <c r="D360" s="4">
        <v>0</v>
      </c>
      <c r="E360" s="5">
        <v>0</v>
      </c>
      <c r="F360" s="4">
        <v>4</v>
      </c>
      <c r="G360" s="5">
        <v>1.86</v>
      </c>
      <c r="H360" s="4">
        <v>0</v>
      </c>
    </row>
    <row r="361" spans="1:8" x14ac:dyDescent="0.2">
      <c r="A361" s="2" t="s">
        <v>50</v>
      </c>
      <c r="B361" s="4">
        <v>184</v>
      </c>
      <c r="C361" s="5">
        <v>27.46</v>
      </c>
      <c r="D361" s="4">
        <v>118</v>
      </c>
      <c r="E361" s="5">
        <v>26.94</v>
      </c>
      <c r="F361" s="4">
        <v>64</v>
      </c>
      <c r="G361" s="5">
        <v>29.77</v>
      </c>
      <c r="H361" s="4">
        <v>2</v>
      </c>
    </row>
    <row r="362" spans="1:8" x14ac:dyDescent="0.2">
      <c r="A362" s="2" t="s">
        <v>51</v>
      </c>
      <c r="B362" s="4">
        <v>6</v>
      </c>
      <c r="C362" s="5">
        <v>0.9</v>
      </c>
      <c r="D362" s="4">
        <v>0</v>
      </c>
      <c r="E362" s="5">
        <v>0</v>
      </c>
      <c r="F362" s="4">
        <v>6</v>
      </c>
      <c r="G362" s="5">
        <v>2.79</v>
      </c>
      <c r="H362" s="4">
        <v>0</v>
      </c>
    </row>
    <row r="363" spans="1:8" x14ac:dyDescent="0.2">
      <c r="A363" s="2" t="s">
        <v>52</v>
      </c>
      <c r="B363" s="4">
        <v>28</v>
      </c>
      <c r="C363" s="5">
        <v>4.18</v>
      </c>
      <c r="D363" s="4">
        <v>16</v>
      </c>
      <c r="E363" s="5">
        <v>3.65</v>
      </c>
      <c r="F363" s="4">
        <v>12</v>
      </c>
      <c r="G363" s="5">
        <v>5.58</v>
      </c>
      <c r="H363" s="4">
        <v>0</v>
      </c>
    </row>
    <row r="364" spans="1:8" x14ac:dyDescent="0.2">
      <c r="A364" s="2" t="s">
        <v>53</v>
      </c>
      <c r="B364" s="4">
        <v>29</v>
      </c>
      <c r="C364" s="5">
        <v>4.33</v>
      </c>
      <c r="D364" s="4">
        <v>14</v>
      </c>
      <c r="E364" s="5">
        <v>3.2</v>
      </c>
      <c r="F364" s="4">
        <v>14</v>
      </c>
      <c r="G364" s="5">
        <v>6.51</v>
      </c>
      <c r="H364" s="4">
        <v>0</v>
      </c>
    </row>
    <row r="365" spans="1:8" x14ac:dyDescent="0.2">
      <c r="A365" s="2" t="s">
        <v>54</v>
      </c>
      <c r="B365" s="4">
        <v>81</v>
      </c>
      <c r="C365" s="5">
        <v>12.09</v>
      </c>
      <c r="D365" s="4">
        <v>71</v>
      </c>
      <c r="E365" s="5">
        <v>16.21</v>
      </c>
      <c r="F365" s="4">
        <v>8</v>
      </c>
      <c r="G365" s="5">
        <v>3.72</v>
      </c>
      <c r="H365" s="4">
        <v>1</v>
      </c>
    </row>
    <row r="366" spans="1:8" x14ac:dyDescent="0.2">
      <c r="A366" s="2" t="s">
        <v>55</v>
      </c>
      <c r="B366" s="4">
        <v>109</v>
      </c>
      <c r="C366" s="5">
        <v>16.27</v>
      </c>
      <c r="D366" s="4">
        <v>94</v>
      </c>
      <c r="E366" s="5">
        <v>21.46</v>
      </c>
      <c r="F366" s="4">
        <v>13</v>
      </c>
      <c r="G366" s="5">
        <v>6.05</v>
      </c>
      <c r="H366" s="4">
        <v>1</v>
      </c>
    </row>
    <row r="367" spans="1:8" x14ac:dyDescent="0.2">
      <c r="A367" s="2" t="s">
        <v>56</v>
      </c>
      <c r="B367" s="4">
        <v>26</v>
      </c>
      <c r="C367" s="5">
        <v>3.88</v>
      </c>
      <c r="D367" s="4">
        <v>18</v>
      </c>
      <c r="E367" s="5">
        <v>4.1100000000000003</v>
      </c>
      <c r="F367" s="4">
        <v>2</v>
      </c>
      <c r="G367" s="5">
        <v>0.93</v>
      </c>
      <c r="H367" s="4">
        <v>1</v>
      </c>
    </row>
    <row r="368" spans="1:8" x14ac:dyDescent="0.2">
      <c r="A368" s="2" t="s">
        <v>57</v>
      </c>
      <c r="B368" s="4">
        <v>24</v>
      </c>
      <c r="C368" s="5">
        <v>3.58</v>
      </c>
      <c r="D368" s="4">
        <v>13</v>
      </c>
      <c r="E368" s="5">
        <v>2.97</v>
      </c>
      <c r="F368" s="4">
        <v>8</v>
      </c>
      <c r="G368" s="5">
        <v>3.72</v>
      </c>
      <c r="H368" s="4">
        <v>1</v>
      </c>
    </row>
    <row r="369" spans="1:8" x14ac:dyDescent="0.2">
      <c r="A369" s="2" t="s">
        <v>58</v>
      </c>
      <c r="B369" s="4">
        <v>28</v>
      </c>
      <c r="C369" s="5">
        <v>4.18</v>
      </c>
      <c r="D369" s="4">
        <v>18</v>
      </c>
      <c r="E369" s="5">
        <v>4.1100000000000003</v>
      </c>
      <c r="F369" s="4">
        <v>9</v>
      </c>
      <c r="G369" s="5">
        <v>4.1900000000000004</v>
      </c>
      <c r="H369" s="4">
        <v>0</v>
      </c>
    </row>
    <row r="370" spans="1:8" x14ac:dyDescent="0.2">
      <c r="A370" s="1" t="s">
        <v>23</v>
      </c>
      <c r="B370" s="4">
        <v>264</v>
      </c>
      <c r="C370" s="5">
        <v>100.01</v>
      </c>
      <c r="D370" s="4">
        <v>154</v>
      </c>
      <c r="E370" s="5">
        <v>100.01</v>
      </c>
      <c r="F370" s="4">
        <v>103</v>
      </c>
      <c r="G370" s="5">
        <v>99.989999999999981</v>
      </c>
      <c r="H370" s="4">
        <v>2</v>
      </c>
    </row>
    <row r="371" spans="1:8" x14ac:dyDescent="0.2">
      <c r="A371" s="2" t="s">
        <v>44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45</v>
      </c>
      <c r="B372" s="4">
        <v>49</v>
      </c>
      <c r="C372" s="5">
        <v>18.559999999999999</v>
      </c>
      <c r="D372" s="4">
        <v>19</v>
      </c>
      <c r="E372" s="5">
        <v>12.34</v>
      </c>
      <c r="F372" s="4">
        <v>30</v>
      </c>
      <c r="G372" s="5">
        <v>29.13</v>
      </c>
      <c r="H372" s="4">
        <v>0</v>
      </c>
    </row>
    <row r="373" spans="1:8" x14ac:dyDescent="0.2">
      <c r="A373" s="2" t="s">
        <v>46</v>
      </c>
      <c r="B373" s="4">
        <v>36</v>
      </c>
      <c r="C373" s="5">
        <v>13.64</v>
      </c>
      <c r="D373" s="4">
        <v>13</v>
      </c>
      <c r="E373" s="5">
        <v>8.44</v>
      </c>
      <c r="F373" s="4">
        <v>21</v>
      </c>
      <c r="G373" s="5">
        <v>20.39</v>
      </c>
      <c r="H373" s="4">
        <v>2</v>
      </c>
    </row>
    <row r="374" spans="1:8" x14ac:dyDescent="0.2">
      <c r="A374" s="2" t="s">
        <v>47</v>
      </c>
      <c r="B374" s="4">
        <v>2</v>
      </c>
      <c r="C374" s="5">
        <v>0.76</v>
      </c>
      <c r="D374" s="4">
        <v>0</v>
      </c>
      <c r="E374" s="5">
        <v>0</v>
      </c>
      <c r="F374" s="4">
        <v>2</v>
      </c>
      <c r="G374" s="5">
        <v>1.94</v>
      </c>
      <c r="H374" s="4">
        <v>0</v>
      </c>
    </row>
    <row r="375" spans="1:8" x14ac:dyDescent="0.2">
      <c r="A375" s="2" t="s">
        <v>48</v>
      </c>
      <c r="B375" s="4">
        <v>1</v>
      </c>
      <c r="C375" s="5">
        <v>0.38</v>
      </c>
      <c r="D375" s="4">
        <v>0</v>
      </c>
      <c r="E375" s="5">
        <v>0</v>
      </c>
      <c r="F375" s="4">
        <v>1</v>
      </c>
      <c r="G375" s="5">
        <v>0.97</v>
      </c>
      <c r="H375" s="4">
        <v>0</v>
      </c>
    </row>
    <row r="376" spans="1:8" x14ac:dyDescent="0.2">
      <c r="A376" s="2" t="s">
        <v>49</v>
      </c>
      <c r="B376" s="4">
        <v>7</v>
      </c>
      <c r="C376" s="5">
        <v>2.65</v>
      </c>
      <c r="D376" s="4">
        <v>3</v>
      </c>
      <c r="E376" s="5">
        <v>1.95</v>
      </c>
      <c r="F376" s="4">
        <v>4</v>
      </c>
      <c r="G376" s="5">
        <v>3.88</v>
      </c>
      <c r="H376" s="4">
        <v>0</v>
      </c>
    </row>
    <row r="377" spans="1:8" x14ac:dyDescent="0.2">
      <c r="A377" s="2" t="s">
        <v>50</v>
      </c>
      <c r="B377" s="4">
        <v>76</v>
      </c>
      <c r="C377" s="5">
        <v>28.79</v>
      </c>
      <c r="D377" s="4">
        <v>50</v>
      </c>
      <c r="E377" s="5">
        <v>32.47</v>
      </c>
      <c r="F377" s="4">
        <v>26</v>
      </c>
      <c r="G377" s="5">
        <v>25.24</v>
      </c>
      <c r="H377" s="4">
        <v>0</v>
      </c>
    </row>
    <row r="378" spans="1:8" x14ac:dyDescent="0.2">
      <c r="A378" s="2" t="s">
        <v>51</v>
      </c>
      <c r="B378" s="4">
        <v>1</v>
      </c>
      <c r="C378" s="5">
        <v>0.38</v>
      </c>
      <c r="D378" s="4">
        <v>0</v>
      </c>
      <c r="E378" s="5">
        <v>0</v>
      </c>
      <c r="F378" s="4">
        <v>1</v>
      </c>
      <c r="G378" s="5">
        <v>0.97</v>
      </c>
      <c r="H378" s="4">
        <v>0</v>
      </c>
    </row>
    <row r="379" spans="1:8" x14ac:dyDescent="0.2">
      <c r="A379" s="2" t="s">
        <v>52</v>
      </c>
      <c r="B379" s="4">
        <v>5</v>
      </c>
      <c r="C379" s="5">
        <v>1.89</v>
      </c>
      <c r="D379" s="4">
        <v>3</v>
      </c>
      <c r="E379" s="5">
        <v>1.95</v>
      </c>
      <c r="F379" s="4">
        <v>2</v>
      </c>
      <c r="G379" s="5">
        <v>1.94</v>
      </c>
      <c r="H379" s="4">
        <v>0</v>
      </c>
    </row>
    <row r="380" spans="1:8" x14ac:dyDescent="0.2">
      <c r="A380" s="2" t="s">
        <v>53</v>
      </c>
      <c r="B380" s="4">
        <v>8</v>
      </c>
      <c r="C380" s="5">
        <v>3.03</v>
      </c>
      <c r="D380" s="4">
        <v>6</v>
      </c>
      <c r="E380" s="5">
        <v>3.9</v>
      </c>
      <c r="F380" s="4">
        <v>2</v>
      </c>
      <c r="G380" s="5">
        <v>1.94</v>
      </c>
      <c r="H380" s="4">
        <v>0</v>
      </c>
    </row>
    <row r="381" spans="1:8" x14ac:dyDescent="0.2">
      <c r="A381" s="2" t="s">
        <v>54</v>
      </c>
      <c r="B381" s="4">
        <v>26</v>
      </c>
      <c r="C381" s="5">
        <v>9.85</v>
      </c>
      <c r="D381" s="4">
        <v>22</v>
      </c>
      <c r="E381" s="5">
        <v>14.29</v>
      </c>
      <c r="F381" s="4">
        <v>4</v>
      </c>
      <c r="G381" s="5">
        <v>3.88</v>
      </c>
      <c r="H381" s="4">
        <v>0</v>
      </c>
    </row>
    <row r="382" spans="1:8" x14ac:dyDescent="0.2">
      <c r="A382" s="2" t="s">
        <v>55</v>
      </c>
      <c r="B382" s="4">
        <v>27</v>
      </c>
      <c r="C382" s="5">
        <v>10.23</v>
      </c>
      <c r="D382" s="4">
        <v>26</v>
      </c>
      <c r="E382" s="5">
        <v>16.88</v>
      </c>
      <c r="F382" s="4">
        <v>1</v>
      </c>
      <c r="G382" s="5">
        <v>0.97</v>
      </c>
      <c r="H382" s="4">
        <v>0</v>
      </c>
    </row>
    <row r="383" spans="1:8" x14ac:dyDescent="0.2">
      <c r="A383" s="2" t="s">
        <v>56</v>
      </c>
      <c r="B383" s="4">
        <v>3</v>
      </c>
      <c r="C383" s="5">
        <v>1.1399999999999999</v>
      </c>
      <c r="D383" s="4">
        <v>0</v>
      </c>
      <c r="E383" s="5">
        <v>0</v>
      </c>
      <c r="F383" s="4">
        <v>0</v>
      </c>
      <c r="G383" s="5">
        <v>0</v>
      </c>
      <c r="H383" s="4">
        <v>0</v>
      </c>
    </row>
    <row r="384" spans="1:8" x14ac:dyDescent="0.2">
      <c r="A384" s="2" t="s">
        <v>57</v>
      </c>
      <c r="B384" s="4">
        <v>7</v>
      </c>
      <c r="C384" s="5">
        <v>2.65</v>
      </c>
      <c r="D384" s="4">
        <v>3</v>
      </c>
      <c r="E384" s="5">
        <v>1.95</v>
      </c>
      <c r="F384" s="4">
        <v>2</v>
      </c>
      <c r="G384" s="5">
        <v>1.94</v>
      </c>
      <c r="H384" s="4">
        <v>0</v>
      </c>
    </row>
    <row r="385" spans="1:8" x14ac:dyDescent="0.2">
      <c r="A385" s="2" t="s">
        <v>58</v>
      </c>
      <c r="B385" s="4">
        <v>16</v>
      </c>
      <c r="C385" s="5">
        <v>6.06</v>
      </c>
      <c r="D385" s="4">
        <v>9</v>
      </c>
      <c r="E385" s="5">
        <v>5.84</v>
      </c>
      <c r="F385" s="4">
        <v>7</v>
      </c>
      <c r="G385" s="5">
        <v>6.8</v>
      </c>
      <c r="H385" s="4">
        <v>0</v>
      </c>
    </row>
    <row r="386" spans="1:8" x14ac:dyDescent="0.2">
      <c r="A386" s="1" t="s">
        <v>24</v>
      </c>
      <c r="B386" s="4">
        <v>286</v>
      </c>
      <c r="C386" s="5">
        <v>100.02999999999999</v>
      </c>
      <c r="D386" s="4">
        <v>177</v>
      </c>
      <c r="E386" s="5">
        <v>99.96</v>
      </c>
      <c r="F386" s="4">
        <v>105</v>
      </c>
      <c r="G386" s="5">
        <v>99.980000000000018</v>
      </c>
      <c r="H386" s="4">
        <v>1</v>
      </c>
    </row>
    <row r="387" spans="1:8" x14ac:dyDescent="0.2">
      <c r="A387" s="2" t="s">
        <v>44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45</v>
      </c>
      <c r="B388" s="4">
        <v>38</v>
      </c>
      <c r="C388" s="5">
        <v>13.29</v>
      </c>
      <c r="D388" s="4">
        <v>9</v>
      </c>
      <c r="E388" s="5">
        <v>5.08</v>
      </c>
      <c r="F388" s="4">
        <v>29</v>
      </c>
      <c r="G388" s="5">
        <v>27.62</v>
      </c>
      <c r="H388" s="4">
        <v>0</v>
      </c>
    </row>
    <row r="389" spans="1:8" x14ac:dyDescent="0.2">
      <c r="A389" s="2" t="s">
        <v>46</v>
      </c>
      <c r="B389" s="4">
        <v>29</v>
      </c>
      <c r="C389" s="5">
        <v>10.14</v>
      </c>
      <c r="D389" s="4">
        <v>17</v>
      </c>
      <c r="E389" s="5">
        <v>9.6</v>
      </c>
      <c r="F389" s="4">
        <v>12</v>
      </c>
      <c r="G389" s="5">
        <v>11.43</v>
      </c>
      <c r="H389" s="4">
        <v>0</v>
      </c>
    </row>
    <row r="390" spans="1:8" x14ac:dyDescent="0.2">
      <c r="A390" s="2" t="s">
        <v>47</v>
      </c>
      <c r="B390" s="4">
        <v>3</v>
      </c>
      <c r="C390" s="5">
        <v>1.05</v>
      </c>
      <c r="D390" s="4">
        <v>0</v>
      </c>
      <c r="E390" s="5">
        <v>0</v>
      </c>
      <c r="F390" s="4">
        <v>2</v>
      </c>
      <c r="G390" s="5">
        <v>1.9</v>
      </c>
      <c r="H390" s="4">
        <v>0</v>
      </c>
    </row>
    <row r="391" spans="1:8" x14ac:dyDescent="0.2">
      <c r="A391" s="2" t="s">
        <v>48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49</v>
      </c>
      <c r="B392" s="4">
        <v>4</v>
      </c>
      <c r="C392" s="5">
        <v>1.4</v>
      </c>
      <c r="D392" s="4">
        <v>1</v>
      </c>
      <c r="E392" s="5">
        <v>0.56000000000000005</v>
      </c>
      <c r="F392" s="4">
        <v>2</v>
      </c>
      <c r="G392" s="5">
        <v>1.9</v>
      </c>
      <c r="H392" s="4">
        <v>1</v>
      </c>
    </row>
    <row r="393" spans="1:8" x14ac:dyDescent="0.2">
      <c r="A393" s="2" t="s">
        <v>50</v>
      </c>
      <c r="B393" s="4">
        <v>90</v>
      </c>
      <c r="C393" s="5">
        <v>31.47</v>
      </c>
      <c r="D393" s="4">
        <v>53</v>
      </c>
      <c r="E393" s="5">
        <v>29.94</v>
      </c>
      <c r="F393" s="4">
        <v>37</v>
      </c>
      <c r="G393" s="5">
        <v>35.24</v>
      </c>
      <c r="H393" s="4">
        <v>0</v>
      </c>
    </row>
    <row r="394" spans="1:8" x14ac:dyDescent="0.2">
      <c r="A394" s="2" t="s">
        <v>51</v>
      </c>
      <c r="B394" s="4">
        <v>2</v>
      </c>
      <c r="C394" s="5">
        <v>0.7</v>
      </c>
      <c r="D394" s="4">
        <v>1</v>
      </c>
      <c r="E394" s="5">
        <v>0.56000000000000005</v>
      </c>
      <c r="F394" s="4">
        <v>1</v>
      </c>
      <c r="G394" s="5">
        <v>0.95</v>
      </c>
      <c r="H394" s="4">
        <v>0</v>
      </c>
    </row>
    <row r="395" spans="1:8" x14ac:dyDescent="0.2">
      <c r="A395" s="2" t="s">
        <v>52</v>
      </c>
      <c r="B395" s="4">
        <v>8</v>
      </c>
      <c r="C395" s="5">
        <v>2.8</v>
      </c>
      <c r="D395" s="4">
        <v>6</v>
      </c>
      <c r="E395" s="5">
        <v>3.39</v>
      </c>
      <c r="F395" s="4">
        <v>2</v>
      </c>
      <c r="G395" s="5">
        <v>1.9</v>
      </c>
      <c r="H395" s="4">
        <v>0</v>
      </c>
    </row>
    <row r="396" spans="1:8" x14ac:dyDescent="0.2">
      <c r="A396" s="2" t="s">
        <v>53</v>
      </c>
      <c r="B396" s="4">
        <v>11</v>
      </c>
      <c r="C396" s="5">
        <v>3.85</v>
      </c>
      <c r="D396" s="4">
        <v>9</v>
      </c>
      <c r="E396" s="5">
        <v>5.08</v>
      </c>
      <c r="F396" s="4">
        <v>2</v>
      </c>
      <c r="G396" s="5">
        <v>1.9</v>
      </c>
      <c r="H396" s="4">
        <v>0</v>
      </c>
    </row>
    <row r="397" spans="1:8" x14ac:dyDescent="0.2">
      <c r="A397" s="2" t="s">
        <v>54</v>
      </c>
      <c r="B397" s="4">
        <v>29</v>
      </c>
      <c r="C397" s="5">
        <v>10.14</v>
      </c>
      <c r="D397" s="4">
        <v>22</v>
      </c>
      <c r="E397" s="5">
        <v>12.43</v>
      </c>
      <c r="F397" s="4">
        <v>6</v>
      </c>
      <c r="G397" s="5">
        <v>5.71</v>
      </c>
      <c r="H397" s="4">
        <v>0</v>
      </c>
    </row>
    <row r="398" spans="1:8" x14ac:dyDescent="0.2">
      <c r="A398" s="2" t="s">
        <v>55</v>
      </c>
      <c r="B398" s="4">
        <v>37</v>
      </c>
      <c r="C398" s="5">
        <v>12.94</v>
      </c>
      <c r="D398" s="4">
        <v>33</v>
      </c>
      <c r="E398" s="5">
        <v>18.64</v>
      </c>
      <c r="F398" s="4">
        <v>4</v>
      </c>
      <c r="G398" s="5">
        <v>3.81</v>
      </c>
      <c r="H398" s="4">
        <v>0</v>
      </c>
    </row>
    <row r="399" spans="1:8" x14ac:dyDescent="0.2">
      <c r="A399" s="2" t="s">
        <v>56</v>
      </c>
      <c r="B399" s="4">
        <v>14</v>
      </c>
      <c r="C399" s="5">
        <v>4.9000000000000004</v>
      </c>
      <c r="D399" s="4">
        <v>13</v>
      </c>
      <c r="E399" s="5">
        <v>7.34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57</v>
      </c>
      <c r="B400" s="4">
        <v>13</v>
      </c>
      <c r="C400" s="5">
        <v>4.55</v>
      </c>
      <c r="D400" s="4">
        <v>8</v>
      </c>
      <c r="E400" s="5">
        <v>4.5199999999999996</v>
      </c>
      <c r="F400" s="4">
        <v>5</v>
      </c>
      <c r="G400" s="5">
        <v>4.76</v>
      </c>
      <c r="H400" s="4">
        <v>0</v>
      </c>
    </row>
    <row r="401" spans="1:8" x14ac:dyDescent="0.2">
      <c r="A401" s="2" t="s">
        <v>58</v>
      </c>
      <c r="B401" s="4">
        <v>8</v>
      </c>
      <c r="C401" s="5">
        <v>2.8</v>
      </c>
      <c r="D401" s="4">
        <v>5</v>
      </c>
      <c r="E401" s="5">
        <v>2.82</v>
      </c>
      <c r="F401" s="4">
        <v>3</v>
      </c>
      <c r="G401" s="5">
        <v>2.86</v>
      </c>
      <c r="H401" s="4">
        <v>0</v>
      </c>
    </row>
    <row r="402" spans="1:8" x14ac:dyDescent="0.2">
      <c r="A402" s="1" t="s">
        <v>25</v>
      </c>
      <c r="B402" s="4">
        <v>332</v>
      </c>
      <c r="C402" s="5">
        <v>99.99</v>
      </c>
      <c r="D402" s="4">
        <v>196</v>
      </c>
      <c r="E402" s="5">
        <v>99.990000000000009</v>
      </c>
      <c r="F402" s="4">
        <v>128</v>
      </c>
      <c r="G402" s="5">
        <v>100.00000000000003</v>
      </c>
      <c r="H402" s="4">
        <v>0</v>
      </c>
    </row>
    <row r="403" spans="1:8" x14ac:dyDescent="0.2">
      <c r="A403" s="2" t="s">
        <v>44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45</v>
      </c>
      <c r="B404" s="4">
        <v>43</v>
      </c>
      <c r="C404" s="5">
        <v>12.95</v>
      </c>
      <c r="D404" s="4">
        <v>15</v>
      </c>
      <c r="E404" s="5">
        <v>7.65</v>
      </c>
      <c r="F404" s="4">
        <v>28</v>
      </c>
      <c r="G404" s="5">
        <v>21.88</v>
      </c>
      <c r="H404" s="4">
        <v>0</v>
      </c>
    </row>
    <row r="405" spans="1:8" x14ac:dyDescent="0.2">
      <c r="A405" s="2" t="s">
        <v>46</v>
      </c>
      <c r="B405" s="4">
        <v>31</v>
      </c>
      <c r="C405" s="5">
        <v>9.34</v>
      </c>
      <c r="D405" s="4">
        <v>11</v>
      </c>
      <c r="E405" s="5">
        <v>5.61</v>
      </c>
      <c r="F405" s="4">
        <v>20</v>
      </c>
      <c r="G405" s="5">
        <v>15.63</v>
      </c>
      <c r="H405" s="4">
        <v>0</v>
      </c>
    </row>
    <row r="406" spans="1:8" x14ac:dyDescent="0.2">
      <c r="A406" s="2" t="s">
        <v>47</v>
      </c>
      <c r="B406" s="4">
        <v>4</v>
      </c>
      <c r="C406" s="5">
        <v>1.2</v>
      </c>
      <c r="D406" s="4">
        <v>0</v>
      </c>
      <c r="E406" s="5">
        <v>0</v>
      </c>
      <c r="F406" s="4">
        <v>4</v>
      </c>
      <c r="G406" s="5">
        <v>3.13</v>
      </c>
      <c r="H406" s="4">
        <v>0</v>
      </c>
    </row>
    <row r="407" spans="1:8" x14ac:dyDescent="0.2">
      <c r="A407" s="2" t="s">
        <v>48</v>
      </c>
      <c r="B407" s="4">
        <v>1</v>
      </c>
      <c r="C407" s="5">
        <v>0.3</v>
      </c>
      <c r="D407" s="4">
        <v>1</v>
      </c>
      <c r="E407" s="5">
        <v>0.51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49</v>
      </c>
      <c r="B408" s="4">
        <v>7</v>
      </c>
      <c r="C408" s="5">
        <v>2.11</v>
      </c>
      <c r="D408" s="4">
        <v>3</v>
      </c>
      <c r="E408" s="5">
        <v>1.53</v>
      </c>
      <c r="F408" s="4">
        <v>4</v>
      </c>
      <c r="G408" s="5">
        <v>3.13</v>
      </c>
      <c r="H408" s="4">
        <v>0</v>
      </c>
    </row>
    <row r="409" spans="1:8" x14ac:dyDescent="0.2">
      <c r="A409" s="2" t="s">
        <v>50</v>
      </c>
      <c r="B409" s="4">
        <v>95</v>
      </c>
      <c r="C409" s="5">
        <v>28.61</v>
      </c>
      <c r="D409" s="4">
        <v>52</v>
      </c>
      <c r="E409" s="5">
        <v>26.53</v>
      </c>
      <c r="F409" s="4">
        <v>43</v>
      </c>
      <c r="G409" s="5">
        <v>33.590000000000003</v>
      </c>
      <c r="H409" s="4">
        <v>0</v>
      </c>
    </row>
    <row r="410" spans="1:8" x14ac:dyDescent="0.2">
      <c r="A410" s="2" t="s">
        <v>51</v>
      </c>
      <c r="B410" s="4">
        <v>2</v>
      </c>
      <c r="C410" s="5">
        <v>0.6</v>
      </c>
      <c r="D410" s="4">
        <v>0</v>
      </c>
      <c r="E410" s="5">
        <v>0</v>
      </c>
      <c r="F410" s="4">
        <v>2</v>
      </c>
      <c r="G410" s="5">
        <v>1.56</v>
      </c>
      <c r="H410" s="4">
        <v>0</v>
      </c>
    </row>
    <row r="411" spans="1:8" x14ac:dyDescent="0.2">
      <c r="A411" s="2" t="s">
        <v>52</v>
      </c>
      <c r="B411" s="4">
        <v>5</v>
      </c>
      <c r="C411" s="5">
        <v>1.51</v>
      </c>
      <c r="D411" s="4">
        <v>2</v>
      </c>
      <c r="E411" s="5">
        <v>1.02</v>
      </c>
      <c r="F411" s="4">
        <v>3</v>
      </c>
      <c r="G411" s="5">
        <v>2.34</v>
      </c>
      <c r="H411" s="4">
        <v>0</v>
      </c>
    </row>
    <row r="412" spans="1:8" x14ac:dyDescent="0.2">
      <c r="A412" s="2" t="s">
        <v>53</v>
      </c>
      <c r="B412" s="4">
        <v>14</v>
      </c>
      <c r="C412" s="5">
        <v>4.22</v>
      </c>
      <c r="D412" s="4">
        <v>11</v>
      </c>
      <c r="E412" s="5">
        <v>5.61</v>
      </c>
      <c r="F412" s="4">
        <v>3</v>
      </c>
      <c r="G412" s="5">
        <v>2.34</v>
      </c>
      <c r="H412" s="4">
        <v>0</v>
      </c>
    </row>
    <row r="413" spans="1:8" x14ac:dyDescent="0.2">
      <c r="A413" s="2" t="s">
        <v>54</v>
      </c>
      <c r="B413" s="4">
        <v>35</v>
      </c>
      <c r="C413" s="5">
        <v>10.54</v>
      </c>
      <c r="D413" s="4">
        <v>28</v>
      </c>
      <c r="E413" s="5">
        <v>14.29</v>
      </c>
      <c r="F413" s="4">
        <v>6</v>
      </c>
      <c r="G413" s="5">
        <v>4.6900000000000004</v>
      </c>
      <c r="H413" s="4">
        <v>0</v>
      </c>
    </row>
    <row r="414" spans="1:8" x14ac:dyDescent="0.2">
      <c r="A414" s="2" t="s">
        <v>55</v>
      </c>
      <c r="B414" s="4">
        <v>44</v>
      </c>
      <c r="C414" s="5">
        <v>13.25</v>
      </c>
      <c r="D414" s="4">
        <v>41</v>
      </c>
      <c r="E414" s="5">
        <v>20.92</v>
      </c>
      <c r="F414" s="4">
        <v>2</v>
      </c>
      <c r="G414" s="5">
        <v>1.56</v>
      </c>
      <c r="H414" s="4">
        <v>0</v>
      </c>
    </row>
    <row r="415" spans="1:8" x14ac:dyDescent="0.2">
      <c r="A415" s="2" t="s">
        <v>56</v>
      </c>
      <c r="B415" s="4">
        <v>8</v>
      </c>
      <c r="C415" s="5">
        <v>2.41</v>
      </c>
      <c r="D415" s="4">
        <v>4</v>
      </c>
      <c r="E415" s="5">
        <v>2.04</v>
      </c>
      <c r="F415" s="4">
        <v>3</v>
      </c>
      <c r="G415" s="5">
        <v>2.34</v>
      </c>
      <c r="H415" s="4">
        <v>0</v>
      </c>
    </row>
    <row r="416" spans="1:8" x14ac:dyDescent="0.2">
      <c r="A416" s="2" t="s">
        <v>57</v>
      </c>
      <c r="B416" s="4">
        <v>17</v>
      </c>
      <c r="C416" s="5">
        <v>5.12</v>
      </c>
      <c r="D416" s="4">
        <v>9</v>
      </c>
      <c r="E416" s="5">
        <v>4.59</v>
      </c>
      <c r="F416" s="4">
        <v>8</v>
      </c>
      <c r="G416" s="5">
        <v>6.25</v>
      </c>
      <c r="H416" s="4">
        <v>0</v>
      </c>
    </row>
    <row r="417" spans="1:8" x14ac:dyDescent="0.2">
      <c r="A417" s="2" t="s">
        <v>58</v>
      </c>
      <c r="B417" s="4">
        <v>26</v>
      </c>
      <c r="C417" s="5">
        <v>7.83</v>
      </c>
      <c r="D417" s="4">
        <v>19</v>
      </c>
      <c r="E417" s="5">
        <v>9.69</v>
      </c>
      <c r="F417" s="4">
        <v>2</v>
      </c>
      <c r="G417" s="5">
        <v>1.56</v>
      </c>
      <c r="H417" s="4">
        <v>0</v>
      </c>
    </row>
    <row r="418" spans="1:8" x14ac:dyDescent="0.2">
      <c r="A418" s="1" t="s">
        <v>26</v>
      </c>
      <c r="B418" s="4">
        <v>203</v>
      </c>
      <c r="C418" s="5">
        <v>100</v>
      </c>
      <c r="D418" s="4">
        <v>132</v>
      </c>
      <c r="E418" s="5">
        <v>100.02000000000001</v>
      </c>
      <c r="F418" s="4">
        <v>65</v>
      </c>
      <c r="G418" s="5">
        <v>100.02000000000001</v>
      </c>
      <c r="H418" s="4">
        <v>1</v>
      </c>
    </row>
    <row r="419" spans="1:8" x14ac:dyDescent="0.2">
      <c r="A419" s="2" t="s">
        <v>44</v>
      </c>
      <c r="B419" s="4">
        <v>1</v>
      </c>
      <c r="C419" s="5">
        <v>0.49</v>
      </c>
      <c r="D419" s="4">
        <v>0</v>
      </c>
      <c r="E419" s="5">
        <v>0</v>
      </c>
      <c r="F419" s="4">
        <v>1</v>
      </c>
      <c r="G419" s="5">
        <v>1.54</v>
      </c>
      <c r="H419" s="4">
        <v>0</v>
      </c>
    </row>
    <row r="420" spans="1:8" x14ac:dyDescent="0.2">
      <c r="A420" s="2" t="s">
        <v>45</v>
      </c>
      <c r="B420" s="4">
        <v>31</v>
      </c>
      <c r="C420" s="5">
        <v>15.27</v>
      </c>
      <c r="D420" s="4">
        <v>16</v>
      </c>
      <c r="E420" s="5">
        <v>12.12</v>
      </c>
      <c r="F420" s="4">
        <v>15</v>
      </c>
      <c r="G420" s="5">
        <v>23.08</v>
      </c>
      <c r="H420" s="4">
        <v>0</v>
      </c>
    </row>
    <row r="421" spans="1:8" x14ac:dyDescent="0.2">
      <c r="A421" s="2" t="s">
        <v>46</v>
      </c>
      <c r="B421" s="4">
        <v>20</v>
      </c>
      <c r="C421" s="5">
        <v>9.85</v>
      </c>
      <c r="D421" s="4">
        <v>10</v>
      </c>
      <c r="E421" s="5">
        <v>7.58</v>
      </c>
      <c r="F421" s="4">
        <v>8</v>
      </c>
      <c r="G421" s="5">
        <v>12.31</v>
      </c>
      <c r="H421" s="4">
        <v>1</v>
      </c>
    </row>
    <row r="422" spans="1:8" x14ac:dyDescent="0.2">
      <c r="A422" s="2" t="s">
        <v>47</v>
      </c>
      <c r="B422" s="4">
        <v>4</v>
      </c>
      <c r="C422" s="5">
        <v>1.97</v>
      </c>
      <c r="D422" s="4">
        <v>0</v>
      </c>
      <c r="E422" s="5">
        <v>0</v>
      </c>
      <c r="F422" s="4">
        <v>3</v>
      </c>
      <c r="G422" s="5">
        <v>4.62</v>
      </c>
      <c r="H422" s="4">
        <v>0</v>
      </c>
    </row>
    <row r="423" spans="1:8" x14ac:dyDescent="0.2">
      <c r="A423" s="2" t="s">
        <v>48</v>
      </c>
      <c r="B423" s="4">
        <v>1</v>
      </c>
      <c r="C423" s="5">
        <v>0.49</v>
      </c>
      <c r="D423" s="4">
        <v>1</v>
      </c>
      <c r="E423" s="5">
        <v>0.76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49</v>
      </c>
      <c r="B424" s="4">
        <v>2</v>
      </c>
      <c r="C424" s="5">
        <v>0.99</v>
      </c>
      <c r="D424" s="4">
        <v>1</v>
      </c>
      <c r="E424" s="5">
        <v>0.76</v>
      </c>
      <c r="F424" s="4">
        <v>1</v>
      </c>
      <c r="G424" s="5">
        <v>1.54</v>
      </c>
      <c r="H424" s="4">
        <v>0</v>
      </c>
    </row>
    <row r="425" spans="1:8" x14ac:dyDescent="0.2">
      <c r="A425" s="2" t="s">
        <v>50</v>
      </c>
      <c r="B425" s="4">
        <v>63</v>
      </c>
      <c r="C425" s="5">
        <v>31.03</v>
      </c>
      <c r="D425" s="4">
        <v>46</v>
      </c>
      <c r="E425" s="5">
        <v>34.85</v>
      </c>
      <c r="F425" s="4">
        <v>17</v>
      </c>
      <c r="G425" s="5">
        <v>26.15</v>
      </c>
      <c r="H425" s="4">
        <v>0</v>
      </c>
    </row>
    <row r="426" spans="1:8" x14ac:dyDescent="0.2">
      <c r="A426" s="2" t="s">
        <v>51</v>
      </c>
      <c r="B426" s="4">
        <v>1</v>
      </c>
      <c r="C426" s="5">
        <v>0.49</v>
      </c>
      <c r="D426" s="4">
        <v>0</v>
      </c>
      <c r="E426" s="5">
        <v>0</v>
      </c>
      <c r="F426" s="4">
        <v>1</v>
      </c>
      <c r="G426" s="5">
        <v>1.54</v>
      </c>
      <c r="H426" s="4">
        <v>0</v>
      </c>
    </row>
    <row r="427" spans="1:8" x14ac:dyDescent="0.2">
      <c r="A427" s="2" t="s">
        <v>52</v>
      </c>
      <c r="B427" s="4">
        <v>4</v>
      </c>
      <c r="C427" s="5">
        <v>1.97</v>
      </c>
      <c r="D427" s="4">
        <v>1</v>
      </c>
      <c r="E427" s="5">
        <v>0.76</v>
      </c>
      <c r="F427" s="4">
        <v>3</v>
      </c>
      <c r="G427" s="5">
        <v>4.62</v>
      </c>
      <c r="H427" s="4">
        <v>0</v>
      </c>
    </row>
    <row r="428" spans="1:8" x14ac:dyDescent="0.2">
      <c r="A428" s="2" t="s">
        <v>53</v>
      </c>
      <c r="B428" s="4">
        <v>6</v>
      </c>
      <c r="C428" s="5">
        <v>2.96</v>
      </c>
      <c r="D428" s="4">
        <v>6</v>
      </c>
      <c r="E428" s="5">
        <v>4.55</v>
      </c>
      <c r="F428" s="4">
        <v>0</v>
      </c>
      <c r="G428" s="5">
        <v>0</v>
      </c>
      <c r="H428" s="4">
        <v>0</v>
      </c>
    </row>
    <row r="429" spans="1:8" x14ac:dyDescent="0.2">
      <c r="A429" s="2" t="s">
        <v>54</v>
      </c>
      <c r="B429" s="4">
        <v>7</v>
      </c>
      <c r="C429" s="5">
        <v>3.45</v>
      </c>
      <c r="D429" s="4">
        <v>4</v>
      </c>
      <c r="E429" s="5">
        <v>3.03</v>
      </c>
      <c r="F429" s="4">
        <v>2</v>
      </c>
      <c r="G429" s="5">
        <v>3.08</v>
      </c>
      <c r="H429" s="4">
        <v>0</v>
      </c>
    </row>
    <row r="430" spans="1:8" x14ac:dyDescent="0.2">
      <c r="A430" s="2" t="s">
        <v>55</v>
      </c>
      <c r="B430" s="4">
        <v>26</v>
      </c>
      <c r="C430" s="5">
        <v>12.81</v>
      </c>
      <c r="D430" s="4">
        <v>24</v>
      </c>
      <c r="E430" s="5">
        <v>18.18</v>
      </c>
      <c r="F430" s="4">
        <v>1</v>
      </c>
      <c r="G430" s="5">
        <v>1.54</v>
      </c>
      <c r="H430" s="4">
        <v>0</v>
      </c>
    </row>
    <row r="431" spans="1:8" x14ac:dyDescent="0.2">
      <c r="A431" s="2" t="s">
        <v>56</v>
      </c>
      <c r="B431" s="4">
        <v>6</v>
      </c>
      <c r="C431" s="5">
        <v>2.96</v>
      </c>
      <c r="D431" s="4">
        <v>5</v>
      </c>
      <c r="E431" s="5">
        <v>3.79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57</v>
      </c>
      <c r="B432" s="4">
        <v>14</v>
      </c>
      <c r="C432" s="5">
        <v>6.9</v>
      </c>
      <c r="D432" s="4">
        <v>5</v>
      </c>
      <c r="E432" s="5">
        <v>3.79</v>
      </c>
      <c r="F432" s="4">
        <v>9</v>
      </c>
      <c r="G432" s="5">
        <v>13.85</v>
      </c>
      <c r="H432" s="4">
        <v>0</v>
      </c>
    </row>
    <row r="433" spans="1:8" x14ac:dyDescent="0.2">
      <c r="A433" s="2" t="s">
        <v>58</v>
      </c>
      <c r="B433" s="4">
        <v>17</v>
      </c>
      <c r="C433" s="5">
        <v>8.3699999999999992</v>
      </c>
      <c r="D433" s="4">
        <v>13</v>
      </c>
      <c r="E433" s="5">
        <v>9.85</v>
      </c>
      <c r="F433" s="4">
        <v>4</v>
      </c>
      <c r="G433" s="5">
        <v>6.15</v>
      </c>
      <c r="H433" s="4">
        <v>0</v>
      </c>
    </row>
    <row r="434" spans="1:8" x14ac:dyDescent="0.2">
      <c r="A434" s="1" t="s">
        <v>27</v>
      </c>
      <c r="B434" s="4">
        <v>185</v>
      </c>
      <c r="C434" s="5">
        <v>100</v>
      </c>
      <c r="D434" s="4">
        <v>121</v>
      </c>
      <c r="E434" s="5">
        <v>100</v>
      </c>
      <c r="F434" s="4">
        <v>60</v>
      </c>
      <c r="G434" s="5">
        <v>99.99</v>
      </c>
      <c r="H434" s="4">
        <v>0</v>
      </c>
    </row>
    <row r="435" spans="1:8" x14ac:dyDescent="0.2">
      <c r="A435" s="2" t="s">
        <v>44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45</v>
      </c>
      <c r="B436" s="4">
        <v>20</v>
      </c>
      <c r="C436" s="5">
        <v>10.81</v>
      </c>
      <c r="D436" s="4">
        <v>9</v>
      </c>
      <c r="E436" s="5">
        <v>7.44</v>
      </c>
      <c r="F436" s="4">
        <v>11</v>
      </c>
      <c r="G436" s="5">
        <v>18.329999999999998</v>
      </c>
      <c r="H436" s="4">
        <v>0</v>
      </c>
    </row>
    <row r="437" spans="1:8" x14ac:dyDescent="0.2">
      <c r="A437" s="2" t="s">
        <v>46</v>
      </c>
      <c r="B437" s="4">
        <v>17</v>
      </c>
      <c r="C437" s="5">
        <v>9.19</v>
      </c>
      <c r="D437" s="4">
        <v>5</v>
      </c>
      <c r="E437" s="5">
        <v>4.13</v>
      </c>
      <c r="F437" s="4">
        <v>12</v>
      </c>
      <c r="G437" s="5">
        <v>20</v>
      </c>
      <c r="H437" s="4">
        <v>0</v>
      </c>
    </row>
    <row r="438" spans="1:8" x14ac:dyDescent="0.2">
      <c r="A438" s="2" t="s">
        <v>47</v>
      </c>
      <c r="B438" s="4">
        <v>1</v>
      </c>
      <c r="C438" s="5">
        <v>0.54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48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49</v>
      </c>
      <c r="B440" s="4">
        <v>0</v>
      </c>
      <c r="C440" s="5">
        <v>0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50</v>
      </c>
      <c r="B441" s="4">
        <v>74</v>
      </c>
      <c r="C441" s="5">
        <v>40</v>
      </c>
      <c r="D441" s="4">
        <v>51</v>
      </c>
      <c r="E441" s="5">
        <v>42.15</v>
      </c>
      <c r="F441" s="4">
        <v>23</v>
      </c>
      <c r="G441" s="5">
        <v>38.33</v>
      </c>
      <c r="H441" s="4">
        <v>0</v>
      </c>
    </row>
    <row r="442" spans="1:8" x14ac:dyDescent="0.2">
      <c r="A442" s="2" t="s">
        <v>51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52</v>
      </c>
      <c r="B443" s="4">
        <v>2</v>
      </c>
      <c r="C443" s="5">
        <v>1.08</v>
      </c>
      <c r="D443" s="4">
        <v>0</v>
      </c>
      <c r="E443" s="5">
        <v>0</v>
      </c>
      <c r="F443" s="4">
        <v>1</v>
      </c>
      <c r="G443" s="5">
        <v>1.67</v>
      </c>
      <c r="H443" s="4">
        <v>0</v>
      </c>
    </row>
    <row r="444" spans="1:8" x14ac:dyDescent="0.2">
      <c r="A444" s="2" t="s">
        <v>53</v>
      </c>
      <c r="B444" s="4">
        <v>2</v>
      </c>
      <c r="C444" s="5">
        <v>1.08</v>
      </c>
      <c r="D444" s="4">
        <v>2</v>
      </c>
      <c r="E444" s="5">
        <v>1.65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54</v>
      </c>
      <c r="B445" s="4">
        <v>15</v>
      </c>
      <c r="C445" s="5">
        <v>8.11</v>
      </c>
      <c r="D445" s="4">
        <v>10</v>
      </c>
      <c r="E445" s="5">
        <v>8.26</v>
      </c>
      <c r="F445" s="4">
        <v>5</v>
      </c>
      <c r="G445" s="5">
        <v>8.33</v>
      </c>
      <c r="H445" s="4">
        <v>0</v>
      </c>
    </row>
    <row r="446" spans="1:8" x14ac:dyDescent="0.2">
      <c r="A446" s="2" t="s">
        <v>55</v>
      </c>
      <c r="B446" s="4">
        <v>27</v>
      </c>
      <c r="C446" s="5">
        <v>14.59</v>
      </c>
      <c r="D446" s="4">
        <v>25</v>
      </c>
      <c r="E446" s="5">
        <v>20.66</v>
      </c>
      <c r="F446" s="4">
        <v>2</v>
      </c>
      <c r="G446" s="5">
        <v>3.33</v>
      </c>
      <c r="H446" s="4">
        <v>0</v>
      </c>
    </row>
    <row r="447" spans="1:8" x14ac:dyDescent="0.2">
      <c r="A447" s="2" t="s">
        <v>56</v>
      </c>
      <c r="B447" s="4">
        <v>4</v>
      </c>
      <c r="C447" s="5">
        <v>2.16</v>
      </c>
      <c r="D447" s="4">
        <v>3</v>
      </c>
      <c r="E447" s="5">
        <v>2.48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57</v>
      </c>
      <c r="B448" s="4">
        <v>12</v>
      </c>
      <c r="C448" s="5">
        <v>6.49</v>
      </c>
      <c r="D448" s="4">
        <v>7</v>
      </c>
      <c r="E448" s="5">
        <v>5.79</v>
      </c>
      <c r="F448" s="4">
        <v>5</v>
      </c>
      <c r="G448" s="5">
        <v>8.33</v>
      </c>
      <c r="H448" s="4">
        <v>0</v>
      </c>
    </row>
    <row r="449" spans="1:8" x14ac:dyDescent="0.2">
      <c r="A449" s="2" t="s">
        <v>58</v>
      </c>
      <c r="B449" s="4">
        <v>11</v>
      </c>
      <c r="C449" s="5">
        <v>5.95</v>
      </c>
      <c r="D449" s="4">
        <v>9</v>
      </c>
      <c r="E449" s="5">
        <v>7.44</v>
      </c>
      <c r="F449" s="4">
        <v>1</v>
      </c>
      <c r="G449" s="5">
        <v>1.67</v>
      </c>
      <c r="H449" s="4">
        <v>0</v>
      </c>
    </row>
    <row r="450" spans="1:8" x14ac:dyDescent="0.2">
      <c r="A450" s="1" t="s">
        <v>28</v>
      </c>
      <c r="B450" s="4">
        <v>199</v>
      </c>
      <c r="C450" s="5">
        <v>100.02</v>
      </c>
      <c r="D450" s="4">
        <v>132</v>
      </c>
      <c r="E450" s="5">
        <v>100.00000000000001</v>
      </c>
      <c r="F450" s="4">
        <v>61</v>
      </c>
      <c r="G450" s="5">
        <v>100.01000000000002</v>
      </c>
      <c r="H450" s="4">
        <v>2</v>
      </c>
    </row>
    <row r="451" spans="1:8" x14ac:dyDescent="0.2">
      <c r="A451" s="2" t="s">
        <v>44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45</v>
      </c>
      <c r="B452" s="4">
        <v>28</v>
      </c>
      <c r="C452" s="5">
        <v>14.07</v>
      </c>
      <c r="D452" s="4">
        <v>15</v>
      </c>
      <c r="E452" s="5">
        <v>11.36</v>
      </c>
      <c r="F452" s="4">
        <v>13</v>
      </c>
      <c r="G452" s="5">
        <v>21.31</v>
      </c>
      <c r="H452" s="4">
        <v>0</v>
      </c>
    </row>
    <row r="453" spans="1:8" x14ac:dyDescent="0.2">
      <c r="A453" s="2" t="s">
        <v>46</v>
      </c>
      <c r="B453" s="4">
        <v>19</v>
      </c>
      <c r="C453" s="5">
        <v>9.5500000000000007</v>
      </c>
      <c r="D453" s="4">
        <v>8</v>
      </c>
      <c r="E453" s="5">
        <v>6.06</v>
      </c>
      <c r="F453" s="4">
        <v>10</v>
      </c>
      <c r="G453" s="5">
        <v>16.39</v>
      </c>
      <c r="H453" s="4">
        <v>1</v>
      </c>
    </row>
    <row r="454" spans="1:8" x14ac:dyDescent="0.2">
      <c r="A454" s="2" t="s">
        <v>47</v>
      </c>
      <c r="B454" s="4">
        <v>4</v>
      </c>
      <c r="C454" s="5">
        <v>2.0099999999999998</v>
      </c>
      <c r="D454" s="4">
        <v>0</v>
      </c>
      <c r="E454" s="5">
        <v>0</v>
      </c>
      <c r="F454" s="4">
        <v>2</v>
      </c>
      <c r="G454" s="5">
        <v>3.28</v>
      </c>
      <c r="H454" s="4">
        <v>0</v>
      </c>
    </row>
    <row r="455" spans="1:8" x14ac:dyDescent="0.2">
      <c r="A455" s="2" t="s">
        <v>48</v>
      </c>
      <c r="B455" s="4">
        <v>1</v>
      </c>
      <c r="C455" s="5">
        <v>0.5</v>
      </c>
      <c r="D455" s="4">
        <v>0</v>
      </c>
      <c r="E455" s="5">
        <v>0</v>
      </c>
      <c r="F455" s="4">
        <v>1</v>
      </c>
      <c r="G455" s="5">
        <v>1.64</v>
      </c>
      <c r="H455" s="4">
        <v>0</v>
      </c>
    </row>
    <row r="456" spans="1:8" x14ac:dyDescent="0.2">
      <c r="A456" s="2" t="s">
        <v>49</v>
      </c>
      <c r="B456" s="4">
        <v>2</v>
      </c>
      <c r="C456" s="5">
        <v>1.01</v>
      </c>
      <c r="D456" s="4">
        <v>0</v>
      </c>
      <c r="E456" s="5">
        <v>0</v>
      </c>
      <c r="F456" s="4">
        <v>1</v>
      </c>
      <c r="G456" s="5">
        <v>1.64</v>
      </c>
      <c r="H456" s="4">
        <v>1</v>
      </c>
    </row>
    <row r="457" spans="1:8" x14ac:dyDescent="0.2">
      <c r="A457" s="2" t="s">
        <v>50</v>
      </c>
      <c r="B457" s="4">
        <v>62</v>
      </c>
      <c r="C457" s="5">
        <v>31.16</v>
      </c>
      <c r="D457" s="4">
        <v>40</v>
      </c>
      <c r="E457" s="5">
        <v>30.3</v>
      </c>
      <c r="F457" s="4">
        <v>22</v>
      </c>
      <c r="G457" s="5">
        <v>36.07</v>
      </c>
      <c r="H457" s="4">
        <v>0</v>
      </c>
    </row>
    <row r="458" spans="1:8" x14ac:dyDescent="0.2">
      <c r="A458" s="2" t="s">
        <v>51</v>
      </c>
      <c r="B458" s="4">
        <v>1</v>
      </c>
      <c r="C458" s="5">
        <v>0.5</v>
      </c>
      <c r="D458" s="4">
        <v>1</v>
      </c>
      <c r="E458" s="5">
        <v>0.76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52</v>
      </c>
      <c r="B459" s="4">
        <v>6</v>
      </c>
      <c r="C459" s="5">
        <v>3.02</v>
      </c>
      <c r="D459" s="4">
        <v>6</v>
      </c>
      <c r="E459" s="5">
        <v>4.55</v>
      </c>
      <c r="F459" s="4">
        <v>0</v>
      </c>
      <c r="G459" s="5">
        <v>0</v>
      </c>
      <c r="H459" s="4">
        <v>0</v>
      </c>
    </row>
    <row r="460" spans="1:8" x14ac:dyDescent="0.2">
      <c r="A460" s="2" t="s">
        <v>53</v>
      </c>
      <c r="B460" s="4">
        <v>6</v>
      </c>
      <c r="C460" s="5">
        <v>3.02</v>
      </c>
      <c r="D460" s="4">
        <v>3</v>
      </c>
      <c r="E460" s="5">
        <v>2.27</v>
      </c>
      <c r="F460" s="4">
        <v>3</v>
      </c>
      <c r="G460" s="5">
        <v>4.92</v>
      </c>
      <c r="H460" s="4">
        <v>0</v>
      </c>
    </row>
    <row r="461" spans="1:8" x14ac:dyDescent="0.2">
      <c r="A461" s="2" t="s">
        <v>54</v>
      </c>
      <c r="B461" s="4">
        <v>18</v>
      </c>
      <c r="C461" s="5">
        <v>9.0500000000000007</v>
      </c>
      <c r="D461" s="4">
        <v>16</v>
      </c>
      <c r="E461" s="5">
        <v>12.12</v>
      </c>
      <c r="F461" s="4">
        <v>2</v>
      </c>
      <c r="G461" s="5">
        <v>3.28</v>
      </c>
      <c r="H461" s="4">
        <v>0</v>
      </c>
    </row>
    <row r="462" spans="1:8" x14ac:dyDescent="0.2">
      <c r="A462" s="2" t="s">
        <v>55</v>
      </c>
      <c r="B462" s="4">
        <v>30</v>
      </c>
      <c r="C462" s="5">
        <v>15.08</v>
      </c>
      <c r="D462" s="4">
        <v>30</v>
      </c>
      <c r="E462" s="5">
        <v>22.73</v>
      </c>
      <c r="F462" s="4">
        <v>0</v>
      </c>
      <c r="G462" s="5">
        <v>0</v>
      </c>
      <c r="H462" s="4">
        <v>0</v>
      </c>
    </row>
    <row r="463" spans="1:8" x14ac:dyDescent="0.2">
      <c r="A463" s="2" t="s">
        <v>56</v>
      </c>
      <c r="B463" s="4">
        <v>5</v>
      </c>
      <c r="C463" s="5">
        <v>2.5099999999999998</v>
      </c>
      <c r="D463" s="4">
        <v>3</v>
      </c>
      <c r="E463" s="5">
        <v>2.27</v>
      </c>
      <c r="F463" s="4">
        <v>1</v>
      </c>
      <c r="G463" s="5">
        <v>1.64</v>
      </c>
      <c r="H463" s="4">
        <v>0</v>
      </c>
    </row>
    <row r="464" spans="1:8" x14ac:dyDescent="0.2">
      <c r="A464" s="2" t="s">
        <v>57</v>
      </c>
      <c r="B464" s="4">
        <v>9</v>
      </c>
      <c r="C464" s="5">
        <v>4.5199999999999996</v>
      </c>
      <c r="D464" s="4">
        <v>5</v>
      </c>
      <c r="E464" s="5">
        <v>3.79</v>
      </c>
      <c r="F464" s="4">
        <v>3</v>
      </c>
      <c r="G464" s="5">
        <v>4.92</v>
      </c>
      <c r="H464" s="4">
        <v>0</v>
      </c>
    </row>
    <row r="465" spans="1:8" x14ac:dyDescent="0.2">
      <c r="A465" s="2" t="s">
        <v>58</v>
      </c>
      <c r="B465" s="4">
        <v>8</v>
      </c>
      <c r="C465" s="5">
        <v>4.0199999999999996</v>
      </c>
      <c r="D465" s="4">
        <v>5</v>
      </c>
      <c r="E465" s="5">
        <v>3.79</v>
      </c>
      <c r="F465" s="4">
        <v>3</v>
      </c>
      <c r="G465" s="5">
        <v>4.92</v>
      </c>
      <c r="H465" s="4">
        <v>0</v>
      </c>
    </row>
    <row r="466" spans="1:8" x14ac:dyDescent="0.2">
      <c r="A466" s="1" t="s">
        <v>29</v>
      </c>
      <c r="B466" s="4">
        <v>393</v>
      </c>
      <c r="C466" s="5">
        <v>100</v>
      </c>
      <c r="D466" s="4">
        <v>249</v>
      </c>
      <c r="E466" s="5">
        <v>99.989999999999981</v>
      </c>
      <c r="F466" s="4">
        <v>126</v>
      </c>
      <c r="G466" s="5">
        <v>99.970000000000027</v>
      </c>
      <c r="H466" s="4">
        <v>1</v>
      </c>
    </row>
    <row r="467" spans="1:8" x14ac:dyDescent="0.2">
      <c r="A467" s="2" t="s">
        <v>44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45</v>
      </c>
      <c r="B468" s="4">
        <v>56</v>
      </c>
      <c r="C468" s="5">
        <v>14.25</v>
      </c>
      <c r="D468" s="4">
        <v>30</v>
      </c>
      <c r="E468" s="5">
        <v>12.05</v>
      </c>
      <c r="F468" s="4">
        <v>26</v>
      </c>
      <c r="G468" s="5">
        <v>20.63</v>
      </c>
      <c r="H468" s="4">
        <v>0</v>
      </c>
    </row>
    <row r="469" spans="1:8" x14ac:dyDescent="0.2">
      <c r="A469" s="2" t="s">
        <v>46</v>
      </c>
      <c r="B469" s="4">
        <v>27</v>
      </c>
      <c r="C469" s="5">
        <v>6.87</v>
      </c>
      <c r="D469" s="4">
        <v>13</v>
      </c>
      <c r="E469" s="5">
        <v>5.22</v>
      </c>
      <c r="F469" s="4">
        <v>14</v>
      </c>
      <c r="G469" s="5">
        <v>11.11</v>
      </c>
      <c r="H469" s="4">
        <v>0</v>
      </c>
    </row>
    <row r="470" spans="1:8" x14ac:dyDescent="0.2">
      <c r="A470" s="2" t="s">
        <v>47</v>
      </c>
      <c r="B470" s="4">
        <v>1</v>
      </c>
      <c r="C470" s="5">
        <v>0.25</v>
      </c>
      <c r="D470" s="4">
        <v>0</v>
      </c>
      <c r="E470" s="5">
        <v>0</v>
      </c>
      <c r="F470" s="4">
        <v>1</v>
      </c>
      <c r="G470" s="5">
        <v>0.79</v>
      </c>
      <c r="H470" s="4">
        <v>0</v>
      </c>
    </row>
    <row r="471" spans="1:8" x14ac:dyDescent="0.2">
      <c r="A471" s="2" t="s">
        <v>48</v>
      </c>
      <c r="B471" s="4">
        <v>2</v>
      </c>
      <c r="C471" s="5">
        <v>0.51</v>
      </c>
      <c r="D471" s="4">
        <v>1</v>
      </c>
      <c r="E471" s="5">
        <v>0.4</v>
      </c>
      <c r="F471" s="4">
        <v>1</v>
      </c>
      <c r="G471" s="5">
        <v>0.79</v>
      </c>
      <c r="H471" s="4">
        <v>0</v>
      </c>
    </row>
    <row r="472" spans="1:8" x14ac:dyDescent="0.2">
      <c r="A472" s="2" t="s">
        <v>49</v>
      </c>
      <c r="B472" s="4">
        <v>6</v>
      </c>
      <c r="C472" s="5">
        <v>1.53</v>
      </c>
      <c r="D472" s="4">
        <v>2</v>
      </c>
      <c r="E472" s="5">
        <v>0.8</v>
      </c>
      <c r="F472" s="4">
        <v>4</v>
      </c>
      <c r="G472" s="5">
        <v>3.17</v>
      </c>
      <c r="H472" s="4">
        <v>0</v>
      </c>
    </row>
    <row r="473" spans="1:8" x14ac:dyDescent="0.2">
      <c r="A473" s="2" t="s">
        <v>50</v>
      </c>
      <c r="B473" s="4">
        <v>127</v>
      </c>
      <c r="C473" s="5">
        <v>32.32</v>
      </c>
      <c r="D473" s="4">
        <v>86</v>
      </c>
      <c r="E473" s="5">
        <v>34.54</v>
      </c>
      <c r="F473" s="4">
        <v>40</v>
      </c>
      <c r="G473" s="5">
        <v>31.75</v>
      </c>
      <c r="H473" s="4">
        <v>1</v>
      </c>
    </row>
    <row r="474" spans="1:8" x14ac:dyDescent="0.2">
      <c r="A474" s="2" t="s">
        <v>51</v>
      </c>
      <c r="B474" s="4">
        <v>1</v>
      </c>
      <c r="C474" s="5">
        <v>0.25</v>
      </c>
      <c r="D474" s="4">
        <v>0</v>
      </c>
      <c r="E474" s="5">
        <v>0</v>
      </c>
      <c r="F474" s="4">
        <v>1</v>
      </c>
      <c r="G474" s="5">
        <v>0.79</v>
      </c>
      <c r="H474" s="4">
        <v>0</v>
      </c>
    </row>
    <row r="475" spans="1:8" x14ac:dyDescent="0.2">
      <c r="A475" s="2" t="s">
        <v>52</v>
      </c>
      <c r="B475" s="4">
        <v>8</v>
      </c>
      <c r="C475" s="5">
        <v>2.04</v>
      </c>
      <c r="D475" s="4">
        <v>1</v>
      </c>
      <c r="E475" s="5">
        <v>0.4</v>
      </c>
      <c r="F475" s="4">
        <v>6</v>
      </c>
      <c r="G475" s="5">
        <v>4.76</v>
      </c>
      <c r="H475" s="4">
        <v>0</v>
      </c>
    </row>
    <row r="476" spans="1:8" x14ac:dyDescent="0.2">
      <c r="A476" s="2" t="s">
        <v>53</v>
      </c>
      <c r="B476" s="4">
        <v>15</v>
      </c>
      <c r="C476" s="5">
        <v>3.82</v>
      </c>
      <c r="D476" s="4">
        <v>2</v>
      </c>
      <c r="E476" s="5">
        <v>0.8</v>
      </c>
      <c r="F476" s="4">
        <v>12</v>
      </c>
      <c r="G476" s="5">
        <v>9.52</v>
      </c>
      <c r="H476" s="4">
        <v>0</v>
      </c>
    </row>
    <row r="477" spans="1:8" x14ac:dyDescent="0.2">
      <c r="A477" s="2" t="s">
        <v>54</v>
      </c>
      <c r="B477" s="4">
        <v>43</v>
      </c>
      <c r="C477" s="5">
        <v>10.94</v>
      </c>
      <c r="D477" s="4">
        <v>36</v>
      </c>
      <c r="E477" s="5">
        <v>14.46</v>
      </c>
      <c r="F477" s="4">
        <v>6</v>
      </c>
      <c r="G477" s="5">
        <v>4.76</v>
      </c>
      <c r="H477" s="4">
        <v>0</v>
      </c>
    </row>
    <row r="478" spans="1:8" x14ac:dyDescent="0.2">
      <c r="A478" s="2" t="s">
        <v>55</v>
      </c>
      <c r="B478" s="4">
        <v>59</v>
      </c>
      <c r="C478" s="5">
        <v>15.01</v>
      </c>
      <c r="D478" s="4">
        <v>54</v>
      </c>
      <c r="E478" s="5">
        <v>21.69</v>
      </c>
      <c r="F478" s="4">
        <v>4</v>
      </c>
      <c r="G478" s="5">
        <v>3.17</v>
      </c>
      <c r="H478" s="4">
        <v>0</v>
      </c>
    </row>
    <row r="479" spans="1:8" x14ac:dyDescent="0.2">
      <c r="A479" s="2" t="s">
        <v>56</v>
      </c>
      <c r="B479" s="4">
        <v>19</v>
      </c>
      <c r="C479" s="5">
        <v>4.83</v>
      </c>
      <c r="D479" s="4">
        <v>6</v>
      </c>
      <c r="E479" s="5">
        <v>2.41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57</v>
      </c>
      <c r="B480" s="4">
        <v>15</v>
      </c>
      <c r="C480" s="5">
        <v>3.82</v>
      </c>
      <c r="D480" s="4">
        <v>9</v>
      </c>
      <c r="E480" s="5">
        <v>3.61</v>
      </c>
      <c r="F480" s="4">
        <v>6</v>
      </c>
      <c r="G480" s="5">
        <v>4.76</v>
      </c>
      <c r="H480" s="4">
        <v>0</v>
      </c>
    </row>
    <row r="481" spans="1:8" x14ac:dyDescent="0.2">
      <c r="A481" s="2" t="s">
        <v>58</v>
      </c>
      <c r="B481" s="4">
        <v>14</v>
      </c>
      <c r="C481" s="5">
        <v>3.56</v>
      </c>
      <c r="D481" s="4">
        <v>9</v>
      </c>
      <c r="E481" s="5">
        <v>3.61</v>
      </c>
      <c r="F481" s="4">
        <v>5</v>
      </c>
      <c r="G481" s="5">
        <v>3.97</v>
      </c>
      <c r="H481" s="4">
        <v>0</v>
      </c>
    </row>
    <row r="482" spans="1:8" x14ac:dyDescent="0.2">
      <c r="A482" s="1" t="s">
        <v>30</v>
      </c>
      <c r="B482" s="4">
        <v>252</v>
      </c>
      <c r="C482" s="5">
        <v>100.00000000000001</v>
      </c>
      <c r="D482" s="4">
        <v>169</v>
      </c>
      <c r="E482" s="5">
        <v>100</v>
      </c>
      <c r="F482" s="4">
        <v>77</v>
      </c>
      <c r="G482" s="5">
        <v>99.99</v>
      </c>
      <c r="H482" s="4">
        <v>1</v>
      </c>
    </row>
    <row r="483" spans="1:8" x14ac:dyDescent="0.2">
      <c r="A483" s="2" t="s">
        <v>44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45</v>
      </c>
      <c r="B484" s="4">
        <v>28</v>
      </c>
      <c r="C484" s="5">
        <v>11.11</v>
      </c>
      <c r="D484" s="4">
        <v>15</v>
      </c>
      <c r="E484" s="5">
        <v>8.8800000000000008</v>
      </c>
      <c r="F484" s="4">
        <v>13</v>
      </c>
      <c r="G484" s="5">
        <v>16.88</v>
      </c>
      <c r="H484" s="4">
        <v>0</v>
      </c>
    </row>
    <row r="485" spans="1:8" x14ac:dyDescent="0.2">
      <c r="A485" s="2" t="s">
        <v>46</v>
      </c>
      <c r="B485" s="4">
        <v>13</v>
      </c>
      <c r="C485" s="5">
        <v>5.16</v>
      </c>
      <c r="D485" s="4">
        <v>8</v>
      </c>
      <c r="E485" s="5">
        <v>4.7300000000000004</v>
      </c>
      <c r="F485" s="4">
        <v>5</v>
      </c>
      <c r="G485" s="5">
        <v>6.49</v>
      </c>
      <c r="H485" s="4">
        <v>0</v>
      </c>
    </row>
    <row r="486" spans="1:8" x14ac:dyDescent="0.2">
      <c r="A486" s="2" t="s">
        <v>47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48</v>
      </c>
      <c r="B487" s="4">
        <v>2</v>
      </c>
      <c r="C487" s="5">
        <v>0.79</v>
      </c>
      <c r="D487" s="4">
        <v>0</v>
      </c>
      <c r="E487" s="5">
        <v>0</v>
      </c>
      <c r="F487" s="4">
        <v>2</v>
      </c>
      <c r="G487" s="5">
        <v>2.6</v>
      </c>
      <c r="H487" s="4">
        <v>0</v>
      </c>
    </row>
    <row r="488" spans="1:8" x14ac:dyDescent="0.2">
      <c r="A488" s="2" t="s">
        <v>49</v>
      </c>
      <c r="B488" s="4">
        <v>2</v>
      </c>
      <c r="C488" s="5">
        <v>0.79</v>
      </c>
      <c r="D488" s="4">
        <v>1</v>
      </c>
      <c r="E488" s="5">
        <v>0.59</v>
      </c>
      <c r="F488" s="4">
        <v>1</v>
      </c>
      <c r="G488" s="5">
        <v>1.3</v>
      </c>
      <c r="H488" s="4">
        <v>0</v>
      </c>
    </row>
    <row r="489" spans="1:8" x14ac:dyDescent="0.2">
      <c r="A489" s="2" t="s">
        <v>50</v>
      </c>
      <c r="B489" s="4">
        <v>70</v>
      </c>
      <c r="C489" s="5">
        <v>27.78</v>
      </c>
      <c r="D489" s="4">
        <v>39</v>
      </c>
      <c r="E489" s="5">
        <v>23.08</v>
      </c>
      <c r="F489" s="4">
        <v>30</v>
      </c>
      <c r="G489" s="5">
        <v>38.96</v>
      </c>
      <c r="H489" s="4">
        <v>1</v>
      </c>
    </row>
    <row r="490" spans="1:8" x14ac:dyDescent="0.2">
      <c r="A490" s="2" t="s">
        <v>51</v>
      </c>
      <c r="B490" s="4">
        <v>1</v>
      </c>
      <c r="C490" s="5">
        <v>0.4</v>
      </c>
      <c r="D490" s="4">
        <v>1</v>
      </c>
      <c r="E490" s="5">
        <v>0.59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52</v>
      </c>
      <c r="B491" s="4">
        <v>8</v>
      </c>
      <c r="C491" s="5">
        <v>3.17</v>
      </c>
      <c r="D491" s="4">
        <v>0</v>
      </c>
      <c r="E491" s="5">
        <v>0</v>
      </c>
      <c r="F491" s="4">
        <v>8</v>
      </c>
      <c r="G491" s="5">
        <v>10.39</v>
      </c>
      <c r="H491" s="4">
        <v>0</v>
      </c>
    </row>
    <row r="492" spans="1:8" x14ac:dyDescent="0.2">
      <c r="A492" s="2" t="s">
        <v>53</v>
      </c>
      <c r="B492" s="4">
        <v>14</v>
      </c>
      <c r="C492" s="5">
        <v>5.56</v>
      </c>
      <c r="D492" s="4">
        <v>9</v>
      </c>
      <c r="E492" s="5">
        <v>5.33</v>
      </c>
      <c r="F492" s="4">
        <v>5</v>
      </c>
      <c r="G492" s="5">
        <v>6.49</v>
      </c>
      <c r="H492" s="4">
        <v>0</v>
      </c>
    </row>
    <row r="493" spans="1:8" x14ac:dyDescent="0.2">
      <c r="A493" s="2" t="s">
        <v>54</v>
      </c>
      <c r="B493" s="4">
        <v>45</v>
      </c>
      <c r="C493" s="5">
        <v>17.86</v>
      </c>
      <c r="D493" s="4">
        <v>41</v>
      </c>
      <c r="E493" s="5">
        <v>24.26</v>
      </c>
      <c r="F493" s="4">
        <v>4</v>
      </c>
      <c r="G493" s="5">
        <v>5.19</v>
      </c>
      <c r="H493" s="4">
        <v>0</v>
      </c>
    </row>
    <row r="494" spans="1:8" x14ac:dyDescent="0.2">
      <c r="A494" s="2" t="s">
        <v>55</v>
      </c>
      <c r="B494" s="4">
        <v>32</v>
      </c>
      <c r="C494" s="5">
        <v>12.7</v>
      </c>
      <c r="D494" s="4">
        <v>29</v>
      </c>
      <c r="E494" s="5">
        <v>17.16</v>
      </c>
      <c r="F494" s="4">
        <v>2</v>
      </c>
      <c r="G494" s="5">
        <v>2.6</v>
      </c>
      <c r="H494" s="4">
        <v>0</v>
      </c>
    </row>
    <row r="495" spans="1:8" x14ac:dyDescent="0.2">
      <c r="A495" s="2" t="s">
        <v>56</v>
      </c>
      <c r="B495" s="4">
        <v>8</v>
      </c>
      <c r="C495" s="5">
        <v>3.17</v>
      </c>
      <c r="D495" s="4">
        <v>6</v>
      </c>
      <c r="E495" s="5">
        <v>3.55</v>
      </c>
      <c r="F495" s="4">
        <v>0</v>
      </c>
      <c r="G495" s="5">
        <v>0</v>
      </c>
      <c r="H495" s="4">
        <v>0</v>
      </c>
    </row>
    <row r="496" spans="1:8" x14ac:dyDescent="0.2">
      <c r="A496" s="2" t="s">
        <v>57</v>
      </c>
      <c r="B496" s="4">
        <v>11</v>
      </c>
      <c r="C496" s="5">
        <v>4.37</v>
      </c>
      <c r="D496" s="4">
        <v>8</v>
      </c>
      <c r="E496" s="5">
        <v>4.7300000000000004</v>
      </c>
      <c r="F496" s="4">
        <v>3</v>
      </c>
      <c r="G496" s="5">
        <v>3.9</v>
      </c>
      <c r="H496" s="4">
        <v>0</v>
      </c>
    </row>
    <row r="497" spans="1:8" x14ac:dyDescent="0.2">
      <c r="A497" s="2" t="s">
        <v>58</v>
      </c>
      <c r="B497" s="4">
        <v>18</v>
      </c>
      <c r="C497" s="5">
        <v>7.14</v>
      </c>
      <c r="D497" s="4">
        <v>12</v>
      </c>
      <c r="E497" s="5">
        <v>7.1</v>
      </c>
      <c r="F497" s="4">
        <v>4</v>
      </c>
      <c r="G497" s="5">
        <v>5.19</v>
      </c>
      <c r="H497" s="4">
        <v>0</v>
      </c>
    </row>
    <row r="498" spans="1:8" x14ac:dyDescent="0.2">
      <c r="A498" s="1" t="s">
        <v>31</v>
      </c>
      <c r="B498" s="4">
        <v>225</v>
      </c>
      <c r="C498" s="5">
        <v>99.99</v>
      </c>
      <c r="D498" s="4">
        <v>149</v>
      </c>
      <c r="E498" s="5">
        <v>100.01</v>
      </c>
      <c r="F498" s="4">
        <v>69</v>
      </c>
      <c r="G498" s="5">
        <v>100.01</v>
      </c>
      <c r="H498" s="4">
        <v>2</v>
      </c>
    </row>
    <row r="499" spans="1:8" x14ac:dyDescent="0.2">
      <c r="A499" s="2" t="s">
        <v>44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45</v>
      </c>
      <c r="B500" s="4">
        <v>27</v>
      </c>
      <c r="C500" s="5">
        <v>12</v>
      </c>
      <c r="D500" s="4">
        <v>8</v>
      </c>
      <c r="E500" s="5">
        <v>5.37</v>
      </c>
      <c r="F500" s="4">
        <v>19</v>
      </c>
      <c r="G500" s="5">
        <v>27.54</v>
      </c>
      <c r="H500" s="4">
        <v>0</v>
      </c>
    </row>
    <row r="501" spans="1:8" x14ac:dyDescent="0.2">
      <c r="A501" s="2" t="s">
        <v>46</v>
      </c>
      <c r="B501" s="4">
        <v>14</v>
      </c>
      <c r="C501" s="5">
        <v>6.22</v>
      </c>
      <c r="D501" s="4">
        <v>7</v>
      </c>
      <c r="E501" s="5">
        <v>4.7</v>
      </c>
      <c r="F501" s="4">
        <v>7</v>
      </c>
      <c r="G501" s="5">
        <v>10.14</v>
      </c>
      <c r="H501" s="4">
        <v>0</v>
      </c>
    </row>
    <row r="502" spans="1:8" x14ac:dyDescent="0.2">
      <c r="A502" s="2" t="s">
        <v>47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48</v>
      </c>
      <c r="B503" s="4">
        <v>3</v>
      </c>
      <c r="C503" s="5">
        <v>1.33</v>
      </c>
      <c r="D503" s="4">
        <v>1</v>
      </c>
      <c r="E503" s="5">
        <v>0.67</v>
      </c>
      <c r="F503" s="4">
        <v>2</v>
      </c>
      <c r="G503" s="5">
        <v>2.9</v>
      </c>
      <c r="H503" s="4">
        <v>0</v>
      </c>
    </row>
    <row r="504" spans="1:8" x14ac:dyDescent="0.2">
      <c r="A504" s="2" t="s">
        <v>49</v>
      </c>
      <c r="B504" s="4">
        <v>4</v>
      </c>
      <c r="C504" s="5">
        <v>1.78</v>
      </c>
      <c r="D504" s="4">
        <v>3</v>
      </c>
      <c r="E504" s="5">
        <v>2.0099999999999998</v>
      </c>
      <c r="F504" s="4">
        <v>1</v>
      </c>
      <c r="G504" s="5">
        <v>1.45</v>
      </c>
      <c r="H504" s="4">
        <v>0</v>
      </c>
    </row>
    <row r="505" spans="1:8" x14ac:dyDescent="0.2">
      <c r="A505" s="2" t="s">
        <v>50</v>
      </c>
      <c r="B505" s="4">
        <v>57</v>
      </c>
      <c r="C505" s="5">
        <v>25.33</v>
      </c>
      <c r="D505" s="4">
        <v>41</v>
      </c>
      <c r="E505" s="5">
        <v>27.52</v>
      </c>
      <c r="F505" s="4">
        <v>15</v>
      </c>
      <c r="G505" s="5">
        <v>21.74</v>
      </c>
      <c r="H505" s="4">
        <v>1</v>
      </c>
    </row>
    <row r="506" spans="1:8" x14ac:dyDescent="0.2">
      <c r="A506" s="2" t="s">
        <v>51</v>
      </c>
      <c r="B506" s="4">
        <v>1</v>
      </c>
      <c r="C506" s="5">
        <v>0.44</v>
      </c>
      <c r="D506" s="4">
        <v>0</v>
      </c>
      <c r="E506" s="5">
        <v>0</v>
      </c>
      <c r="F506" s="4">
        <v>1</v>
      </c>
      <c r="G506" s="5">
        <v>1.45</v>
      </c>
      <c r="H506" s="4">
        <v>0</v>
      </c>
    </row>
    <row r="507" spans="1:8" x14ac:dyDescent="0.2">
      <c r="A507" s="2" t="s">
        <v>52</v>
      </c>
      <c r="B507" s="4">
        <v>2</v>
      </c>
      <c r="C507" s="5">
        <v>0.89</v>
      </c>
      <c r="D507" s="4">
        <v>1</v>
      </c>
      <c r="E507" s="5">
        <v>0.67</v>
      </c>
      <c r="F507" s="4">
        <v>1</v>
      </c>
      <c r="G507" s="5">
        <v>1.45</v>
      </c>
      <c r="H507" s="4">
        <v>0</v>
      </c>
    </row>
    <row r="508" spans="1:8" x14ac:dyDescent="0.2">
      <c r="A508" s="2" t="s">
        <v>53</v>
      </c>
      <c r="B508" s="4">
        <v>6</v>
      </c>
      <c r="C508" s="5">
        <v>2.67</v>
      </c>
      <c r="D508" s="4">
        <v>0</v>
      </c>
      <c r="E508" s="5">
        <v>0</v>
      </c>
      <c r="F508" s="4">
        <v>6</v>
      </c>
      <c r="G508" s="5">
        <v>8.6999999999999993</v>
      </c>
      <c r="H508" s="4">
        <v>0</v>
      </c>
    </row>
    <row r="509" spans="1:8" x14ac:dyDescent="0.2">
      <c r="A509" s="2" t="s">
        <v>54</v>
      </c>
      <c r="B509" s="4">
        <v>60</v>
      </c>
      <c r="C509" s="5">
        <v>26.67</v>
      </c>
      <c r="D509" s="4">
        <v>50</v>
      </c>
      <c r="E509" s="5">
        <v>33.56</v>
      </c>
      <c r="F509" s="4">
        <v>10</v>
      </c>
      <c r="G509" s="5">
        <v>14.49</v>
      </c>
      <c r="H509" s="4">
        <v>0</v>
      </c>
    </row>
    <row r="510" spans="1:8" x14ac:dyDescent="0.2">
      <c r="A510" s="2" t="s">
        <v>55</v>
      </c>
      <c r="B510" s="4">
        <v>28</v>
      </c>
      <c r="C510" s="5">
        <v>12.44</v>
      </c>
      <c r="D510" s="4">
        <v>25</v>
      </c>
      <c r="E510" s="5">
        <v>16.78</v>
      </c>
      <c r="F510" s="4">
        <v>2</v>
      </c>
      <c r="G510" s="5">
        <v>2.9</v>
      </c>
      <c r="H510" s="4">
        <v>1</v>
      </c>
    </row>
    <row r="511" spans="1:8" x14ac:dyDescent="0.2">
      <c r="A511" s="2" t="s">
        <v>56</v>
      </c>
      <c r="B511" s="4">
        <v>11</v>
      </c>
      <c r="C511" s="5">
        <v>4.8899999999999997</v>
      </c>
      <c r="D511" s="4">
        <v>6</v>
      </c>
      <c r="E511" s="5">
        <v>4.03</v>
      </c>
      <c r="F511" s="4">
        <v>0</v>
      </c>
      <c r="G511" s="5">
        <v>0</v>
      </c>
      <c r="H511" s="4">
        <v>0</v>
      </c>
    </row>
    <row r="512" spans="1:8" x14ac:dyDescent="0.2">
      <c r="A512" s="2" t="s">
        <v>57</v>
      </c>
      <c r="B512" s="4">
        <v>3</v>
      </c>
      <c r="C512" s="5">
        <v>1.33</v>
      </c>
      <c r="D512" s="4">
        <v>1</v>
      </c>
      <c r="E512" s="5">
        <v>0.67</v>
      </c>
      <c r="F512" s="4">
        <v>2</v>
      </c>
      <c r="G512" s="5">
        <v>2.9</v>
      </c>
      <c r="H512" s="4">
        <v>0</v>
      </c>
    </row>
    <row r="513" spans="1:8" x14ac:dyDescent="0.2">
      <c r="A513" s="2" t="s">
        <v>58</v>
      </c>
      <c r="B513" s="4">
        <v>9</v>
      </c>
      <c r="C513" s="5">
        <v>4</v>
      </c>
      <c r="D513" s="4">
        <v>6</v>
      </c>
      <c r="E513" s="5">
        <v>4.03</v>
      </c>
      <c r="F513" s="4">
        <v>3</v>
      </c>
      <c r="G513" s="5">
        <v>4.3499999999999996</v>
      </c>
      <c r="H513" s="4">
        <v>0</v>
      </c>
    </row>
    <row r="514" spans="1:8" x14ac:dyDescent="0.2">
      <c r="A514" s="1" t="s">
        <v>32</v>
      </c>
      <c r="B514" s="4">
        <v>666</v>
      </c>
      <c r="C514" s="5">
        <v>99.97999999999999</v>
      </c>
      <c r="D514" s="4">
        <v>458</v>
      </c>
      <c r="E514" s="5">
        <v>99.990000000000009</v>
      </c>
      <c r="F514" s="4">
        <v>189</v>
      </c>
      <c r="G514" s="5">
        <v>100.02000000000001</v>
      </c>
      <c r="H514" s="4">
        <v>11</v>
      </c>
    </row>
    <row r="515" spans="1:8" x14ac:dyDescent="0.2">
      <c r="A515" s="2" t="s">
        <v>44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45</v>
      </c>
      <c r="B516" s="4">
        <v>63</v>
      </c>
      <c r="C516" s="5">
        <v>9.4600000000000009</v>
      </c>
      <c r="D516" s="4">
        <v>25</v>
      </c>
      <c r="E516" s="5">
        <v>5.46</v>
      </c>
      <c r="F516" s="4">
        <v>38</v>
      </c>
      <c r="G516" s="5">
        <v>20.11</v>
      </c>
      <c r="H516" s="4">
        <v>0</v>
      </c>
    </row>
    <row r="517" spans="1:8" x14ac:dyDescent="0.2">
      <c r="A517" s="2" t="s">
        <v>46</v>
      </c>
      <c r="B517" s="4">
        <v>53</v>
      </c>
      <c r="C517" s="5">
        <v>7.96</v>
      </c>
      <c r="D517" s="4">
        <v>27</v>
      </c>
      <c r="E517" s="5">
        <v>5.9</v>
      </c>
      <c r="F517" s="4">
        <v>23</v>
      </c>
      <c r="G517" s="5">
        <v>12.17</v>
      </c>
      <c r="H517" s="4">
        <v>3</v>
      </c>
    </row>
    <row r="518" spans="1:8" x14ac:dyDescent="0.2">
      <c r="A518" s="2" t="s">
        <v>47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48</v>
      </c>
      <c r="B519" s="4">
        <v>2</v>
      </c>
      <c r="C519" s="5">
        <v>0.3</v>
      </c>
      <c r="D519" s="4">
        <v>0</v>
      </c>
      <c r="E519" s="5">
        <v>0</v>
      </c>
      <c r="F519" s="4">
        <v>2</v>
      </c>
      <c r="G519" s="5">
        <v>1.06</v>
      </c>
      <c r="H519" s="4">
        <v>0</v>
      </c>
    </row>
    <row r="520" spans="1:8" x14ac:dyDescent="0.2">
      <c r="A520" s="2" t="s">
        <v>49</v>
      </c>
      <c r="B520" s="4">
        <v>2</v>
      </c>
      <c r="C520" s="5">
        <v>0.3</v>
      </c>
      <c r="D520" s="4">
        <v>0</v>
      </c>
      <c r="E520" s="5">
        <v>0</v>
      </c>
      <c r="F520" s="4">
        <v>2</v>
      </c>
      <c r="G520" s="5">
        <v>1.06</v>
      </c>
      <c r="H520" s="4">
        <v>0</v>
      </c>
    </row>
    <row r="521" spans="1:8" x14ac:dyDescent="0.2">
      <c r="A521" s="2" t="s">
        <v>50</v>
      </c>
      <c r="B521" s="4">
        <v>153</v>
      </c>
      <c r="C521" s="5">
        <v>22.97</v>
      </c>
      <c r="D521" s="4">
        <v>90</v>
      </c>
      <c r="E521" s="5">
        <v>19.649999999999999</v>
      </c>
      <c r="F521" s="4">
        <v>60</v>
      </c>
      <c r="G521" s="5">
        <v>31.75</v>
      </c>
      <c r="H521" s="4">
        <v>3</v>
      </c>
    </row>
    <row r="522" spans="1:8" x14ac:dyDescent="0.2">
      <c r="A522" s="2" t="s">
        <v>51</v>
      </c>
      <c r="B522" s="4">
        <v>4</v>
      </c>
      <c r="C522" s="5">
        <v>0.6</v>
      </c>
      <c r="D522" s="4">
        <v>1</v>
      </c>
      <c r="E522" s="5">
        <v>0.22</v>
      </c>
      <c r="F522" s="4">
        <v>3</v>
      </c>
      <c r="G522" s="5">
        <v>1.59</v>
      </c>
      <c r="H522" s="4">
        <v>0</v>
      </c>
    </row>
    <row r="523" spans="1:8" x14ac:dyDescent="0.2">
      <c r="A523" s="2" t="s">
        <v>52</v>
      </c>
      <c r="B523" s="4">
        <v>24</v>
      </c>
      <c r="C523" s="5">
        <v>3.6</v>
      </c>
      <c r="D523" s="4">
        <v>10</v>
      </c>
      <c r="E523" s="5">
        <v>2.1800000000000002</v>
      </c>
      <c r="F523" s="4">
        <v>14</v>
      </c>
      <c r="G523" s="5">
        <v>7.41</v>
      </c>
      <c r="H523" s="4">
        <v>0</v>
      </c>
    </row>
    <row r="524" spans="1:8" x14ac:dyDescent="0.2">
      <c r="A524" s="2" t="s">
        <v>53</v>
      </c>
      <c r="B524" s="4">
        <v>11</v>
      </c>
      <c r="C524" s="5">
        <v>1.65</v>
      </c>
      <c r="D524" s="4">
        <v>10</v>
      </c>
      <c r="E524" s="5">
        <v>2.1800000000000002</v>
      </c>
      <c r="F524" s="4">
        <v>1</v>
      </c>
      <c r="G524" s="5">
        <v>0.53</v>
      </c>
      <c r="H524" s="4">
        <v>0</v>
      </c>
    </row>
    <row r="525" spans="1:8" x14ac:dyDescent="0.2">
      <c r="A525" s="2" t="s">
        <v>54</v>
      </c>
      <c r="B525" s="4">
        <v>219</v>
      </c>
      <c r="C525" s="5">
        <v>32.880000000000003</v>
      </c>
      <c r="D525" s="4">
        <v>196</v>
      </c>
      <c r="E525" s="5">
        <v>42.79</v>
      </c>
      <c r="F525" s="4">
        <v>21</v>
      </c>
      <c r="G525" s="5">
        <v>11.11</v>
      </c>
      <c r="H525" s="4">
        <v>1</v>
      </c>
    </row>
    <row r="526" spans="1:8" x14ac:dyDescent="0.2">
      <c r="A526" s="2" t="s">
        <v>55</v>
      </c>
      <c r="B526" s="4">
        <v>82</v>
      </c>
      <c r="C526" s="5">
        <v>12.31</v>
      </c>
      <c r="D526" s="4">
        <v>66</v>
      </c>
      <c r="E526" s="5">
        <v>14.41</v>
      </c>
      <c r="F526" s="4">
        <v>14</v>
      </c>
      <c r="G526" s="5">
        <v>7.41</v>
      </c>
      <c r="H526" s="4">
        <v>1</v>
      </c>
    </row>
    <row r="527" spans="1:8" x14ac:dyDescent="0.2">
      <c r="A527" s="2" t="s">
        <v>56</v>
      </c>
      <c r="B527" s="4">
        <v>17</v>
      </c>
      <c r="C527" s="5">
        <v>2.5499999999999998</v>
      </c>
      <c r="D527" s="4">
        <v>11</v>
      </c>
      <c r="E527" s="5">
        <v>2.4</v>
      </c>
      <c r="F527" s="4">
        <v>1</v>
      </c>
      <c r="G527" s="5">
        <v>0.53</v>
      </c>
      <c r="H527" s="4">
        <v>2</v>
      </c>
    </row>
    <row r="528" spans="1:8" x14ac:dyDescent="0.2">
      <c r="A528" s="2" t="s">
        <v>57</v>
      </c>
      <c r="B528" s="4">
        <v>22</v>
      </c>
      <c r="C528" s="5">
        <v>3.3</v>
      </c>
      <c r="D528" s="4">
        <v>11</v>
      </c>
      <c r="E528" s="5">
        <v>2.4</v>
      </c>
      <c r="F528" s="4">
        <v>8</v>
      </c>
      <c r="G528" s="5">
        <v>4.2300000000000004</v>
      </c>
      <c r="H528" s="4">
        <v>1</v>
      </c>
    </row>
    <row r="529" spans="1:8" x14ac:dyDescent="0.2">
      <c r="A529" s="2" t="s">
        <v>58</v>
      </c>
      <c r="B529" s="4">
        <v>14</v>
      </c>
      <c r="C529" s="5">
        <v>2.1</v>
      </c>
      <c r="D529" s="4">
        <v>11</v>
      </c>
      <c r="E529" s="5">
        <v>2.4</v>
      </c>
      <c r="F529" s="4">
        <v>2</v>
      </c>
      <c r="G529" s="5">
        <v>1.06</v>
      </c>
      <c r="H529" s="4">
        <v>0</v>
      </c>
    </row>
    <row r="530" spans="1:8" x14ac:dyDescent="0.2">
      <c r="A530" s="1" t="s">
        <v>33</v>
      </c>
      <c r="B530" s="4">
        <v>60</v>
      </c>
      <c r="C530" s="5">
        <v>100.01</v>
      </c>
      <c r="D530" s="4">
        <v>41</v>
      </c>
      <c r="E530" s="5">
        <v>100.00999999999999</v>
      </c>
      <c r="F530" s="4">
        <v>13</v>
      </c>
      <c r="G530" s="5">
        <v>99.97999999999999</v>
      </c>
      <c r="H530" s="4">
        <v>0</v>
      </c>
    </row>
    <row r="531" spans="1:8" x14ac:dyDescent="0.2">
      <c r="A531" s="2" t="s">
        <v>44</v>
      </c>
      <c r="B531" s="4">
        <v>1</v>
      </c>
      <c r="C531" s="5">
        <v>1.67</v>
      </c>
      <c r="D531" s="4">
        <v>0</v>
      </c>
      <c r="E531" s="5">
        <v>0</v>
      </c>
      <c r="F531" s="4">
        <v>1</v>
      </c>
      <c r="G531" s="5">
        <v>7.69</v>
      </c>
      <c r="H531" s="4">
        <v>0</v>
      </c>
    </row>
    <row r="532" spans="1:8" x14ac:dyDescent="0.2">
      <c r="A532" s="2" t="s">
        <v>45</v>
      </c>
      <c r="B532" s="4">
        <v>6</v>
      </c>
      <c r="C532" s="5">
        <v>10</v>
      </c>
      <c r="D532" s="4">
        <v>0</v>
      </c>
      <c r="E532" s="5">
        <v>0</v>
      </c>
      <c r="F532" s="4">
        <v>6</v>
      </c>
      <c r="G532" s="5">
        <v>46.15</v>
      </c>
      <c r="H532" s="4">
        <v>0</v>
      </c>
    </row>
    <row r="533" spans="1:8" x14ac:dyDescent="0.2">
      <c r="A533" s="2" t="s">
        <v>46</v>
      </c>
      <c r="B533" s="4">
        <v>13</v>
      </c>
      <c r="C533" s="5">
        <v>21.67</v>
      </c>
      <c r="D533" s="4">
        <v>12</v>
      </c>
      <c r="E533" s="5">
        <v>29.27</v>
      </c>
      <c r="F533" s="4">
        <v>1</v>
      </c>
      <c r="G533" s="5">
        <v>7.69</v>
      </c>
      <c r="H533" s="4">
        <v>0</v>
      </c>
    </row>
    <row r="534" spans="1:8" x14ac:dyDescent="0.2">
      <c r="A534" s="2" t="s">
        <v>47</v>
      </c>
      <c r="B534" s="4">
        <v>1</v>
      </c>
      <c r="C534" s="5">
        <v>1.67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48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49</v>
      </c>
      <c r="B536" s="4">
        <v>0</v>
      </c>
      <c r="C536" s="5">
        <v>0</v>
      </c>
      <c r="D536" s="4">
        <v>0</v>
      </c>
      <c r="E536" s="5">
        <v>0</v>
      </c>
      <c r="F536" s="4">
        <v>0</v>
      </c>
      <c r="G536" s="5">
        <v>0</v>
      </c>
      <c r="H536" s="4">
        <v>0</v>
      </c>
    </row>
    <row r="537" spans="1:8" x14ac:dyDescent="0.2">
      <c r="A537" s="2" t="s">
        <v>50</v>
      </c>
      <c r="B537" s="4">
        <v>14</v>
      </c>
      <c r="C537" s="5">
        <v>23.33</v>
      </c>
      <c r="D537" s="4">
        <v>12</v>
      </c>
      <c r="E537" s="5">
        <v>29.27</v>
      </c>
      <c r="F537" s="4">
        <v>2</v>
      </c>
      <c r="G537" s="5">
        <v>15.38</v>
      </c>
      <c r="H537" s="4">
        <v>0</v>
      </c>
    </row>
    <row r="538" spans="1:8" x14ac:dyDescent="0.2">
      <c r="A538" s="2" t="s">
        <v>51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52</v>
      </c>
      <c r="B539" s="4">
        <v>2</v>
      </c>
      <c r="C539" s="5">
        <v>3.33</v>
      </c>
      <c r="D539" s="4">
        <v>0</v>
      </c>
      <c r="E539" s="5">
        <v>0</v>
      </c>
      <c r="F539" s="4">
        <v>1</v>
      </c>
      <c r="G539" s="5">
        <v>7.69</v>
      </c>
      <c r="H539" s="4">
        <v>0</v>
      </c>
    </row>
    <row r="540" spans="1:8" x14ac:dyDescent="0.2">
      <c r="A540" s="2" t="s">
        <v>53</v>
      </c>
      <c r="B540" s="4">
        <v>1</v>
      </c>
      <c r="C540" s="5">
        <v>1.67</v>
      </c>
      <c r="D540" s="4">
        <v>1</v>
      </c>
      <c r="E540" s="5">
        <v>2.44</v>
      </c>
      <c r="F540" s="4">
        <v>0</v>
      </c>
      <c r="G540" s="5">
        <v>0</v>
      </c>
      <c r="H540" s="4">
        <v>0</v>
      </c>
    </row>
    <row r="541" spans="1:8" x14ac:dyDescent="0.2">
      <c r="A541" s="2" t="s">
        <v>54</v>
      </c>
      <c r="B541" s="4">
        <v>9</v>
      </c>
      <c r="C541" s="5">
        <v>15</v>
      </c>
      <c r="D541" s="4">
        <v>9</v>
      </c>
      <c r="E541" s="5">
        <v>21.95</v>
      </c>
      <c r="F541" s="4">
        <v>0</v>
      </c>
      <c r="G541" s="5">
        <v>0</v>
      </c>
      <c r="H541" s="4">
        <v>0</v>
      </c>
    </row>
    <row r="542" spans="1:8" x14ac:dyDescent="0.2">
      <c r="A542" s="2" t="s">
        <v>55</v>
      </c>
      <c r="B542" s="4">
        <v>3</v>
      </c>
      <c r="C542" s="5">
        <v>5</v>
      </c>
      <c r="D542" s="4">
        <v>3</v>
      </c>
      <c r="E542" s="5">
        <v>7.32</v>
      </c>
      <c r="F542" s="4">
        <v>0</v>
      </c>
      <c r="G542" s="5">
        <v>0</v>
      </c>
      <c r="H542" s="4">
        <v>0</v>
      </c>
    </row>
    <row r="543" spans="1:8" x14ac:dyDescent="0.2">
      <c r="A543" s="2" t="s">
        <v>56</v>
      </c>
      <c r="B543" s="4">
        <v>1</v>
      </c>
      <c r="C543" s="5">
        <v>1.67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2">
      <c r="A544" s="2" t="s">
        <v>57</v>
      </c>
      <c r="B544" s="4">
        <v>5</v>
      </c>
      <c r="C544" s="5">
        <v>8.33</v>
      </c>
      <c r="D544" s="4">
        <v>2</v>
      </c>
      <c r="E544" s="5">
        <v>4.88</v>
      </c>
      <c r="F544" s="4">
        <v>0</v>
      </c>
      <c r="G544" s="5">
        <v>0</v>
      </c>
      <c r="H544" s="4">
        <v>0</v>
      </c>
    </row>
    <row r="545" spans="1:8" x14ac:dyDescent="0.2">
      <c r="A545" s="2" t="s">
        <v>58</v>
      </c>
      <c r="B545" s="4">
        <v>4</v>
      </c>
      <c r="C545" s="5">
        <v>6.67</v>
      </c>
      <c r="D545" s="4">
        <v>2</v>
      </c>
      <c r="E545" s="5">
        <v>4.88</v>
      </c>
      <c r="F545" s="4">
        <v>2</v>
      </c>
      <c r="G545" s="5">
        <v>15.38</v>
      </c>
      <c r="H545" s="4">
        <v>0</v>
      </c>
    </row>
    <row r="546" spans="1:8" x14ac:dyDescent="0.2">
      <c r="A546" s="1" t="s">
        <v>34</v>
      </c>
      <c r="B546" s="4">
        <v>61</v>
      </c>
      <c r="C546" s="5">
        <v>100.01</v>
      </c>
      <c r="D546" s="4">
        <v>33</v>
      </c>
      <c r="E546" s="5">
        <v>99.990000000000009</v>
      </c>
      <c r="F546" s="4">
        <v>25</v>
      </c>
      <c r="G546" s="5">
        <v>100</v>
      </c>
      <c r="H546" s="4">
        <v>0</v>
      </c>
    </row>
    <row r="547" spans="1:8" x14ac:dyDescent="0.2">
      <c r="A547" s="2" t="s">
        <v>44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45</v>
      </c>
      <c r="B548" s="4">
        <v>10</v>
      </c>
      <c r="C548" s="5">
        <v>16.39</v>
      </c>
      <c r="D548" s="4">
        <v>5</v>
      </c>
      <c r="E548" s="5">
        <v>15.15</v>
      </c>
      <c r="F548" s="4">
        <v>5</v>
      </c>
      <c r="G548" s="5">
        <v>20</v>
      </c>
      <c r="H548" s="4">
        <v>0</v>
      </c>
    </row>
    <row r="549" spans="1:8" x14ac:dyDescent="0.2">
      <c r="A549" s="2" t="s">
        <v>46</v>
      </c>
      <c r="B549" s="4">
        <v>6</v>
      </c>
      <c r="C549" s="5">
        <v>9.84</v>
      </c>
      <c r="D549" s="4">
        <v>1</v>
      </c>
      <c r="E549" s="5">
        <v>3.03</v>
      </c>
      <c r="F549" s="4">
        <v>5</v>
      </c>
      <c r="G549" s="5">
        <v>20</v>
      </c>
      <c r="H549" s="4">
        <v>0</v>
      </c>
    </row>
    <row r="550" spans="1:8" x14ac:dyDescent="0.2">
      <c r="A550" s="2" t="s">
        <v>47</v>
      </c>
      <c r="B550" s="4">
        <v>1</v>
      </c>
      <c r="C550" s="5">
        <v>1.64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48</v>
      </c>
      <c r="B551" s="4">
        <v>1</v>
      </c>
      <c r="C551" s="5">
        <v>1.64</v>
      </c>
      <c r="D551" s="4">
        <v>0</v>
      </c>
      <c r="E551" s="5">
        <v>0</v>
      </c>
      <c r="F551" s="4">
        <v>1</v>
      </c>
      <c r="G551" s="5">
        <v>4</v>
      </c>
      <c r="H551" s="4">
        <v>0</v>
      </c>
    </row>
    <row r="552" spans="1:8" x14ac:dyDescent="0.2">
      <c r="A552" s="2" t="s">
        <v>49</v>
      </c>
      <c r="B552" s="4">
        <v>0</v>
      </c>
      <c r="C552" s="5">
        <v>0</v>
      </c>
      <c r="D552" s="4">
        <v>0</v>
      </c>
      <c r="E552" s="5">
        <v>0</v>
      </c>
      <c r="F552" s="4">
        <v>0</v>
      </c>
      <c r="G552" s="5">
        <v>0</v>
      </c>
      <c r="H552" s="4">
        <v>0</v>
      </c>
    </row>
    <row r="553" spans="1:8" x14ac:dyDescent="0.2">
      <c r="A553" s="2" t="s">
        <v>50</v>
      </c>
      <c r="B553" s="4">
        <v>18</v>
      </c>
      <c r="C553" s="5">
        <v>29.51</v>
      </c>
      <c r="D553" s="4">
        <v>10</v>
      </c>
      <c r="E553" s="5">
        <v>30.3</v>
      </c>
      <c r="F553" s="4">
        <v>8</v>
      </c>
      <c r="G553" s="5">
        <v>32</v>
      </c>
      <c r="H553" s="4">
        <v>0</v>
      </c>
    </row>
    <row r="554" spans="1:8" x14ac:dyDescent="0.2">
      <c r="A554" s="2" t="s">
        <v>51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52</v>
      </c>
      <c r="B555" s="4">
        <v>5</v>
      </c>
      <c r="C555" s="5">
        <v>8.1999999999999993</v>
      </c>
      <c r="D555" s="4">
        <v>1</v>
      </c>
      <c r="E555" s="5">
        <v>3.03</v>
      </c>
      <c r="F555" s="4">
        <v>3</v>
      </c>
      <c r="G555" s="5">
        <v>12</v>
      </c>
      <c r="H555" s="4">
        <v>0</v>
      </c>
    </row>
    <row r="556" spans="1:8" x14ac:dyDescent="0.2">
      <c r="A556" s="2" t="s">
        <v>53</v>
      </c>
      <c r="B556" s="4">
        <v>1</v>
      </c>
      <c r="C556" s="5">
        <v>1.64</v>
      </c>
      <c r="D556" s="4">
        <v>0</v>
      </c>
      <c r="E556" s="5">
        <v>0</v>
      </c>
      <c r="F556" s="4">
        <v>1</v>
      </c>
      <c r="G556" s="5">
        <v>4</v>
      </c>
      <c r="H556" s="4">
        <v>0</v>
      </c>
    </row>
    <row r="557" spans="1:8" x14ac:dyDescent="0.2">
      <c r="A557" s="2" t="s">
        <v>54</v>
      </c>
      <c r="B557" s="4">
        <v>10</v>
      </c>
      <c r="C557" s="5">
        <v>16.39</v>
      </c>
      <c r="D557" s="4">
        <v>9</v>
      </c>
      <c r="E557" s="5">
        <v>27.27</v>
      </c>
      <c r="F557" s="4">
        <v>1</v>
      </c>
      <c r="G557" s="5">
        <v>4</v>
      </c>
      <c r="H557" s="4">
        <v>0</v>
      </c>
    </row>
    <row r="558" spans="1:8" x14ac:dyDescent="0.2">
      <c r="A558" s="2" t="s">
        <v>55</v>
      </c>
      <c r="B558" s="4">
        <v>6</v>
      </c>
      <c r="C558" s="5">
        <v>9.84</v>
      </c>
      <c r="D558" s="4">
        <v>6</v>
      </c>
      <c r="E558" s="5">
        <v>18.18</v>
      </c>
      <c r="F558" s="4">
        <v>0</v>
      </c>
      <c r="G558" s="5">
        <v>0</v>
      </c>
      <c r="H558" s="4">
        <v>0</v>
      </c>
    </row>
    <row r="559" spans="1:8" x14ac:dyDescent="0.2">
      <c r="A559" s="2" t="s">
        <v>56</v>
      </c>
      <c r="B559" s="4">
        <v>0</v>
      </c>
      <c r="C559" s="5">
        <v>0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57</v>
      </c>
      <c r="B560" s="4">
        <v>2</v>
      </c>
      <c r="C560" s="5">
        <v>3.28</v>
      </c>
      <c r="D560" s="4">
        <v>1</v>
      </c>
      <c r="E560" s="5">
        <v>3.03</v>
      </c>
      <c r="F560" s="4">
        <v>0</v>
      </c>
      <c r="G560" s="5">
        <v>0</v>
      </c>
      <c r="H560" s="4">
        <v>0</v>
      </c>
    </row>
    <row r="561" spans="1:8" x14ac:dyDescent="0.2">
      <c r="A561" s="2" t="s">
        <v>58</v>
      </c>
      <c r="B561" s="4">
        <v>1</v>
      </c>
      <c r="C561" s="5">
        <v>1.64</v>
      </c>
      <c r="D561" s="4">
        <v>0</v>
      </c>
      <c r="E561" s="5">
        <v>0</v>
      </c>
      <c r="F561" s="4">
        <v>1</v>
      </c>
      <c r="G561" s="5">
        <v>4</v>
      </c>
      <c r="H561" s="4">
        <v>0</v>
      </c>
    </row>
    <row r="562" spans="1:8" x14ac:dyDescent="0.2">
      <c r="A562" s="1" t="s">
        <v>35</v>
      </c>
      <c r="B562" s="4">
        <v>372</v>
      </c>
      <c r="C562" s="5">
        <v>100.01</v>
      </c>
      <c r="D562" s="4">
        <v>265</v>
      </c>
      <c r="E562" s="5">
        <v>99.99</v>
      </c>
      <c r="F562" s="4">
        <v>95</v>
      </c>
      <c r="G562" s="5">
        <v>100</v>
      </c>
      <c r="H562" s="4">
        <v>0</v>
      </c>
    </row>
    <row r="563" spans="1:8" x14ac:dyDescent="0.2">
      <c r="A563" s="2" t="s">
        <v>44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45</v>
      </c>
      <c r="B564" s="4">
        <v>23</v>
      </c>
      <c r="C564" s="5">
        <v>6.18</v>
      </c>
      <c r="D564" s="4">
        <v>5</v>
      </c>
      <c r="E564" s="5">
        <v>1.89</v>
      </c>
      <c r="F564" s="4">
        <v>18</v>
      </c>
      <c r="G564" s="5">
        <v>18.95</v>
      </c>
      <c r="H564" s="4">
        <v>0</v>
      </c>
    </row>
    <row r="565" spans="1:8" x14ac:dyDescent="0.2">
      <c r="A565" s="2" t="s">
        <v>46</v>
      </c>
      <c r="B565" s="4">
        <v>21</v>
      </c>
      <c r="C565" s="5">
        <v>5.65</v>
      </c>
      <c r="D565" s="4">
        <v>12</v>
      </c>
      <c r="E565" s="5">
        <v>4.53</v>
      </c>
      <c r="F565" s="4">
        <v>9</v>
      </c>
      <c r="G565" s="5">
        <v>9.4700000000000006</v>
      </c>
      <c r="H565" s="4">
        <v>0</v>
      </c>
    </row>
    <row r="566" spans="1:8" x14ac:dyDescent="0.2">
      <c r="A566" s="2" t="s">
        <v>47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48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2">
      <c r="A568" s="2" t="s">
        <v>49</v>
      </c>
      <c r="B568" s="4">
        <v>11</v>
      </c>
      <c r="C568" s="5">
        <v>2.96</v>
      </c>
      <c r="D568" s="4">
        <v>6</v>
      </c>
      <c r="E568" s="5">
        <v>2.2599999999999998</v>
      </c>
      <c r="F568" s="4">
        <v>5</v>
      </c>
      <c r="G568" s="5">
        <v>5.26</v>
      </c>
      <c r="H568" s="4">
        <v>0</v>
      </c>
    </row>
    <row r="569" spans="1:8" x14ac:dyDescent="0.2">
      <c r="A569" s="2" t="s">
        <v>50</v>
      </c>
      <c r="B569" s="4">
        <v>108</v>
      </c>
      <c r="C569" s="5">
        <v>29.03</v>
      </c>
      <c r="D569" s="4">
        <v>83</v>
      </c>
      <c r="E569" s="5">
        <v>31.32</v>
      </c>
      <c r="F569" s="4">
        <v>25</v>
      </c>
      <c r="G569" s="5">
        <v>26.32</v>
      </c>
      <c r="H569" s="4">
        <v>0</v>
      </c>
    </row>
    <row r="570" spans="1:8" x14ac:dyDescent="0.2">
      <c r="A570" s="2" t="s">
        <v>51</v>
      </c>
      <c r="B570" s="4">
        <v>1</v>
      </c>
      <c r="C570" s="5">
        <v>0.27</v>
      </c>
      <c r="D570" s="4">
        <v>0</v>
      </c>
      <c r="E570" s="5">
        <v>0</v>
      </c>
      <c r="F570" s="4">
        <v>1</v>
      </c>
      <c r="G570" s="5">
        <v>1.05</v>
      </c>
      <c r="H570" s="4">
        <v>0</v>
      </c>
    </row>
    <row r="571" spans="1:8" x14ac:dyDescent="0.2">
      <c r="A571" s="2" t="s">
        <v>52</v>
      </c>
      <c r="B571" s="4">
        <v>23</v>
      </c>
      <c r="C571" s="5">
        <v>6.18</v>
      </c>
      <c r="D571" s="4">
        <v>8</v>
      </c>
      <c r="E571" s="5">
        <v>3.02</v>
      </c>
      <c r="F571" s="4">
        <v>15</v>
      </c>
      <c r="G571" s="5">
        <v>15.79</v>
      </c>
      <c r="H571" s="4">
        <v>0</v>
      </c>
    </row>
    <row r="572" spans="1:8" x14ac:dyDescent="0.2">
      <c r="A572" s="2" t="s">
        <v>53</v>
      </c>
      <c r="B572" s="4">
        <v>11</v>
      </c>
      <c r="C572" s="5">
        <v>2.96</v>
      </c>
      <c r="D572" s="4">
        <v>6</v>
      </c>
      <c r="E572" s="5">
        <v>2.2599999999999998</v>
      </c>
      <c r="F572" s="4">
        <v>4</v>
      </c>
      <c r="G572" s="5">
        <v>4.21</v>
      </c>
      <c r="H572" s="4">
        <v>0</v>
      </c>
    </row>
    <row r="573" spans="1:8" x14ac:dyDescent="0.2">
      <c r="A573" s="2" t="s">
        <v>54</v>
      </c>
      <c r="B573" s="4">
        <v>94</v>
      </c>
      <c r="C573" s="5">
        <v>25.27</v>
      </c>
      <c r="D573" s="4">
        <v>91</v>
      </c>
      <c r="E573" s="5">
        <v>34.340000000000003</v>
      </c>
      <c r="F573" s="4">
        <v>3</v>
      </c>
      <c r="G573" s="5">
        <v>3.16</v>
      </c>
      <c r="H573" s="4">
        <v>0</v>
      </c>
    </row>
    <row r="574" spans="1:8" x14ac:dyDescent="0.2">
      <c r="A574" s="2" t="s">
        <v>55</v>
      </c>
      <c r="B574" s="4">
        <v>51</v>
      </c>
      <c r="C574" s="5">
        <v>13.71</v>
      </c>
      <c r="D574" s="4">
        <v>44</v>
      </c>
      <c r="E574" s="5">
        <v>16.600000000000001</v>
      </c>
      <c r="F574" s="4">
        <v>5</v>
      </c>
      <c r="G574" s="5">
        <v>5.26</v>
      </c>
      <c r="H574" s="4">
        <v>0</v>
      </c>
    </row>
    <row r="575" spans="1:8" x14ac:dyDescent="0.2">
      <c r="A575" s="2" t="s">
        <v>56</v>
      </c>
      <c r="B575" s="4">
        <v>8</v>
      </c>
      <c r="C575" s="5">
        <v>2.15</v>
      </c>
      <c r="D575" s="4">
        <v>3</v>
      </c>
      <c r="E575" s="5">
        <v>1.1299999999999999</v>
      </c>
      <c r="F575" s="4">
        <v>2</v>
      </c>
      <c r="G575" s="5">
        <v>2.11</v>
      </c>
      <c r="H575" s="4">
        <v>0</v>
      </c>
    </row>
    <row r="576" spans="1:8" x14ac:dyDescent="0.2">
      <c r="A576" s="2" t="s">
        <v>57</v>
      </c>
      <c r="B576" s="4">
        <v>11</v>
      </c>
      <c r="C576" s="5">
        <v>2.96</v>
      </c>
      <c r="D576" s="4">
        <v>2</v>
      </c>
      <c r="E576" s="5">
        <v>0.75</v>
      </c>
      <c r="F576" s="4">
        <v>5</v>
      </c>
      <c r="G576" s="5">
        <v>5.26</v>
      </c>
      <c r="H576" s="4">
        <v>0</v>
      </c>
    </row>
    <row r="577" spans="1:8" x14ac:dyDescent="0.2">
      <c r="A577" s="2" t="s">
        <v>58</v>
      </c>
      <c r="B577" s="4">
        <v>10</v>
      </c>
      <c r="C577" s="5">
        <v>2.69</v>
      </c>
      <c r="D577" s="4">
        <v>5</v>
      </c>
      <c r="E577" s="5">
        <v>1.89</v>
      </c>
      <c r="F577" s="4">
        <v>3</v>
      </c>
      <c r="G577" s="5">
        <v>3.16</v>
      </c>
      <c r="H577" s="4">
        <v>0</v>
      </c>
    </row>
    <row r="578" spans="1:8" x14ac:dyDescent="0.2">
      <c r="A578" s="1" t="s">
        <v>36</v>
      </c>
      <c r="B578" s="4">
        <v>238</v>
      </c>
      <c r="C578" s="5">
        <v>99.99</v>
      </c>
      <c r="D578" s="4">
        <v>155</v>
      </c>
      <c r="E578" s="5">
        <v>100.03</v>
      </c>
      <c r="F578" s="4">
        <v>77</v>
      </c>
      <c r="G578" s="5">
        <v>100.00999999999999</v>
      </c>
      <c r="H578" s="4">
        <v>3</v>
      </c>
    </row>
    <row r="579" spans="1:8" x14ac:dyDescent="0.2">
      <c r="A579" s="2" t="s">
        <v>44</v>
      </c>
      <c r="B579" s="4">
        <v>1</v>
      </c>
      <c r="C579" s="5">
        <v>0.42</v>
      </c>
      <c r="D579" s="4">
        <v>0</v>
      </c>
      <c r="E579" s="5">
        <v>0</v>
      </c>
      <c r="F579" s="4">
        <v>1</v>
      </c>
      <c r="G579" s="5">
        <v>1.3</v>
      </c>
      <c r="H579" s="4">
        <v>0</v>
      </c>
    </row>
    <row r="580" spans="1:8" x14ac:dyDescent="0.2">
      <c r="A580" s="2" t="s">
        <v>45</v>
      </c>
      <c r="B580" s="4">
        <v>23</v>
      </c>
      <c r="C580" s="5">
        <v>9.66</v>
      </c>
      <c r="D580" s="4">
        <v>7</v>
      </c>
      <c r="E580" s="5">
        <v>4.5199999999999996</v>
      </c>
      <c r="F580" s="4">
        <v>16</v>
      </c>
      <c r="G580" s="5">
        <v>20.78</v>
      </c>
      <c r="H580" s="4">
        <v>0</v>
      </c>
    </row>
    <row r="581" spans="1:8" x14ac:dyDescent="0.2">
      <c r="A581" s="2" t="s">
        <v>46</v>
      </c>
      <c r="B581" s="4">
        <v>28</v>
      </c>
      <c r="C581" s="5">
        <v>11.76</v>
      </c>
      <c r="D581" s="4">
        <v>14</v>
      </c>
      <c r="E581" s="5">
        <v>9.0299999999999994</v>
      </c>
      <c r="F581" s="4">
        <v>14</v>
      </c>
      <c r="G581" s="5">
        <v>18.18</v>
      </c>
      <c r="H581" s="4">
        <v>0</v>
      </c>
    </row>
    <row r="582" spans="1:8" x14ac:dyDescent="0.2">
      <c r="A582" s="2" t="s">
        <v>47</v>
      </c>
      <c r="B582" s="4">
        <v>1</v>
      </c>
      <c r="C582" s="5">
        <v>0.42</v>
      </c>
      <c r="D582" s="4">
        <v>0</v>
      </c>
      <c r="E582" s="5">
        <v>0</v>
      </c>
      <c r="F582" s="4">
        <v>1</v>
      </c>
      <c r="G582" s="5">
        <v>1.3</v>
      </c>
      <c r="H582" s="4">
        <v>0</v>
      </c>
    </row>
    <row r="583" spans="1:8" x14ac:dyDescent="0.2">
      <c r="A583" s="2" t="s">
        <v>48</v>
      </c>
      <c r="B583" s="4">
        <v>3</v>
      </c>
      <c r="C583" s="5">
        <v>1.26</v>
      </c>
      <c r="D583" s="4">
        <v>0</v>
      </c>
      <c r="E583" s="5">
        <v>0</v>
      </c>
      <c r="F583" s="4">
        <v>3</v>
      </c>
      <c r="G583" s="5">
        <v>3.9</v>
      </c>
      <c r="H583" s="4">
        <v>0</v>
      </c>
    </row>
    <row r="584" spans="1:8" x14ac:dyDescent="0.2">
      <c r="A584" s="2" t="s">
        <v>49</v>
      </c>
      <c r="B584" s="4">
        <v>2</v>
      </c>
      <c r="C584" s="5">
        <v>0.84</v>
      </c>
      <c r="D584" s="4">
        <v>1</v>
      </c>
      <c r="E584" s="5">
        <v>0.65</v>
      </c>
      <c r="F584" s="4">
        <v>1</v>
      </c>
      <c r="G584" s="5">
        <v>1.3</v>
      </c>
      <c r="H584" s="4">
        <v>0</v>
      </c>
    </row>
    <row r="585" spans="1:8" x14ac:dyDescent="0.2">
      <c r="A585" s="2" t="s">
        <v>50</v>
      </c>
      <c r="B585" s="4">
        <v>63</v>
      </c>
      <c r="C585" s="5">
        <v>26.47</v>
      </c>
      <c r="D585" s="4">
        <v>42</v>
      </c>
      <c r="E585" s="5">
        <v>27.1</v>
      </c>
      <c r="F585" s="4">
        <v>20</v>
      </c>
      <c r="G585" s="5">
        <v>25.97</v>
      </c>
      <c r="H585" s="4">
        <v>0</v>
      </c>
    </row>
    <row r="586" spans="1:8" x14ac:dyDescent="0.2">
      <c r="A586" s="2" t="s">
        <v>51</v>
      </c>
      <c r="B586" s="4">
        <v>1</v>
      </c>
      <c r="C586" s="5">
        <v>0.42</v>
      </c>
      <c r="D586" s="4">
        <v>0</v>
      </c>
      <c r="E586" s="5">
        <v>0</v>
      </c>
      <c r="F586" s="4">
        <v>1</v>
      </c>
      <c r="G586" s="5">
        <v>1.3</v>
      </c>
      <c r="H586" s="4">
        <v>0</v>
      </c>
    </row>
    <row r="587" spans="1:8" x14ac:dyDescent="0.2">
      <c r="A587" s="2" t="s">
        <v>52</v>
      </c>
      <c r="B587" s="4">
        <v>5</v>
      </c>
      <c r="C587" s="5">
        <v>2.1</v>
      </c>
      <c r="D587" s="4">
        <v>1</v>
      </c>
      <c r="E587" s="5">
        <v>0.65</v>
      </c>
      <c r="F587" s="4">
        <v>4</v>
      </c>
      <c r="G587" s="5">
        <v>5.19</v>
      </c>
      <c r="H587" s="4">
        <v>0</v>
      </c>
    </row>
    <row r="588" spans="1:8" x14ac:dyDescent="0.2">
      <c r="A588" s="2" t="s">
        <v>53</v>
      </c>
      <c r="B588" s="4">
        <v>11</v>
      </c>
      <c r="C588" s="5">
        <v>4.62</v>
      </c>
      <c r="D588" s="4">
        <v>6</v>
      </c>
      <c r="E588" s="5">
        <v>3.87</v>
      </c>
      <c r="F588" s="4">
        <v>5</v>
      </c>
      <c r="G588" s="5">
        <v>6.49</v>
      </c>
      <c r="H588" s="4">
        <v>0</v>
      </c>
    </row>
    <row r="589" spans="1:8" x14ac:dyDescent="0.2">
      <c r="A589" s="2" t="s">
        <v>54</v>
      </c>
      <c r="B589" s="4">
        <v>39</v>
      </c>
      <c r="C589" s="5">
        <v>16.39</v>
      </c>
      <c r="D589" s="4">
        <v>36</v>
      </c>
      <c r="E589" s="5">
        <v>23.23</v>
      </c>
      <c r="F589" s="4">
        <v>3</v>
      </c>
      <c r="G589" s="5">
        <v>3.9</v>
      </c>
      <c r="H589" s="4">
        <v>0</v>
      </c>
    </row>
    <row r="590" spans="1:8" x14ac:dyDescent="0.2">
      <c r="A590" s="2" t="s">
        <v>55</v>
      </c>
      <c r="B590" s="4">
        <v>39</v>
      </c>
      <c r="C590" s="5">
        <v>16.39</v>
      </c>
      <c r="D590" s="4">
        <v>36</v>
      </c>
      <c r="E590" s="5">
        <v>23.23</v>
      </c>
      <c r="F590" s="4">
        <v>3</v>
      </c>
      <c r="G590" s="5">
        <v>3.9</v>
      </c>
      <c r="H590" s="4">
        <v>0</v>
      </c>
    </row>
    <row r="591" spans="1:8" x14ac:dyDescent="0.2">
      <c r="A591" s="2" t="s">
        <v>56</v>
      </c>
      <c r="B591" s="4">
        <v>5</v>
      </c>
      <c r="C591" s="5">
        <v>2.1</v>
      </c>
      <c r="D591" s="4">
        <v>3</v>
      </c>
      <c r="E591" s="5">
        <v>1.94</v>
      </c>
      <c r="F591" s="4">
        <v>0</v>
      </c>
      <c r="G591" s="5">
        <v>0</v>
      </c>
      <c r="H591" s="4">
        <v>2</v>
      </c>
    </row>
    <row r="592" spans="1:8" x14ac:dyDescent="0.2">
      <c r="A592" s="2" t="s">
        <v>57</v>
      </c>
      <c r="B592" s="4">
        <v>7</v>
      </c>
      <c r="C592" s="5">
        <v>2.94</v>
      </c>
      <c r="D592" s="4">
        <v>2</v>
      </c>
      <c r="E592" s="5">
        <v>1.29</v>
      </c>
      <c r="F592" s="4">
        <v>3</v>
      </c>
      <c r="G592" s="5">
        <v>3.9</v>
      </c>
      <c r="H592" s="4">
        <v>0</v>
      </c>
    </row>
    <row r="593" spans="1:8" x14ac:dyDescent="0.2">
      <c r="A593" s="2" t="s">
        <v>58</v>
      </c>
      <c r="B593" s="4">
        <v>10</v>
      </c>
      <c r="C593" s="5">
        <v>4.2</v>
      </c>
      <c r="D593" s="4">
        <v>7</v>
      </c>
      <c r="E593" s="5">
        <v>4.5199999999999996</v>
      </c>
      <c r="F593" s="4">
        <v>2</v>
      </c>
      <c r="G593" s="5">
        <v>2.6</v>
      </c>
      <c r="H593" s="4">
        <v>1</v>
      </c>
    </row>
    <row r="594" spans="1:8" x14ac:dyDescent="0.2">
      <c r="A594" s="1" t="s">
        <v>37</v>
      </c>
      <c r="B594" s="4">
        <v>259</v>
      </c>
      <c r="C594" s="5">
        <v>100.01</v>
      </c>
      <c r="D594" s="4">
        <v>184</v>
      </c>
      <c r="E594" s="5">
        <v>99.99</v>
      </c>
      <c r="F594" s="4">
        <v>70</v>
      </c>
      <c r="G594" s="5">
        <v>100.01000000000002</v>
      </c>
      <c r="H594" s="4">
        <v>1</v>
      </c>
    </row>
    <row r="595" spans="1:8" x14ac:dyDescent="0.2">
      <c r="A595" s="2" t="s">
        <v>44</v>
      </c>
      <c r="B595" s="4">
        <v>1</v>
      </c>
      <c r="C595" s="5">
        <v>0.39</v>
      </c>
      <c r="D595" s="4">
        <v>0</v>
      </c>
      <c r="E595" s="5">
        <v>0</v>
      </c>
      <c r="F595" s="4">
        <v>1</v>
      </c>
      <c r="G595" s="5">
        <v>1.43</v>
      </c>
      <c r="H595" s="4">
        <v>0</v>
      </c>
    </row>
    <row r="596" spans="1:8" x14ac:dyDescent="0.2">
      <c r="A596" s="2" t="s">
        <v>45</v>
      </c>
      <c r="B596" s="4">
        <v>29</v>
      </c>
      <c r="C596" s="5">
        <v>11.2</v>
      </c>
      <c r="D596" s="4">
        <v>11</v>
      </c>
      <c r="E596" s="5">
        <v>5.98</v>
      </c>
      <c r="F596" s="4">
        <v>18</v>
      </c>
      <c r="G596" s="5">
        <v>25.71</v>
      </c>
      <c r="H596" s="4">
        <v>0</v>
      </c>
    </row>
    <row r="597" spans="1:8" x14ac:dyDescent="0.2">
      <c r="A597" s="2" t="s">
        <v>46</v>
      </c>
      <c r="B597" s="4">
        <v>29</v>
      </c>
      <c r="C597" s="5">
        <v>11.2</v>
      </c>
      <c r="D597" s="4">
        <v>18</v>
      </c>
      <c r="E597" s="5">
        <v>9.7799999999999994</v>
      </c>
      <c r="F597" s="4">
        <v>11</v>
      </c>
      <c r="G597" s="5">
        <v>15.71</v>
      </c>
      <c r="H597" s="4">
        <v>0</v>
      </c>
    </row>
    <row r="598" spans="1:8" x14ac:dyDescent="0.2">
      <c r="A598" s="2" t="s">
        <v>47</v>
      </c>
      <c r="B598" s="4">
        <v>1</v>
      </c>
      <c r="C598" s="5">
        <v>0.39</v>
      </c>
      <c r="D598" s="4">
        <v>0</v>
      </c>
      <c r="E598" s="5">
        <v>0</v>
      </c>
      <c r="F598" s="4">
        <v>1</v>
      </c>
      <c r="G598" s="5">
        <v>1.43</v>
      </c>
      <c r="H598" s="4">
        <v>0</v>
      </c>
    </row>
    <row r="599" spans="1:8" x14ac:dyDescent="0.2">
      <c r="A599" s="2" t="s">
        <v>48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2">
      <c r="A600" s="2" t="s">
        <v>49</v>
      </c>
      <c r="B600" s="4">
        <v>3</v>
      </c>
      <c r="C600" s="5">
        <v>1.1599999999999999</v>
      </c>
      <c r="D600" s="4">
        <v>0</v>
      </c>
      <c r="E600" s="5">
        <v>0</v>
      </c>
      <c r="F600" s="4">
        <v>3</v>
      </c>
      <c r="G600" s="5">
        <v>4.29</v>
      </c>
      <c r="H600" s="4">
        <v>0</v>
      </c>
    </row>
    <row r="601" spans="1:8" x14ac:dyDescent="0.2">
      <c r="A601" s="2" t="s">
        <v>50</v>
      </c>
      <c r="B601" s="4">
        <v>64</v>
      </c>
      <c r="C601" s="5">
        <v>24.71</v>
      </c>
      <c r="D601" s="4">
        <v>51</v>
      </c>
      <c r="E601" s="5">
        <v>27.72</v>
      </c>
      <c r="F601" s="4">
        <v>12</v>
      </c>
      <c r="G601" s="5">
        <v>17.14</v>
      </c>
      <c r="H601" s="4">
        <v>0</v>
      </c>
    </row>
    <row r="602" spans="1:8" x14ac:dyDescent="0.2">
      <c r="A602" s="2" t="s">
        <v>51</v>
      </c>
      <c r="B602" s="4">
        <v>2</v>
      </c>
      <c r="C602" s="5">
        <v>0.77</v>
      </c>
      <c r="D602" s="4">
        <v>1</v>
      </c>
      <c r="E602" s="5">
        <v>0.54</v>
      </c>
      <c r="F602" s="4">
        <v>1</v>
      </c>
      <c r="G602" s="5">
        <v>1.43</v>
      </c>
      <c r="H602" s="4">
        <v>0</v>
      </c>
    </row>
    <row r="603" spans="1:8" x14ac:dyDescent="0.2">
      <c r="A603" s="2" t="s">
        <v>52</v>
      </c>
      <c r="B603" s="4">
        <v>9</v>
      </c>
      <c r="C603" s="5">
        <v>3.47</v>
      </c>
      <c r="D603" s="4">
        <v>3</v>
      </c>
      <c r="E603" s="5">
        <v>1.63</v>
      </c>
      <c r="F603" s="4">
        <v>6</v>
      </c>
      <c r="G603" s="5">
        <v>8.57</v>
      </c>
      <c r="H603" s="4">
        <v>0</v>
      </c>
    </row>
    <row r="604" spans="1:8" x14ac:dyDescent="0.2">
      <c r="A604" s="2" t="s">
        <v>53</v>
      </c>
      <c r="B604" s="4">
        <v>8</v>
      </c>
      <c r="C604" s="5">
        <v>3.09</v>
      </c>
      <c r="D604" s="4">
        <v>6</v>
      </c>
      <c r="E604" s="5">
        <v>3.26</v>
      </c>
      <c r="F604" s="4">
        <v>2</v>
      </c>
      <c r="G604" s="5">
        <v>2.86</v>
      </c>
      <c r="H604" s="4">
        <v>0</v>
      </c>
    </row>
    <row r="605" spans="1:8" x14ac:dyDescent="0.2">
      <c r="A605" s="2" t="s">
        <v>54</v>
      </c>
      <c r="B605" s="4">
        <v>57</v>
      </c>
      <c r="C605" s="5">
        <v>22.01</v>
      </c>
      <c r="D605" s="4">
        <v>53</v>
      </c>
      <c r="E605" s="5">
        <v>28.8</v>
      </c>
      <c r="F605" s="4">
        <v>3</v>
      </c>
      <c r="G605" s="5">
        <v>4.29</v>
      </c>
      <c r="H605" s="4">
        <v>0</v>
      </c>
    </row>
    <row r="606" spans="1:8" x14ac:dyDescent="0.2">
      <c r="A606" s="2" t="s">
        <v>55</v>
      </c>
      <c r="B606" s="4">
        <v>28</v>
      </c>
      <c r="C606" s="5">
        <v>10.81</v>
      </c>
      <c r="D606" s="4">
        <v>25</v>
      </c>
      <c r="E606" s="5">
        <v>13.59</v>
      </c>
      <c r="F606" s="4">
        <v>3</v>
      </c>
      <c r="G606" s="5">
        <v>4.29</v>
      </c>
      <c r="H606" s="4">
        <v>0</v>
      </c>
    </row>
    <row r="607" spans="1:8" x14ac:dyDescent="0.2">
      <c r="A607" s="2" t="s">
        <v>56</v>
      </c>
      <c r="B607" s="4">
        <v>8</v>
      </c>
      <c r="C607" s="5">
        <v>3.09</v>
      </c>
      <c r="D607" s="4">
        <v>5</v>
      </c>
      <c r="E607" s="5">
        <v>2.72</v>
      </c>
      <c r="F607" s="4">
        <v>2</v>
      </c>
      <c r="G607" s="5">
        <v>2.86</v>
      </c>
      <c r="H607" s="4">
        <v>0</v>
      </c>
    </row>
    <row r="608" spans="1:8" x14ac:dyDescent="0.2">
      <c r="A608" s="2" t="s">
        <v>57</v>
      </c>
      <c r="B608" s="4">
        <v>10</v>
      </c>
      <c r="C608" s="5">
        <v>3.86</v>
      </c>
      <c r="D608" s="4">
        <v>7</v>
      </c>
      <c r="E608" s="5">
        <v>3.8</v>
      </c>
      <c r="F608" s="4">
        <v>3</v>
      </c>
      <c r="G608" s="5">
        <v>4.29</v>
      </c>
      <c r="H608" s="4">
        <v>0</v>
      </c>
    </row>
    <row r="609" spans="1:8" x14ac:dyDescent="0.2">
      <c r="A609" s="2" t="s">
        <v>58</v>
      </c>
      <c r="B609" s="4">
        <v>10</v>
      </c>
      <c r="C609" s="5">
        <v>3.86</v>
      </c>
      <c r="D609" s="4">
        <v>4</v>
      </c>
      <c r="E609" s="5">
        <v>2.17</v>
      </c>
      <c r="F609" s="4">
        <v>4</v>
      </c>
      <c r="G609" s="5">
        <v>5.71</v>
      </c>
      <c r="H609" s="4">
        <v>1</v>
      </c>
    </row>
    <row r="610" spans="1:8" x14ac:dyDescent="0.2">
      <c r="A610" s="1" t="s">
        <v>38</v>
      </c>
      <c r="B610" s="4">
        <v>463</v>
      </c>
      <c r="C610" s="5">
        <v>100.02</v>
      </c>
      <c r="D610" s="4">
        <v>320</v>
      </c>
      <c r="E610" s="5">
        <v>100.00999999999999</v>
      </c>
      <c r="F610" s="4">
        <v>136</v>
      </c>
      <c r="G610" s="5">
        <v>100.00999999999999</v>
      </c>
      <c r="H610" s="4">
        <v>2</v>
      </c>
    </row>
    <row r="611" spans="1:8" x14ac:dyDescent="0.2">
      <c r="A611" s="2" t="s">
        <v>44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45</v>
      </c>
      <c r="B612" s="4">
        <v>48</v>
      </c>
      <c r="C612" s="5">
        <v>10.37</v>
      </c>
      <c r="D612" s="4">
        <v>14</v>
      </c>
      <c r="E612" s="5">
        <v>4.38</v>
      </c>
      <c r="F612" s="4">
        <v>34</v>
      </c>
      <c r="G612" s="5">
        <v>25</v>
      </c>
      <c r="H612" s="4">
        <v>0</v>
      </c>
    </row>
    <row r="613" spans="1:8" x14ac:dyDescent="0.2">
      <c r="A613" s="2" t="s">
        <v>46</v>
      </c>
      <c r="B613" s="4">
        <v>26</v>
      </c>
      <c r="C613" s="5">
        <v>5.62</v>
      </c>
      <c r="D613" s="4">
        <v>12</v>
      </c>
      <c r="E613" s="5">
        <v>3.75</v>
      </c>
      <c r="F613" s="4">
        <v>14</v>
      </c>
      <c r="G613" s="5">
        <v>10.29</v>
      </c>
      <c r="H613" s="4">
        <v>0</v>
      </c>
    </row>
    <row r="614" spans="1:8" x14ac:dyDescent="0.2">
      <c r="A614" s="2" t="s">
        <v>47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48</v>
      </c>
      <c r="B615" s="4">
        <v>3</v>
      </c>
      <c r="C615" s="5">
        <v>0.65</v>
      </c>
      <c r="D615" s="4">
        <v>0</v>
      </c>
      <c r="E615" s="5">
        <v>0</v>
      </c>
      <c r="F615" s="4">
        <v>3</v>
      </c>
      <c r="G615" s="5">
        <v>2.21</v>
      </c>
      <c r="H615" s="4">
        <v>0</v>
      </c>
    </row>
    <row r="616" spans="1:8" x14ac:dyDescent="0.2">
      <c r="A616" s="2" t="s">
        <v>49</v>
      </c>
      <c r="B616" s="4">
        <v>6</v>
      </c>
      <c r="C616" s="5">
        <v>1.3</v>
      </c>
      <c r="D616" s="4">
        <v>0</v>
      </c>
      <c r="E616" s="5">
        <v>0</v>
      </c>
      <c r="F616" s="4">
        <v>6</v>
      </c>
      <c r="G616" s="5">
        <v>4.41</v>
      </c>
      <c r="H616" s="4">
        <v>0</v>
      </c>
    </row>
    <row r="617" spans="1:8" x14ac:dyDescent="0.2">
      <c r="A617" s="2" t="s">
        <v>50</v>
      </c>
      <c r="B617" s="4">
        <v>132</v>
      </c>
      <c r="C617" s="5">
        <v>28.51</v>
      </c>
      <c r="D617" s="4">
        <v>93</v>
      </c>
      <c r="E617" s="5">
        <v>29.06</v>
      </c>
      <c r="F617" s="4">
        <v>39</v>
      </c>
      <c r="G617" s="5">
        <v>28.68</v>
      </c>
      <c r="H617" s="4">
        <v>0</v>
      </c>
    </row>
    <row r="618" spans="1:8" x14ac:dyDescent="0.2">
      <c r="A618" s="2" t="s">
        <v>51</v>
      </c>
      <c r="B618" s="4">
        <v>1</v>
      </c>
      <c r="C618" s="5">
        <v>0.22</v>
      </c>
      <c r="D618" s="4">
        <v>0</v>
      </c>
      <c r="E618" s="5">
        <v>0</v>
      </c>
      <c r="F618" s="4">
        <v>1</v>
      </c>
      <c r="G618" s="5">
        <v>0.74</v>
      </c>
      <c r="H618" s="4">
        <v>0</v>
      </c>
    </row>
    <row r="619" spans="1:8" x14ac:dyDescent="0.2">
      <c r="A619" s="2" t="s">
        <v>52</v>
      </c>
      <c r="B619" s="4">
        <v>44</v>
      </c>
      <c r="C619" s="5">
        <v>9.5</v>
      </c>
      <c r="D619" s="4">
        <v>31</v>
      </c>
      <c r="E619" s="5">
        <v>9.69</v>
      </c>
      <c r="F619" s="4">
        <v>12</v>
      </c>
      <c r="G619" s="5">
        <v>8.82</v>
      </c>
      <c r="H619" s="4">
        <v>0</v>
      </c>
    </row>
    <row r="620" spans="1:8" x14ac:dyDescent="0.2">
      <c r="A620" s="2" t="s">
        <v>53</v>
      </c>
      <c r="B620" s="4">
        <v>11</v>
      </c>
      <c r="C620" s="5">
        <v>2.38</v>
      </c>
      <c r="D620" s="4">
        <v>8</v>
      </c>
      <c r="E620" s="5">
        <v>2.5</v>
      </c>
      <c r="F620" s="4">
        <v>3</v>
      </c>
      <c r="G620" s="5">
        <v>2.21</v>
      </c>
      <c r="H620" s="4">
        <v>0</v>
      </c>
    </row>
    <row r="621" spans="1:8" x14ac:dyDescent="0.2">
      <c r="A621" s="2" t="s">
        <v>54</v>
      </c>
      <c r="B621" s="4">
        <v>101</v>
      </c>
      <c r="C621" s="5">
        <v>21.81</v>
      </c>
      <c r="D621" s="4">
        <v>93</v>
      </c>
      <c r="E621" s="5">
        <v>29.06</v>
      </c>
      <c r="F621" s="4">
        <v>6</v>
      </c>
      <c r="G621" s="5">
        <v>4.41</v>
      </c>
      <c r="H621" s="4">
        <v>0</v>
      </c>
    </row>
    <row r="622" spans="1:8" x14ac:dyDescent="0.2">
      <c r="A622" s="2" t="s">
        <v>55</v>
      </c>
      <c r="B622" s="4">
        <v>51</v>
      </c>
      <c r="C622" s="5">
        <v>11.02</v>
      </c>
      <c r="D622" s="4">
        <v>44</v>
      </c>
      <c r="E622" s="5">
        <v>13.75</v>
      </c>
      <c r="F622" s="4">
        <v>6</v>
      </c>
      <c r="G622" s="5">
        <v>4.41</v>
      </c>
      <c r="H622" s="4">
        <v>1</v>
      </c>
    </row>
    <row r="623" spans="1:8" x14ac:dyDescent="0.2">
      <c r="A623" s="2" t="s">
        <v>56</v>
      </c>
      <c r="B623" s="4">
        <v>8</v>
      </c>
      <c r="C623" s="5">
        <v>1.73</v>
      </c>
      <c r="D623" s="4">
        <v>7</v>
      </c>
      <c r="E623" s="5">
        <v>2.19</v>
      </c>
      <c r="F623" s="4">
        <v>1</v>
      </c>
      <c r="G623" s="5">
        <v>0.74</v>
      </c>
      <c r="H623" s="4">
        <v>0</v>
      </c>
    </row>
    <row r="624" spans="1:8" x14ac:dyDescent="0.2">
      <c r="A624" s="2" t="s">
        <v>57</v>
      </c>
      <c r="B624" s="4">
        <v>9</v>
      </c>
      <c r="C624" s="5">
        <v>1.94</v>
      </c>
      <c r="D624" s="4">
        <v>4</v>
      </c>
      <c r="E624" s="5">
        <v>1.25</v>
      </c>
      <c r="F624" s="4">
        <v>5</v>
      </c>
      <c r="G624" s="5">
        <v>3.68</v>
      </c>
      <c r="H624" s="4">
        <v>0</v>
      </c>
    </row>
    <row r="625" spans="1:8" x14ac:dyDescent="0.2">
      <c r="A625" s="2" t="s">
        <v>58</v>
      </c>
      <c r="B625" s="4">
        <v>23</v>
      </c>
      <c r="C625" s="5">
        <v>4.97</v>
      </c>
      <c r="D625" s="4">
        <v>14</v>
      </c>
      <c r="E625" s="5">
        <v>4.38</v>
      </c>
      <c r="F625" s="4">
        <v>6</v>
      </c>
      <c r="G625" s="5">
        <v>4.41</v>
      </c>
      <c r="H625" s="4">
        <v>1</v>
      </c>
    </row>
    <row r="626" spans="1:8" x14ac:dyDescent="0.2">
      <c r="A626" s="1" t="s">
        <v>39</v>
      </c>
      <c r="B626" s="4">
        <v>188</v>
      </c>
      <c r="C626" s="5">
        <v>100</v>
      </c>
      <c r="D626" s="4">
        <v>101</v>
      </c>
      <c r="E626" s="5">
        <v>99.989999999999981</v>
      </c>
      <c r="F626" s="4">
        <v>81</v>
      </c>
      <c r="G626" s="5">
        <v>99.97999999999999</v>
      </c>
      <c r="H626" s="4">
        <v>0</v>
      </c>
    </row>
    <row r="627" spans="1:8" x14ac:dyDescent="0.2">
      <c r="A627" s="2" t="s">
        <v>44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45</v>
      </c>
      <c r="B628" s="4">
        <v>26</v>
      </c>
      <c r="C628" s="5">
        <v>13.83</v>
      </c>
      <c r="D628" s="4">
        <v>2</v>
      </c>
      <c r="E628" s="5">
        <v>1.98</v>
      </c>
      <c r="F628" s="4">
        <v>24</v>
      </c>
      <c r="G628" s="5">
        <v>29.63</v>
      </c>
      <c r="H628" s="4">
        <v>0</v>
      </c>
    </row>
    <row r="629" spans="1:8" x14ac:dyDescent="0.2">
      <c r="A629" s="2" t="s">
        <v>46</v>
      </c>
      <c r="B629" s="4">
        <v>16</v>
      </c>
      <c r="C629" s="5">
        <v>8.51</v>
      </c>
      <c r="D629" s="4">
        <v>7</v>
      </c>
      <c r="E629" s="5">
        <v>6.93</v>
      </c>
      <c r="F629" s="4">
        <v>9</v>
      </c>
      <c r="G629" s="5">
        <v>11.11</v>
      </c>
      <c r="H629" s="4">
        <v>0</v>
      </c>
    </row>
    <row r="630" spans="1:8" x14ac:dyDescent="0.2">
      <c r="A630" s="2" t="s">
        <v>47</v>
      </c>
      <c r="B630" s="4">
        <v>1</v>
      </c>
      <c r="C630" s="5">
        <v>0.53</v>
      </c>
      <c r="D630" s="4">
        <v>0</v>
      </c>
      <c r="E630" s="5">
        <v>0</v>
      </c>
      <c r="F630" s="4">
        <v>1</v>
      </c>
      <c r="G630" s="5">
        <v>1.23</v>
      </c>
      <c r="H630" s="4">
        <v>0</v>
      </c>
    </row>
    <row r="631" spans="1:8" x14ac:dyDescent="0.2">
      <c r="A631" s="2" t="s">
        <v>48</v>
      </c>
      <c r="B631" s="4">
        <v>1</v>
      </c>
      <c r="C631" s="5">
        <v>0.53</v>
      </c>
      <c r="D631" s="4">
        <v>0</v>
      </c>
      <c r="E631" s="5">
        <v>0</v>
      </c>
      <c r="F631" s="4">
        <v>1</v>
      </c>
      <c r="G631" s="5">
        <v>1.23</v>
      </c>
      <c r="H631" s="4">
        <v>0</v>
      </c>
    </row>
    <row r="632" spans="1:8" x14ac:dyDescent="0.2">
      <c r="A632" s="2" t="s">
        <v>49</v>
      </c>
      <c r="B632" s="4">
        <v>4</v>
      </c>
      <c r="C632" s="5">
        <v>2.13</v>
      </c>
      <c r="D632" s="4">
        <v>0</v>
      </c>
      <c r="E632" s="5">
        <v>0</v>
      </c>
      <c r="F632" s="4">
        <v>4</v>
      </c>
      <c r="G632" s="5">
        <v>4.9400000000000004</v>
      </c>
      <c r="H632" s="4">
        <v>0</v>
      </c>
    </row>
    <row r="633" spans="1:8" x14ac:dyDescent="0.2">
      <c r="A633" s="2" t="s">
        <v>50</v>
      </c>
      <c r="B633" s="4">
        <v>63</v>
      </c>
      <c r="C633" s="5">
        <v>33.51</v>
      </c>
      <c r="D633" s="4">
        <v>37</v>
      </c>
      <c r="E633" s="5">
        <v>36.630000000000003</v>
      </c>
      <c r="F633" s="4">
        <v>26</v>
      </c>
      <c r="G633" s="5">
        <v>32.1</v>
      </c>
      <c r="H633" s="4">
        <v>0</v>
      </c>
    </row>
    <row r="634" spans="1:8" x14ac:dyDescent="0.2">
      <c r="A634" s="2" t="s">
        <v>51</v>
      </c>
      <c r="B634" s="4">
        <v>1</v>
      </c>
      <c r="C634" s="5">
        <v>0.53</v>
      </c>
      <c r="D634" s="4">
        <v>0</v>
      </c>
      <c r="E634" s="5">
        <v>0</v>
      </c>
      <c r="F634" s="4">
        <v>1</v>
      </c>
      <c r="G634" s="5">
        <v>1.23</v>
      </c>
      <c r="H634" s="4">
        <v>0</v>
      </c>
    </row>
    <row r="635" spans="1:8" x14ac:dyDescent="0.2">
      <c r="A635" s="2" t="s">
        <v>52</v>
      </c>
      <c r="B635" s="4">
        <v>2</v>
      </c>
      <c r="C635" s="5">
        <v>1.06</v>
      </c>
      <c r="D635" s="4">
        <v>0</v>
      </c>
      <c r="E635" s="5">
        <v>0</v>
      </c>
      <c r="F635" s="4">
        <v>2</v>
      </c>
      <c r="G635" s="5">
        <v>2.4700000000000002</v>
      </c>
      <c r="H635" s="4">
        <v>0</v>
      </c>
    </row>
    <row r="636" spans="1:8" x14ac:dyDescent="0.2">
      <c r="A636" s="2" t="s">
        <v>53</v>
      </c>
      <c r="B636" s="4">
        <v>4</v>
      </c>
      <c r="C636" s="5">
        <v>2.13</v>
      </c>
      <c r="D636" s="4">
        <v>2</v>
      </c>
      <c r="E636" s="5">
        <v>1.98</v>
      </c>
      <c r="F636" s="4">
        <v>2</v>
      </c>
      <c r="G636" s="5">
        <v>2.4700000000000002</v>
      </c>
      <c r="H636" s="4">
        <v>0</v>
      </c>
    </row>
    <row r="637" spans="1:8" x14ac:dyDescent="0.2">
      <c r="A637" s="2" t="s">
        <v>54</v>
      </c>
      <c r="B637" s="4">
        <v>28</v>
      </c>
      <c r="C637" s="5">
        <v>14.89</v>
      </c>
      <c r="D637" s="4">
        <v>24</v>
      </c>
      <c r="E637" s="5">
        <v>23.76</v>
      </c>
      <c r="F637" s="4">
        <v>4</v>
      </c>
      <c r="G637" s="5">
        <v>4.9400000000000004</v>
      </c>
      <c r="H637" s="4">
        <v>0</v>
      </c>
    </row>
    <row r="638" spans="1:8" x14ac:dyDescent="0.2">
      <c r="A638" s="2" t="s">
        <v>55</v>
      </c>
      <c r="B638" s="4">
        <v>26</v>
      </c>
      <c r="C638" s="5">
        <v>13.83</v>
      </c>
      <c r="D638" s="4">
        <v>23</v>
      </c>
      <c r="E638" s="5">
        <v>22.77</v>
      </c>
      <c r="F638" s="4">
        <v>1</v>
      </c>
      <c r="G638" s="5">
        <v>1.23</v>
      </c>
      <c r="H638" s="4">
        <v>0</v>
      </c>
    </row>
    <row r="639" spans="1:8" x14ac:dyDescent="0.2">
      <c r="A639" s="2" t="s">
        <v>56</v>
      </c>
      <c r="B639" s="4">
        <v>3</v>
      </c>
      <c r="C639" s="5">
        <v>1.6</v>
      </c>
      <c r="D639" s="4">
        <v>1</v>
      </c>
      <c r="E639" s="5">
        <v>0.99</v>
      </c>
      <c r="F639" s="4">
        <v>0</v>
      </c>
      <c r="G639" s="5">
        <v>0</v>
      </c>
      <c r="H639" s="4">
        <v>0</v>
      </c>
    </row>
    <row r="640" spans="1:8" x14ac:dyDescent="0.2">
      <c r="A640" s="2" t="s">
        <v>57</v>
      </c>
      <c r="B640" s="4">
        <v>5</v>
      </c>
      <c r="C640" s="5">
        <v>2.66</v>
      </c>
      <c r="D640" s="4">
        <v>1</v>
      </c>
      <c r="E640" s="5">
        <v>0.99</v>
      </c>
      <c r="F640" s="4">
        <v>3</v>
      </c>
      <c r="G640" s="5">
        <v>3.7</v>
      </c>
      <c r="H640" s="4">
        <v>0</v>
      </c>
    </row>
    <row r="641" spans="1:8" x14ac:dyDescent="0.2">
      <c r="A641" s="2" t="s">
        <v>58</v>
      </c>
      <c r="B641" s="4">
        <v>8</v>
      </c>
      <c r="C641" s="5">
        <v>4.26</v>
      </c>
      <c r="D641" s="4">
        <v>4</v>
      </c>
      <c r="E641" s="5">
        <v>3.96</v>
      </c>
      <c r="F641" s="4">
        <v>3</v>
      </c>
      <c r="G641" s="5">
        <v>3.7</v>
      </c>
      <c r="H641" s="4">
        <v>0</v>
      </c>
    </row>
    <row r="642" spans="1:8" x14ac:dyDescent="0.2">
      <c r="A642" s="1" t="s">
        <v>40</v>
      </c>
      <c r="B642" s="4">
        <v>166</v>
      </c>
      <c r="C642" s="5">
        <v>99.990000000000009</v>
      </c>
      <c r="D642" s="4">
        <v>117</v>
      </c>
      <c r="E642" s="5">
        <v>100</v>
      </c>
      <c r="F642" s="4">
        <v>46</v>
      </c>
      <c r="G642" s="5">
        <v>99.99</v>
      </c>
      <c r="H642" s="4">
        <v>0</v>
      </c>
    </row>
    <row r="643" spans="1:8" x14ac:dyDescent="0.2">
      <c r="A643" s="2" t="s">
        <v>44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45</v>
      </c>
      <c r="B644" s="4">
        <v>30</v>
      </c>
      <c r="C644" s="5">
        <v>18.07</v>
      </c>
      <c r="D644" s="4">
        <v>8</v>
      </c>
      <c r="E644" s="5">
        <v>6.84</v>
      </c>
      <c r="F644" s="4">
        <v>22</v>
      </c>
      <c r="G644" s="5">
        <v>47.83</v>
      </c>
      <c r="H644" s="4">
        <v>0</v>
      </c>
    </row>
    <row r="645" spans="1:8" x14ac:dyDescent="0.2">
      <c r="A645" s="2" t="s">
        <v>46</v>
      </c>
      <c r="B645" s="4">
        <v>14</v>
      </c>
      <c r="C645" s="5">
        <v>8.43</v>
      </c>
      <c r="D645" s="4">
        <v>11</v>
      </c>
      <c r="E645" s="5">
        <v>9.4</v>
      </c>
      <c r="F645" s="4">
        <v>3</v>
      </c>
      <c r="G645" s="5">
        <v>6.52</v>
      </c>
      <c r="H645" s="4">
        <v>0</v>
      </c>
    </row>
    <row r="646" spans="1:8" x14ac:dyDescent="0.2">
      <c r="A646" s="2" t="s">
        <v>47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2">
      <c r="A647" s="2" t="s">
        <v>48</v>
      </c>
      <c r="B647" s="4">
        <v>1</v>
      </c>
      <c r="C647" s="5">
        <v>0.6</v>
      </c>
      <c r="D647" s="4">
        <v>0</v>
      </c>
      <c r="E647" s="5">
        <v>0</v>
      </c>
      <c r="F647" s="4">
        <v>1</v>
      </c>
      <c r="G647" s="5">
        <v>2.17</v>
      </c>
      <c r="H647" s="4">
        <v>0</v>
      </c>
    </row>
    <row r="648" spans="1:8" x14ac:dyDescent="0.2">
      <c r="A648" s="2" t="s">
        <v>49</v>
      </c>
      <c r="B648" s="4">
        <v>2</v>
      </c>
      <c r="C648" s="5">
        <v>1.2</v>
      </c>
      <c r="D648" s="4">
        <v>0</v>
      </c>
      <c r="E648" s="5">
        <v>0</v>
      </c>
      <c r="F648" s="4">
        <v>2</v>
      </c>
      <c r="G648" s="5">
        <v>4.3499999999999996</v>
      </c>
      <c r="H648" s="4">
        <v>0</v>
      </c>
    </row>
    <row r="649" spans="1:8" x14ac:dyDescent="0.2">
      <c r="A649" s="2" t="s">
        <v>50</v>
      </c>
      <c r="B649" s="4">
        <v>51</v>
      </c>
      <c r="C649" s="5">
        <v>30.72</v>
      </c>
      <c r="D649" s="4">
        <v>41</v>
      </c>
      <c r="E649" s="5">
        <v>35.04</v>
      </c>
      <c r="F649" s="4">
        <v>10</v>
      </c>
      <c r="G649" s="5">
        <v>21.74</v>
      </c>
      <c r="H649" s="4">
        <v>0</v>
      </c>
    </row>
    <row r="650" spans="1:8" x14ac:dyDescent="0.2">
      <c r="A650" s="2" t="s">
        <v>51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2">
      <c r="A651" s="2" t="s">
        <v>52</v>
      </c>
      <c r="B651" s="4">
        <v>2</v>
      </c>
      <c r="C651" s="5">
        <v>1.2</v>
      </c>
      <c r="D651" s="4">
        <v>2</v>
      </c>
      <c r="E651" s="5">
        <v>1.71</v>
      </c>
      <c r="F651" s="4">
        <v>0</v>
      </c>
      <c r="G651" s="5">
        <v>0</v>
      </c>
      <c r="H651" s="4">
        <v>0</v>
      </c>
    </row>
    <row r="652" spans="1:8" x14ac:dyDescent="0.2">
      <c r="A652" s="2" t="s">
        <v>53</v>
      </c>
      <c r="B652" s="4">
        <v>3</v>
      </c>
      <c r="C652" s="5">
        <v>1.81</v>
      </c>
      <c r="D652" s="4">
        <v>0</v>
      </c>
      <c r="E652" s="5">
        <v>0</v>
      </c>
      <c r="F652" s="4">
        <v>2</v>
      </c>
      <c r="G652" s="5">
        <v>4.3499999999999996</v>
      </c>
      <c r="H652" s="4">
        <v>0</v>
      </c>
    </row>
    <row r="653" spans="1:8" x14ac:dyDescent="0.2">
      <c r="A653" s="2" t="s">
        <v>54</v>
      </c>
      <c r="B653" s="4">
        <v>23</v>
      </c>
      <c r="C653" s="5">
        <v>13.86</v>
      </c>
      <c r="D653" s="4">
        <v>22</v>
      </c>
      <c r="E653" s="5">
        <v>18.8</v>
      </c>
      <c r="F653" s="4">
        <v>1</v>
      </c>
      <c r="G653" s="5">
        <v>2.17</v>
      </c>
      <c r="H653" s="4">
        <v>0</v>
      </c>
    </row>
    <row r="654" spans="1:8" x14ac:dyDescent="0.2">
      <c r="A654" s="2" t="s">
        <v>55</v>
      </c>
      <c r="B654" s="4">
        <v>25</v>
      </c>
      <c r="C654" s="5">
        <v>15.06</v>
      </c>
      <c r="D654" s="4">
        <v>25</v>
      </c>
      <c r="E654" s="5">
        <v>21.37</v>
      </c>
      <c r="F654" s="4">
        <v>0</v>
      </c>
      <c r="G654" s="5">
        <v>0</v>
      </c>
      <c r="H654" s="4">
        <v>0</v>
      </c>
    </row>
    <row r="655" spans="1:8" x14ac:dyDescent="0.2">
      <c r="A655" s="2" t="s">
        <v>56</v>
      </c>
      <c r="B655" s="4">
        <v>5</v>
      </c>
      <c r="C655" s="5">
        <v>3.01</v>
      </c>
      <c r="D655" s="4">
        <v>2</v>
      </c>
      <c r="E655" s="5">
        <v>1.71</v>
      </c>
      <c r="F655" s="4">
        <v>1</v>
      </c>
      <c r="G655" s="5">
        <v>2.17</v>
      </c>
      <c r="H655" s="4">
        <v>0</v>
      </c>
    </row>
    <row r="656" spans="1:8" x14ac:dyDescent="0.2">
      <c r="A656" s="2" t="s">
        <v>57</v>
      </c>
      <c r="B656" s="4">
        <v>3</v>
      </c>
      <c r="C656" s="5">
        <v>1.81</v>
      </c>
      <c r="D656" s="4">
        <v>2</v>
      </c>
      <c r="E656" s="5">
        <v>1.71</v>
      </c>
      <c r="F656" s="4">
        <v>1</v>
      </c>
      <c r="G656" s="5">
        <v>2.17</v>
      </c>
      <c r="H656" s="4">
        <v>0</v>
      </c>
    </row>
    <row r="657" spans="1:8" x14ac:dyDescent="0.2">
      <c r="A657" s="2" t="s">
        <v>58</v>
      </c>
      <c r="B657" s="4">
        <v>7</v>
      </c>
      <c r="C657" s="5">
        <v>4.22</v>
      </c>
      <c r="D657" s="4">
        <v>4</v>
      </c>
      <c r="E657" s="5">
        <v>3.42</v>
      </c>
      <c r="F657" s="4">
        <v>3</v>
      </c>
      <c r="G657" s="5">
        <v>6.52</v>
      </c>
      <c r="H657" s="4">
        <v>0</v>
      </c>
    </row>
    <row r="658" spans="1:8" x14ac:dyDescent="0.2">
      <c r="A658" s="1" t="s">
        <v>41</v>
      </c>
      <c r="B658" s="4">
        <v>283</v>
      </c>
      <c r="C658" s="5">
        <v>100</v>
      </c>
      <c r="D658" s="4">
        <v>200</v>
      </c>
      <c r="E658" s="5">
        <v>100</v>
      </c>
      <c r="F658" s="4">
        <v>74</v>
      </c>
      <c r="G658" s="5">
        <v>99.990000000000009</v>
      </c>
      <c r="H658" s="4">
        <v>3</v>
      </c>
    </row>
    <row r="659" spans="1:8" x14ac:dyDescent="0.2">
      <c r="A659" s="2" t="s">
        <v>44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45</v>
      </c>
      <c r="B660" s="4">
        <v>28</v>
      </c>
      <c r="C660" s="5">
        <v>9.89</v>
      </c>
      <c r="D660" s="4">
        <v>15</v>
      </c>
      <c r="E660" s="5">
        <v>7.5</v>
      </c>
      <c r="F660" s="4">
        <v>13</v>
      </c>
      <c r="G660" s="5">
        <v>17.57</v>
      </c>
      <c r="H660" s="4">
        <v>0</v>
      </c>
    </row>
    <row r="661" spans="1:8" x14ac:dyDescent="0.2">
      <c r="A661" s="2" t="s">
        <v>46</v>
      </c>
      <c r="B661" s="4">
        <v>16</v>
      </c>
      <c r="C661" s="5">
        <v>5.65</v>
      </c>
      <c r="D661" s="4">
        <v>10</v>
      </c>
      <c r="E661" s="5">
        <v>5</v>
      </c>
      <c r="F661" s="4">
        <v>5</v>
      </c>
      <c r="G661" s="5">
        <v>6.76</v>
      </c>
      <c r="H661" s="4">
        <v>1</v>
      </c>
    </row>
    <row r="662" spans="1:8" x14ac:dyDescent="0.2">
      <c r="A662" s="2" t="s">
        <v>47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2">
      <c r="A663" s="2" t="s">
        <v>48</v>
      </c>
      <c r="B663" s="4">
        <v>2</v>
      </c>
      <c r="C663" s="5">
        <v>0.71</v>
      </c>
      <c r="D663" s="4">
        <v>0</v>
      </c>
      <c r="E663" s="5">
        <v>0</v>
      </c>
      <c r="F663" s="4">
        <v>2</v>
      </c>
      <c r="G663" s="5">
        <v>2.7</v>
      </c>
      <c r="H663" s="4">
        <v>0</v>
      </c>
    </row>
    <row r="664" spans="1:8" x14ac:dyDescent="0.2">
      <c r="A664" s="2" t="s">
        <v>49</v>
      </c>
      <c r="B664" s="4">
        <v>3</v>
      </c>
      <c r="C664" s="5">
        <v>1.06</v>
      </c>
      <c r="D664" s="4">
        <v>0</v>
      </c>
      <c r="E664" s="5">
        <v>0</v>
      </c>
      <c r="F664" s="4">
        <v>3</v>
      </c>
      <c r="G664" s="5">
        <v>4.05</v>
      </c>
      <c r="H664" s="4">
        <v>0</v>
      </c>
    </row>
    <row r="665" spans="1:8" x14ac:dyDescent="0.2">
      <c r="A665" s="2" t="s">
        <v>50</v>
      </c>
      <c r="B665" s="4">
        <v>80</v>
      </c>
      <c r="C665" s="5">
        <v>28.27</v>
      </c>
      <c r="D665" s="4">
        <v>56</v>
      </c>
      <c r="E665" s="5">
        <v>28</v>
      </c>
      <c r="F665" s="4">
        <v>24</v>
      </c>
      <c r="G665" s="5">
        <v>32.43</v>
      </c>
      <c r="H665" s="4">
        <v>0</v>
      </c>
    </row>
    <row r="666" spans="1:8" x14ac:dyDescent="0.2">
      <c r="A666" s="2" t="s">
        <v>51</v>
      </c>
      <c r="B666" s="4">
        <v>0</v>
      </c>
      <c r="C666" s="5">
        <v>0</v>
      </c>
      <c r="D666" s="4">
        <v>0</v>
      </c>
      <c r="E666" s="5">
        <v>0</v>
      </c>
      <c r="F666" s="4">
        <v>0</v>
      </c>
      <c r="G666" s="5">
        <v>0</v>
      </c>
      <c r="H666" s="4">
        <v>0</v>
      </c>
    </row>
    <row r="667" spans="1:8" x14ac:dyDescent="0.2">
      <c r="A667" s="2" t="s">
        <v>52</v>
      </c>
      <c r="B667" s="4">
        <v>15</v>
      </c>
      <c r="C667" s="5">
        <v>5.3</v>
      </c>
      <c r="D667" s="4">
        <v>9</v>
      </c>
      <c r="E667" s="5">
        <v>4.5</v>
      </c>
      <c r="F667" s="4">
        <v>6</v>
      </c>
      <c r="G667" s="5">
        <v>8.11</v>
      </c>
      <c r="H667" s="4">
        <v>0</v>
      </c>
    </row>
    <row r="668" spans="1:8" x14ac:dyDescent="0.2">
      <c r="A668" s="2" t="s">
        <v>53</v>
      </c>
      <c r="B668" s="4">
        <v>8</v>
      </c>
      <c r="C668" s="5">
        <v>2.83</v>
      </c>
      <c r="D668" s="4">
        <v>5</v>
      </c>
      <c r="E668" s="5">
        <v>2.5</v>
      </c>
      <c r="F668" s="4">
        <v>2</v>
      </c>
      <c r="G668" s="5">
        <v>2.7</v>
      </c>
      <c r="H668" s="4">
        <v>0</v>
      </c>
    </row>
    <row r="669" spans="1:8" x14ac:dyDescent="0.2">
      <c r="A669" s="2" t="s">
        <v>54</v>
      </c>
      <c r="B669" s="4">
        <v>69</v>
      </c>
      <c r="C669" s="5">
        <v>24.38</v>
      </c>
      <c r="D669" s="4">
        <v>61</v>
      </c>
      <c r="E669" s="5">
        <v>30.5</v>
      </c>
      <c r="F669" s="4">
        <v>8</v>
      </c>
      <c r="G669" s="5">
        <v>10.81</v>
      </c>
      <c r="H669" s="4">
        <v>0</v>
      </c>
    </row>
    <row r="670" spans="1:8" x14ac:dyDescent="0.2">
      <c r="A670" s="2" t="s">
        <v>55</v>
      </c>
      <c r="B670" s="4">
        <v>24</v>
      </c>
      <c r="C670" s="5">
        <v>8.48</v>
      </c>
      <c r="D670" s="4">
        <v>22</v>
      </c>
      <c r="E670" s="5">
        <v>11</v>
      </c>
      <c r="F670" s="4">
        <v>2</v>
      </c>
      <c r="G670" s="5">
        <v>2.7</v>
      </c>
      <c r="H670" s="4">
        <v>0</v>
      </c>
    </row>
    <row r="671" spans="1:8" x14ac:dyDescent="0.2">
      <c r="A671" s="2" t="s">
        <v>56</v>
      </c>
      <c r="B671" s="4">
        <v>15</v>
      </c>
      <c r="C671" s="5">
        <v>5.3</v>
      </c>
      <c r="D671" s="4">
        <v>10</v>
      </c>
      <c r="E671" s="5">
        <v>5</v>
      </c>
      <c r="F671" s="4">
        <v>1</v>
      </c>
      <c r="G671" s="5">
        <v>1.35</v>
      </c>
      <c r="H671" s="4">
        <v>1</v>
      </c>
    </row>
    <row r="672" spans="1:8" x14ac:dyDescent="0.2">
      <c r="A672" s="2" t="s">
        <v>57</v>
      </c>
      <c r="B672" s="4">
        <v>9</v>
      </c>
      <c r="C672" s="5">
        <v>3.18</v>
      </c>
      <c r="D672" s="4">
        <v>7</v>
      </c>
      <c r="E672" s="5">
        <v>3.5</v>
      </c>
      <c r="F672" s="4">
        <v>2</v>
      </c>
      <c r="G672" s="5">
        <v>2.7</v>
      </c>
      <c r="H672" s="4">
        <v>0</v>
      </c>
    </row>
    <row r="673" spans="1:8" x14ac:dyDescent="0.2">
      <c r="A673" s="2" t="s">
        <v>58</v>
      </c>
      <c r="B673" s="4">
        <v>14</v>
      </c>
      <c r="C673" s="5">
        <v>4.95</v>
      </c>
      <c r="D673" s="4">
        <v>5</v>
      </c>
      <c r="E673" s="5">
        <v>2.5</v>
      </c>
      <c r="F673" s="4">
        <v>6</v>
      </c>
      <c r="G673" s="5">
        <v>8.11</v>
      </c>
      <c r="H673" s="4">
        <v>1</v>
      </c>
    </row>
    <row r="674" spans="1:8" x14ac:dyDescent="0.2">
      <c r="A674" s="1" t="s">
        <v>42</v>
      </c>
      <c r="B674" s="4">
        <v>271</v>
      </c>
      <c r="C674" s="5">
        <v>100.01</v>
      </c>
      <c r="D674" s="4">
        <v>205</v>
      </c>
      <c r="E674" s="5">
        <v>99.999999999999986</v>
      </c>
      <c r="F674" s="4">
        <v>58</v>
      </c>
      <c r="G674" s="5">
        <v>99.98</v>
      </c>
      <c r="H674" s="4">
        <v>2</v>
      </c>
    </row>
    <row r="675" spans="1:8" x14ac:dyDescent="0.2">
      <c r="A675" s="2" t="s">
        <v>44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45</v>
      </c>
      <c r="B676" s="4">
        <v>32</v>
      </c>
      <c r="C676" s="5">
        <v>11.81</v>
      </c>
      <c r="D676" s="4">
        <v>20</v>
      </c>
      <c r="E676" s="5">
        <v>9.76</v>
      </c>
      <c r="F676" s="4">
        <v>12</v>
      </c>
      <c r="G676" s="5">
        <v>20.69</v>
      </c>
      <c r="H676" s="4">
        <v>0</v>
      </c>
    </row>
    <row r="677" spans="1:8" x14ac:dyDescent="0.2">
      <c r="A677" s="2" t="s">
        <v>46</v>
      </c>
      <c r="B677" s="4">
        <v>12</v>
      </c>
      <c r="C677" s="5">
        <v>4.43</v>
      </c>
      <c r="D677" s="4">
        <v>3</v>
      </c>
      <c r="E677" s="5">
        <v>1.46</v>
      </c>
      <c r="F677" s="4">
        <v>6</v>
      </c>
      <c r="G677" s="5">
        <v>10.34</v>
      </c>
      <c r="H677" s="4">
        <v>1</v>
      </c>
    </row>
    <row r="678" spans="1:8" x14ac:dyDescent="0.2">
      <c r="A678" s="2" t="s">
        <v>47</v>
      </c>
      <c r="B678" s="4">
        <v>1</v>
      </c>
      <c r="C678" s="5">
        <v>0.37</v>
      </c>
      <c r="D678" s="4">
        <v>0</v>
      </c>
      <c r="E678" s="5">
        <v>0</v>
      </c>
      <c r="F678" s="4">
        <v>1</v>
      </c>
      <c r="G678" s="5">
        <v>1.72</v>
      </c>
      <c r="H678" s="4">
        <v>0</v>
      </c>
    </row>
    <row r="679" spans="1:8" x14ac:dyDescent="0.2">
      <c r="A679" s="2" t="s">
        <v>48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2">
      <c r="A680" s="2" t="s">
        <v>49</v>
      </c>
      <c r="B680" s="4">
        <v>3</v>
      </c>
      <c r="C680" s="5">
        <v>1.1100000000000001</v>
      </c>
      <c r="D680" s="4">
        <v>1</v>
      </c>
      <c r="E680" s="5">
        <v>0.49</v>
      </c>
      <c r="F680" s="4">
        <v>1</v>
      </c>
      <c r="G680" s="5">
        <v>1.72</v>
      </c>
      <c r="H680" s="4">
        <v>1</v>
      </c>
    </row>
    <row r="681" spans="1:8" x14ac:dyDescent="0.2">
      <c r="A681" s="2" t="s">
        <v>50</v>
      </c>
      <c r="B681" s="4">
        <v>72</v>
      </c>
      <c r="C681" s="5">
        <v>26.57</v>
      </c>
      <c r="D681" s="4">
        <v>49</v>
      </c>
      <c r="E681" s="5">
        <v>23.9</v>
      </c>
      <c r="F681" s="4">
        <v>23</v>
      </c>
      <c r="G681" s="5">
        <v>39.659999999999997</v>
      </c>
      <c r="H681" s="4">
        <v>0</v>
      </c>
    </row>
    <row r="682" spans="1:8" x14ac:dyDescent="0.2">
      <c r="A682" s="2" t="s">
        <v>51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2">
      <c r="A683" s="2" t="s">
        <v>52</v>
      </c>
      <c r="B683" s="4">
        <v>18</v>
      </c>
      <c r="C683" s="5">
        <v>6.64</v>
      </c>
      <c r="D683" s="4">
        <v>16</v>
      </c>
      <c r="E683" s="5">
        <v>7.8</v>
      </c>
      <c r="F683" s="4">
        <v>2</v>
      </c>
      <c r="G683" s="5">
        <v>3.45</v>
      </c>
      <c r="H683" s="4">
        <v>0</v>
      </c>
    </row>
    <row r="684" spans="1:8" x14ac:dyDescent="0.2">
      <c r="A684" s="2" t="s">
        <v>53</v>
      </c>
      <c r="B684" s="4">
        <v>10</v>
      </c>
      <c r="C684" s="5">
        <v>3.69</v>
      </c>
      <c r="D684" s="4">
        <v>9</v>
      </c>
      <c r="E684" s="5">
        <v>4.3899999999999997</v>
      </c>
      <c r="F684" s="4">
        <v>1</v>
      </c>
      <c r="G684" s="5">
        <v>1.72</v>
      </c>
      <c r="H684" s="4">
        <v>0</v>
      </c>
    </row>
    <row r="685" spans="1:8" x14ac:dyDescent="0.2">
      <c r="A685" s="2" t="s">
        <v>54</v>
      </c>
      <c r="B685" s="4">
        <v>48</v>
      </c>
      <c r="C685" s="5">
        <v>17.71</v>
      </c>
      <c r="D685" s="4">
        <v>47</v>
      </c>
      <c r="E685" s="5">
        <v>22.93</v>
      </c>
      <c r="F685" s="4">
        <v>1</v>
      </c>
      <c r="G685" s="5">
        <v>1.72</v>
      </c>
      <c r="H685" s="4">
        <v>0</v>
      </c>
    </row>
    <row r="686" spans="1:8" x14ac:dyDescent="0.2">
      <c r="A686" s="2" t="s">
        <v>55</v>
      </c>
      <c r="B686" s="4">
        <v>35</v>
      </c>
      <c r="C686" s="5">
        <v>12.92</v>
      </c>
      <c r="D686" s="4">
        <v>33</v>
      </c>
      <c r="E686" s="5">
        <v>16.100000000000001</v>
      </c>
      <c r="F686" s="4">
        <v>1</v>
      </c>
      <c r="G686" s="5">
        <v>1.72</v>
      </c>
      <c r="H686" s="4">
        <v>0</v>
      </c>
    </row>
    <row r="687" spans="1:8" x14ac:dyDescent="0.2">
      <c r="A687" s="2" t="s">
        <v>56</v>
      </c>
      <c r="B687" s="4">
        <v>21</v>
      </c>
      <c r="C687" s="5">
        <v>7.75</v>
      </c>
      <c r="D687" s="4">
        <v>17</v>
      </c>
      <c r="E687" s="5">
        <v>8.2899999999999991</v>
      </c>
      <c r="F687" s="4">
        <v>2</v>
      </c>
      <c r="G687" s="5">
        <v>3.45</v>
      </c>
      <c r="H687" s="4">
        <v>0</v>
      </c>
    </row>
    <row r="688" spans="1:8" x14ac:dyDescent="0.2">
      <c r="A688" s="2" t="s">
        <v>57</v>
      </c>
      <c r="B688" s="4">
        <v>9</v>
      </c>
      <c r="C688" s="5">
        <v>3.32</v>
      </c>
      <c r="D688" s="4">
        <v>4</v>
      </c>
      <c r="E688" s="5">
        <v>1.95</v>
      </c>
      <c r="F688" s="4">
        <v>5</v>
      </c>
      <c r="G688" s="5">
        <v>8.6199999999999992</v>
      </c>
      <c r="H688" s="4">
        <v>0</v>
      </c>
    </row>
    <row r="689" spans="1:8" x14ac:dyDescent="0.2">
      <c r="A689" s="2" t="s">
        <v>58</v>
      </c>
      <c r="B689" s="4">
        <v>10</v>
      </c>
      <c r="C689" s="5">
        <v>3.69</v>
      </c>
      <c r="D689" s="4">
        <v>6</v>
      </c>
      <c r="E689" s="5">
        <v>2.93</v>
      </c>
      <c r="F689" s="4">
        <v>3</v>
      </c>
      <c r="G689" s="5">
        <v>5.17</v>
      </c>
      <c r="H689" s="4">
        <v>0</v>
      </c>
    </row>
    <row r="690" spans="1:8" x14ac:dyDescent="0.2">
      <c r="A690" s="1" t="s">
        <v>43</v>
      </c>
      <c r="B690" s="4">
        <v>255</v>
      </c>
      <c r="C690" s="5">
        <v>99.990000000000009</v>
      </c>
      <c r="D690" s="4">
        <v>180</v>
      </c>
      <c r="E690" s="5">
        <v>100.01</v>
      </c>
      <c r="F690" s="4">
        <v>62</v>
      </c>
      <c r="G690" s="5">
        <v>99.97999999999999</v>
      </c>
      <c r="H690" s="4">
        <v>6</v>
      </c>
    </row>
    <row r="691" spans="1:8" x14ac:dyDescent="0.2">
      <c r="A691" s="2" t="s">
        <v>44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45</v>
      </c>
      <c r="B692" s="4">
        <v>17</v>
      </c>
      <c r="C692" s="5">
        <v>6.67</v>
      </c>
      <c r="D692" s="4">
        <v>4</v>
      </c>
      <c r="E692" s="5">
        <v>2.2200000000000002</v>
      </c>
      <c r="F692" s="4">
        <v>13</v>
      </c>
      <c r="G692" s="5">
        <v>20.97</v>
      </c>
      <c r="H692" s="4">
        <v>0</v>
      </c>
    </row>
    <row r="693" spans="1:8" x14ac:dyDescent="0.2">
      <c r="A693" s="2" t="s">
        <v>46</v>
      </c>
      <c r="B693" s="4">
        <v>24</v>
      </c>
      <c r="C693" s="5">
        <v>9.41</v>
      </c>
      <c r="D693" s="4">
        <v>11</v>
      </c>
      <c r="E693" s="5">
        <v>6.11</v>
      </c>
      <c r="F693" s="4">
        <v>11</v>
      </c>
      <c r="G693" s="5">
        <v>17.739999999999998</v>
      </c>
      <c r="H693" s="4">
        <v>0</v>
      </c>
    </row>
    <row r="694" spans="1:8" x14ac:dyDescent="0.2">
      <c r="A694" s="2" t="s">
        <v>47</v>
      </c>
      <c r="B694" s="4">
        <v>1</v>
      </c>
      <c r="C694" s="5">
        <v>0.39</v>
      </c>
      <c r="D694" s="4">
        <v>0</v>
      </c>
      <c r="E694" s="5">
        <v>0</v>
      </c>
      <c r="F694" s="4">
        <v>1</v>
      </c>
      <c r="G694" s="5">
        <v>1.61</v>
      </c>
      <c r="H694" s="4">
        <v>0</v>
      </c>
    </row>
    <row r="695" spans="1:8" x14ac:dyDescent="0.2">
      <c r="A695" s="2" t="s">
        <v>48</v>
      </c>
      <c r="B695" s="4">
        <v>0</v>
      </c>
      <c r="C695" s="5">
        <v>0</v>
      </c>
      <c r="D695" s="4">
        <v>0</v>
      </c>
      <c r="E695" s="5">
        <v>0</v>
      </c>
      <c r="F695" s="4">
        <v>0</v>
      </c>
      <c r="G695" s="5">
        <v>0</v>
      </c>
      <c r="H695" s="4">
        <v>0</v>
      </c>
    </row>
    <row r="696" spans="1:8" x14ac:dyDescent="0.2">
      <c r="A696" s="2" t="s">
        <v>49</v>
      </c>
      <c r="B696" s="4">
        <v>2</v>
      </c>
      <c r="C696" s="5">
        <v>0.78</v>
      </c>
      <c r="D696" s="4">
        <v>0</v>
      </c>
      <c r="E696" s="5">
        <v>0</v>
      </c>
      <c r="F696" s="4">
        <v>1</v>
      </c>
      <c r="G696" s="5">
        <v>1.61</v>
      </c>
      <c r="H696" s="4">
        <v>0</v>
      </c>
    </row>
    <row r="697" spans="1:8" x14ac:dyDescent="0.2">
      <c r="A697" s="2" t="s">
        <v>50</v>
      </c>
      <c r="B697" s="4">
        <v>68</v>
      </c>
      <c r="C697" s="5">
        <v>26.67</v>
      </c>
      <c r="D697" s="4">
        <v>57</v>
      </c>
      <c r="E697" s="5">
        <v>31.67</v>
      </c>
      <c r="F697" s="4">
        <v>11</v>
      </c>
      <c r="G697" s="5">
        <v>17.739999999999998</v>
      </c>
      <c r="H697" s="4">
        <v>0</v>
      </c>
    </row>
    <row r="698" spans="1:8" x14ac:dyDescent="0.2">
      <c r="A698" s="2" t="s">
        <v>51</v>
      </c>
      <c r="B698" s="4">
        <v>1</v>
      </c>
      <c r="C698" s="5">
        <v>0.39</v>
      </c>
      <c r="D698" s="4">
        <v>0</v>
      </c>
      <c r="E698" s="5">
        <v>0</v>
      </c>
      <c r="F698" s="4">
        <v>1</v>
      </c>
      <c r="G698" s="5">
        <v>1.61</v>
      </c>
      <c r="H698" s="4">
        <v>0</v>
      </c>
    </row>
    <row r="699" spans="1:8" x14ac:dyDescent="0.2">
      <c r="A699" s="2" t="s">
        <v>52</v>
      </c>
      <c r="B699" s="4">
        <v>6</v>
      </c>
      <c r="C699" s="5">
        <v>2.35</v>
      </c>
      <c r="D699" s="4">
        <v>3</v>
      </c>
      <c r="E699" s="5">
        <v>1.67</v>
      </c>
      <c r="F699" s="4">
        <v>3</v>
      </c>
      <c r="G699" s="5">
        <v>4.84</v>
      </c>
      <c r="H699" s="4">
        <v>0</v>
      </c>
    </row>
    <row r="700" spans="1:8" x14ac:dyDescent="0.2">
      <c r="A700" s="2" t="s">
        <v>53</v>
      </c>
      <c r="B700" s="4">
        <v>9</v>
      </c>
      <c r="C700" s="5">
        <v>3.53</v>
      </c>
      <c r="D700" s="4">
        <v>7</v>
      </c>
      <c r="E700" s="5">
        <v>3.89</v>
      </c>
      <c r="F700" s="4">
        <v>1</v>
      </c>
      <c r="G700" s="5">
        <v>1.61</v>
      </c>
      <c r="H700" s="4">
        <v>0</v>
      </c>
    </row>
    <row r="701" spans="1:8" x14ac:dyDescent="0.2">
      <c r="A701" s="2" t="s">
        <v>54</v>
      </c>
      <c r="B701" s="4">
        <v>57</v>
      </c>
      <c r="C701" s="5">
        <v>22.35</v>
      </c>
      <c r="D701" s="4">
        <v>52</v>
      </c>
      <c r="E701" s="5">
        <v>28.89</v>
      </c>
      <c r="F701" s="4">
        <v>5</v>
      </c>
      <c r="G701" s="5">
        <v>8.06</v>
      </c>
      <c r="H701" s="4">
        <v>0</v>
      </c>
    </row>
    <row r="702" spans="1:8" x14ac:dyDescent="0.2">
      <c r="A702" s="2" t="s">
        <v>55</v>
      </c>
      <c r="B702" s="4">
        <v>39</v>
      </c>
      <c r="C702" s="5">
        <v>15.29</v>
      </c>
      <c r="D702" s="4">
        <v>32</v>
      </c>
      <c r="E702" s="5">
        <v>17.78</v>
      </c>
      <c r="F702" s="4">
        <v>7</v>
      </c>
      <c r="G702" s="5">
        <v>11.29</v>
      </c>
      <c r="H702" s="4">
        <v>0</v>
      </c>
    </row>
    <row r="703" spans="1:8" x14ac:dyDescent="0.2">
      <c r="A703" s="2" t="s">
        <v>56</v>
      </c>
      <c r="B703" s="4">
        <v>10</v>
      </c>
      <c r="C703" s="5">
        <v>3.92</v>
      </c>
      <c r="D703" s="4">
        <v>2</v>
      </c>
      <c r="E703" s="5">
        <v>1.1100000000000001</v>
      </c>
      <c r="F703" s="4">
        <v>4</v>
      </c>
      <c r="G703" s="5">
        <v>6.45</v>
      </c>
      <c r="H703" s="4">
        <v>4</v>
      </c>
    </row>
    <row r="704" spans="1:8" x14ac:dyDescent="0.2">
      <c r="A704" s="2" t="s">
        <v>57</v>
      </c>
      <c r="B704" s="4">
        <v>9</v>
      </c>
      <c r="C704" s="5">
        <v>3.53</v>
      </c>
      <c r="D704" s="4">
        <v>7</v>
      </c>
      <c r="E704" s="5">
        <v>3.89</v>
      </c>
      <c r="F704" s="4">
        <v>0</v>
      </c>
      <c r="G704" s="5">
        <v>0</v>
      </c>
      <c r="H704" s="4">
        <v>0</v>
      </c>
    </row>
    <row r="705" spans="1:8" x14ac:dyDescent="0.2">
      <c r="A705" s="2" t="s">
        <v>58</v>
      </c>
      <c r="B705" s="4">
        <v>12</v>
      </c>
      <c r="C705" s="5">
        <v>4.71</v>
      </c>
      <c r="D705" s="4">
        <v>5</v>
      </c>
      <c r="E705" s="5">
        <v>2.78</v>
      </c>
      <c r="F705" s="4">
        <v>4</v>
      </c>
      <c r="G705" s="5">
        <v>6.45</v>
      </c>
      <c r="H705" s="4">
        <v>2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688D-2CDA-4147-9BED-6B86EBDF744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2</v>
      </c>
      <c r="D5" s="8">
        <v>0.25</v>
      </c>
      <c r="E5" s="12">
        <v>0</v>
      </c>
      <c r="F5" s="8">
        <v>0</v>
      </c>
      <c r="G5" s="12">
        <v>2</v>
      </c>
      <c r="H5" s="8">
        <v>0.61</v>
      </c>
      <c r="I5" s="12">
        <v>0</v>
      </c>
    </row>
    <row r="6" spans="2:9" ht="15" customHeight="1" x14ac:dyDescent="0.2">
      <c r="B6" t="s">
        <v>45</v>
      </c>
      <c r="C6" s="12">
        <v>85</v>
      </c>
      <c r="D6" s="8">
        <v>10.8</v>
      </c>
      <c r="E6" s="12">
        <v>24</v>
      </c>
      <c r="F6" s="8">
        <v>5.38</v>
      </c>
      <c r="G6" s="12">
        <v>61</v>
      </c>
      <c r="H6" s="8">
        <v>18.71</v>
      </c>
      <c r="I6" s="12">
        <v>0</v>
      </c>
    </row>
    <row r="7" spans="2:9" ht="15" customHeight="1" x14ac:dyDescent="0.2">
      <c r="B7" t="s">
        <v>46</v>
      </c>
      <c r="C7" s="12">
        <v>70</v>
      </c>
      <c r="D7" s="8">
        <v>8.89</v>
      </c>
      <c r="E7" s="12">
        <v>27</v>
      </c>
      <c r="F7" s="8">
        <v>6.05</v>
      </c>
      <c r="G7" s="12">
        <v>43</v>
      </c>
      <c r="H7" s="8">
        <v>13.19</v>
      </c>
      <c r="I7" s="12">
        <v>0</v>
      </c>
    </row>
    <row r="8" spans="2:9" ht="15" customHeight="1" x14ac:dyDescent="0.2">
      <c r="B8" t="s">
        <v>47</v>
      </c>
      <c r="C8" s="12">
        <v>2</v>
      </c>
      <c r="D8" s="8">
        <v>0.25</v>
      </c>
      <c r="E8" s="12">
        <v>0</v>
      </c>
      <c r="F8" s="8">
        <v>0</v>
      </c>
      <c r="G8" s="12">
        <v>2</v>
      </c>
      <c r="H8" s="8">
        <v>0.61</v>
      </c>
      <c r="I8" s="12">
        <v>0</v>
      </c>
    </row>
    <row r="9" spans="2:9" ht="15" customHeight="1" x14ac:dyDescent="0.2">
      <c r="B9" t="s">
        <v>48</v>
      </c>
      <c r="C9" s="12">
        <v>4</v>
      </c>
      <c r="D9" s="8">
        <v>0.51</v>
      </c>
      <c r="E9" s="12">
        <v>0</v>
      </c>
      <c r="F9" s="8">
        <v>0</v>
      </c>
      <c r="G9" s="12">
        <v>4</v>
      </c>
      <c r="H9" s="8">
        <v>1.23</v>
      </c>
      <c r="I9" s="12">
        <v>0</v>
      </c>
    </row>
    <row r="10" spans="2:9" ht="15" customHeight="1" x14ac:dyDescent="0.2">
      <c r="B10" t="s">
        <v>49</v>
      </c>
      <c r="C10" s="12">
        <v>37</v>
      </c>
      <c r="D10" s="8">
        <v>4.7</v>
      </c>
      <c r="E10" s="12">
        <v>0</v>
      </c>
      <c r="F10" s="8">
        <v>0</v>
      </c>
      <c r="G10" s="12">
        <v>37</v>
      </c>
      <c r="H10" s="8">
        <v>11.35</v>
      </c>
      <c r="I10" s="12">
        <v>0</v>
      </c>
    </row>
    <row r="11" spans="2:9" ht="15" customHeight="1" x14ac:dyDescent="0.2">
      <c r="B11" t="s">
        <v>50</v>
      </c>
      <c r="C11" s="12">
        <v>227</v>
      </c>
      <c r="D11" s="8">
        <v>28.84</v>
      </c>
      <c r="E11" s="12">
        <v>133</v>
      </c>
      <c r="F11" s="8">
        <v>29.82</v>
      </c>
      <c r="G11" s="12">
        <v>93</v>
      </c>
      <c r="H11" s="8">
        <v>28.53</v>
      </c>
      <c r="I11" s="12">
        <v>1</v>
      </c>
    </row>
    <row r="12" spans="2:9" ht="15" customHeight="1" x14ac:dyDescent="0.2">
      <c r="B12" t="s">
        <v>51</v>
      </c>
      <c r="C12" s="12">
        <v>8</v>
      </c>
      <c r="D12" s="8">
        <v>1.02</v>
      </c>
      <c r="E12" s="12">
        <v>2</v>
      </c>
      <c r="F12" s="8">
        <v>0.45</v>
      </c>
      <c r="G12" s="12">
        <v>6</v>
      </c>
      <c r="H12" s="8">
        <v>1.84</v>
      </c>
      <c r="I12" s="12">
        <v>0</v>
      </c>
    </row>
    <row r="13" spans="2:9" ht="15" customHeight="1" x14ac:dyDescent="0.2">
      <c r="B13" t="s">
        <v>52</v>
      </c>
      <c r="C13" s="12">
        <v>23</v>
      </c>
      <c r="D13" s="8">
        <v>2.92</v>
      </c>
      <c r="E13" s="12">
        <v>7</v>
      </c>
      <c r="F13" s="8">
        <v>1.57</v>
      </c>
      <c r="G13" s="12">
        <v>16</v>
      </c>
      <c r="H13" s="8">
        <v>4.91</v>
      </c>
      <c r="I13" s="12">
        <v>0</v>
      </c>
    </row>
    <row r="14" spans="2:9" ht="15" customHeight="1" x14ac:dyDescent="0.2">
      <c r="B14" t="s">
        <v>53</v>
      </c>
      <c r="C14" s="12">
        <v>33</v>
      </c>
      <c r="D14" s="8">
        <v>4.1900000000000004</v>
      </c>
      <c r="E14" s="12">
        <v>16</v>
      </c>
      <c r="F14" s="8">
        <v>3.59</v>
      </c>
      <c r="G14" s="12">
        <v>16</v>
      </c>
      <c r="H14" s="8">
        <v>4.91</v>
      </c>
      <c r="I14" s="12">
        <v>0</v>
      </c>
    </row>
    <row r="15" spans="2:9" ht="15" customHeight="1" x14ac:dyDescent="0.2">
      <c r="B15" t="s">
        <v>54</v>
      </c>
      <c r="C15" s="12">
        <v>91</v>
      </c>
      <c r="D15" s="8">
        <v>11.56</v>
      </c>
      <c r="E15" s="12">
        <v>86</v>
      </c>
      <c r="F15" s="8">
        <v>19.28</v>
      </c>
      <c r="G15" s="12">
        <v>5</v>
      </c>
      <c r="H15" s="8">
        <v>1.53</v>
      </c>
      <c r="I15" s="12">
        <v>0</v>
      </c>
    </row>
    <row r="16" spans="2:9" ht="15" customHeight="1" x14ac:dyDescent="0.2">
      <c r="B16" t="s">
        <v>55</v>
      </c>
      <c r="C16" s="12">
        <v>109</v>
      </c>
      <c r="D16" s="8">
        <v>13.85</v>
      </c>
      <c r="E16" s="12">
        <v>99</v>
      </c>
      <c r="F16" s="8">
        <v>22.2</v>
      </c>
      <c r="G16" s="12">
        <v>9</v>
      </c>
      <c r="H16" s="8">
        <v>2.76</v>
      </c>
      <c r="I16" s="12">
        <v>1</v>
      </c>
    </row>
    <row r="17" spans="2:9" ht="15" customHeight="1" x14ac:dyDescent="0.2">
      <c r="B17" t="s">
        <v>56</v>
      </c>
      <c r="C17" s="12">
        <v>26</v>
      </c>
      <c r="D17" s="8">
        <v>3.3</v>
      </c>
      <c r="E17" s="12">
        <v>14</v>
      </c>
      <c r="F17" s="8">
        <v>3.14</v>
      </c>
      <c r="G17" s="12">
        <v>3</v>
      </c>
      <c r="H17" s="8">
        <v>0.92</v>
      </c>
      <c r="I17" s="12">
        <v>0</v>
      </c>
    </row>
    <row r="18" spans="2:9" ht="15" customHeight="1" x14ac:dyDescent="0.2">
      <c r="B18" t="s">
        <v>57</v>
      </c>
      <c r="C18" s="12">
        <v>36</v>
      </c>
      <c r="D18" s="8">
        <v>4.57</v>
      </c>
      <c r="E18" s="12">
        <v>19</v>
      </c>
      <c r="F18" s="8">
        <v>4.26</v>
      </c>
      <c r="G18" s="12">
        <v>16</v>
      </c>
      <c r="H18" s="8">
        <v>4.91</v>
      </c>
      <c r="I18" s="12">
        <v>0</v>
      </c>
    </row>
    <row r="19" spans="2:9" ht="15" customHeight="1" x14ac:dyDescent="0.2">
      <c r="B19" t="s">
        <v>58</v>
      </c>
      <c r="C19" s="12">
        <v>34</v>
      </c>
      <c r="D19" s="8">
        <v>4.32</v>
      </c>
      <c r="E19" s="12">
        <v>19</v>
      </c>
      <c r="F19" s="8">
        <v>4.26</v>
      </c>
      <c r="G19" s="12">
        <v>13</v>
      </c>
      <c r="H19" s="8">
        <v>3.99</v>
      </c>
      <c r="I19" s="12">
        <v>1</v>
      </c>
    </row>
    <row r="20" spans="2:9" ht="15" customHeight="1" x14ac:dyDescent="0.2">
      <c r="B20" s="9" t="s">
        <v>241</v>
      </c>
      <c r="C20" s="12">
        <f>SUM(LTBL_46221[総数／事業所数])</f>
        <v>787</v>
      </c>
      <c r="E20" s="12">
        <f>SUBTOTAL(109,LTBL_46221[個人／事業所数])</f>
        <v>446</v>
      </c>
      <c r="G20" s="12">
        <f>SUBTOTAL(109,LTBL_46221[法人／事業所数])</f>
        <v>326</v>
      </c>
      <c r="I20" s="12">
        <f>SUBTOTAL(109,LTBL_46221[法人以外の団体／事業所数])</f>
        <v>3</v>
      </c>
    </row>
    <row r="21" spans="2:9" ht="15" customHeight="1" x14ac:dyDescent="0.2">
      <c r="E21" s="11">
        <f>LTBL_46221[[#Totals],[個人／事業所数]]/LTBL_46221[[#Totals],[総数／事業所数]]</f>
        <v>0.56670902160101655</v>
      </c>
      <c r="G21" s="11">
        <f>LTBL_46221[[#Totals],[法人／事業所数]]/LTBL_46221[[#Totals],[総数／事業所数]]</f>
        <v>0.41423125794155019</v>
      </c>
      <c r="I21" s="11">
        <f>LTBL_46221[[#Totals],[法人以外の団体／事業所数]]/LTBL_46221[[#Totals],[総数／事業所数]]</f>
        <v>3.8119440914866584E-3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95</v>
      </c>
      <c r="D24" s="8">
        <v>12.07</v>
      </c>
      <c r="E24" s="12">
        <v>91</v>
      </c>
      <c r="F24" s="8">
        <v>20.399999999999999</v>
      </c>
      <c r="G24" s="12">
        <v>4</v>
      </c>
      <c r="H24" s="8">
        <v>1.23</v>
      </c>
      <c r="I24" s="12">
        <v>0</v>
      </c>
    </row>
    <row r="25" spans="2:9" ht="15" customHeight="1" x14ac:dyDescent="0.2">
      <c r="B25" t="s">
        <v>81</v>
      </c>
      <c r="C25" s="12">
        <v>82</v>
      </c>
      <c r="D25" s="8">
        <v>10.42</v>
      </c>
      <c r="E25" s="12">
        <v>80</v>
      </c>
      <c r="F25" s="8">
        <v>17.940000000000001</v>
      </c>
      <c r="G25" s="12">
        <v>2</v>
      </c>
      <c r="H25" s="8">
        <v>0.61</v>
      </c>
      <c r="I25" s="12">
        <v>0</v>
      </c>
    </row>
    <row r="26" spans="2:9" ht="15" customHeight="1" x14ac:dyDescent="0.2">
      <c r="B26" t="s">
        <v>75</v>
      </c>
      <c r="C26" s="12">
        <v>73</v>
      </c>
      <c r="D26" s="8">
        <v>9.2799999999999994</v>
      </c>
      <c r="E26" s="12">
        <v>43</v>
      </c>
      <c r="F26" s="8">
        <v>9.64</v>
      </c>
      <c r="G26" s="12">
        <v>30</v>
      </c>
      <c r="H26" s="8">
        <v>9.1999999999999993</v>
      </c>
      <c r="I26" s="12">
        <v>0</v>
      </c>
    </row>
    <row r="27" spans="2:9" ht="15" customHeight="1" x14ac:dyDescent="0.2">
      <c r="B27" t="s">
        <v>73</v>
      </c>
      <c r="C27" s="12">
        <v>64</v>
      </c>
      <c r="D27" s="8">
        <v>8.1300000000000008</v>
      </c>
      <c r="E27" s="12">
        <v>48</v>
      </c>
      <c r="F27" s="8">
        <v>10.76</v>
      </c>
      <c r="G27" s="12">
        <v>15</v>
      </c>
      <c r="H27" s="8">
        <v>4.5999999999999996</v>
      </c>
      <c r="I27" s="12">
        <v>1</v>
      </c>
    </row>
    <row r="28" spans="2:9" ht="15" customHeight="1" x14ac:dyDescent="0.2">
      <c r="B28" t="s">
        <v>67</v>
      </c>
      <c r="C28" s="12">
        <v>43</v>
      </c>
      <c r="D28" s="8">
        <v>5.46</v>
      </c>
      <c r="E28" s="12">
        <v>3</v>
      </c>
      <c r="F28" s="8">
        <v>0.67</v>
      </c>
      <c r="G28" s="12">
        <v>40</v>
      </c>
      <c r="H28" s="8">
        <v>12.27</v>
      </c>
      <c r="I28" s="12">
        <v>0</v>
      </c>
    </row>
    <row r="29" spans="2:9" ht="15" customHeight="1" x14ac:dyDescent="0.2">
      <c r="B29" t="s">
        <v>74</v>
      </c>
      <c r="C29" s="12">
        <v>34</v>
      </c>
      <c r="D29" s="8">
        <v>4.32</v>
      </c>
      <c r="E29" s="12">
        <v>23</v>
      </c>
      <c r="F29" s="8">
        <v>5.16</v>
      </c>
      <c r="G29" s="12">
        <v>11</v>
      </c>
      <c r="H29" s="8">
        <v>3.37</v>
      </c>
      <c r="I29" s="12">
        <v>0</v>
      </c>
    </row>
    <row r="30" spans="2:9" ht="15" customHeight="1" x14ac:dyDescent="0.2">
      <c r="B30" t="s">
        <v>90</v>
      </c>
      <c r="C30" s="12">
        <v>30</v>
      </c>
      <c r="D30" s="8">
        <v>3.81</v>
      </c>
      <c r="E30" s="12">
        <v>8</v>
      </c>
      <c r="F30" s="8">
        <v>1.79</v>
      </c>
      <c r="G30" s="12">
        <v>22</v>
      </c>
      <c r="H30" s="8">
        <v>6.75</v>
      </c>
      <c r="I30" s="12">
        <v>0</v>
      </c>
    </row>
    <row r="31" spans="2:9" ht="15" customHeight="1" x14ac:dyDescent="0.2">
      <c r="B31" t="s">
        <v>83</v>
      </c>
      <c r="C31" s="12">
        <v>26</v>
      </c>
      <c r="D31" s="8">
        <v>3.3</v>
      </c>
      <c r="E31" s="12">
        <v>14</v>
      </c>
      <c r="F31" s="8">
        <v>3.14</v>
      </c>
      <c r="G31" s="12">
        <v>3</v>
      </c>
      <c r="H31" s="8">
        <v>0.92</v>
      </c>
      <c r="I31" s="12">
        <v>0</v>
      </c>
    </row>
    <row r="32" spans="2:9" ht="15" customHeight="1" x14ac:dyDescent="0.2">
      <c r="B32" t="s">
        <v>68</v>
      </c>
      <c r="C32" s="12">
        <v>22</v>
      </c>
      <c r="D32" s="8">
        <v>2.8</v>
      </c>
      <c r="E32" s="12">
        <v>13</v>
      </c>
      <c r="F32" s="8">
        <v>2.91</v>
      </c>
      <c r="G32" s="12">
        <v>9</v>
      </c>
      <c r="H32" s="8">
        <v>2.76</v>
      </c>
      <c r="I32" s="12">
        <v>0</v>
      </c>
    </row>
    <row r="33" spans="2:9" ht="15" customHeight="1" x14ac:dyDescent="0.2">
      <c r="B33" t="s">
        <v>84</v>
      </c>
      <c r="C33" s="12">
        <v>22</v>
      </c>
      <c r="D33" s="8">
        <v>2.8</v>
      </c>
      <c r="E33" s="12">
        <v>19</v>
      </c>
      <c r="F33" s="8">
        <v>4.26</v>
      </c>
      <c r="G33" s="12">
        <v>3</v>
      </c>
      <c r="H33" s="8">
        <v>0.92</v>
      </c>
      <c r="I33" s="12">
        <v>0</v>
      </c>
    </row>
    <row r="34" spans="2:9" ht="15" customHeight="1" x14ac:dyDescent="0.2">
      <c r="B34" t="s">
        <v>69</v>
      </c>
      <c r="C34" s="12">
        <v>20</v>
      </c>
      <c r="D34" s="8">
        <v>2.54</v>
      </c>
      <c r="E34" s="12">
        <v>8</v>
      </c>
      <c r="F34" s="8">
        <v>1.79</v>
      </c>
      <c r="G34" s="12">
        <v>12</v>
      </c>
      <c r="H34" s="8">
        <v>3.68</v>
      </c>
      <c r="I34" s="12">
        <v>0</v>
      </c>
    </row>
    <row r="35" spans="2:9" ht="15" customHeight="1" x14ac:dyDescent="0.2">
      <c r="B35" t="s">
        <v>100</v>
      </c>
      <c r="C35" s="12">
        <v>20</v>
      </c>
      <c r="D35" s="8">
        <v>2.54</v>
      </c>
      <c r="E35" s="12">
        <v>0</v>
      </c>
      <c r="F35" s="8">
        <v>0</v>
      </c>
      <c r="G35" s="12">
        <v>20</v>
      </c>
      <c r="H35" s="8">
        <v>6.13</v>
      </c>
      <c r="I35" s="12">
        <v>0</v>
      </c>
    </row>
    <row r="36" spans="2:9" ht="15" customHeight="1" x14ac:dyDescent="0.2">
      <c r="B36" t="s">
        <v>79</v>
      </c>
      <c r="C36" s="12">
        <v>19</v>
      </c>
      <c r="D36" s="8">
        <v>2.41</v>
      </c>
      <c r="E36" s="12">
        <v>6</v>
      </c>
      <c r="F36" s="8">
        <v>1.35</v>
      </c>
      <c r="G36" s="12">
        <v>13</v>
      </c>
      <c r="H36" s="8">
        <v>3.99</v>
      </c>
      <c r="I36" s="12">
        <v>0</v>
      </c>
    </row>
    <row r="37" spans="2:9" ht="15" customHeight="1" x14ac:dyDescent="0.2">
      <c r="B37" t="s">
        <v>86</v>
      </c>
      <c r="C37" s="12">
        <v>17</v>
      </c>
      <c r="D37" s="8">
        <v>2.16</v>
      </c>
      <c r="E37" s="12">
        <v>15</v>
      </c>
      <c r="F37" s="8">
        <v>3.36</v>
      </c>
      <c r="G37" s="12">
        <v>2</v>
      </c>
      <c r="H37" s="8">
        <v>0.61</v>
      </c>
      <c r="I37" s="12">
        <v>0</v>
      </c>
    </row>
    <row r="38" spans="2:9" ht="15" customHeight="1" x14ac:dyDescent="0.2">
      <c r="B38" t="s">
        <v>71</v>
      </c>
      <c r="C38" s="12">
        <v>16</v>
      </c>
      <c r="D38" s="8">
        <v>2.0299999999999998</v>
      </c>
      <c r="E38" s="12">
        <v>4</v>
      </c>
      <c r="F38" s="8">
        <v>0.9</v>
      </c>
      <c r="G38" s="12">
        <v>12</v>
      </c>
      <c r="H38" s="8">
        <v>3.68</v>
      </c>
      <c r="I38" s="12">
        <v>0</v>
      </c>
    </row>
    <row r="39" spans="2:9" ht="15" customHeight="1" x14ac:dyDescent="0.2">
      <c r="B39" t="s">
        <v>85</v>
      </c>
      <c r="C39" s="12">
        <v>14</v>
      </c>
      <c r="D39" s="8">
        <v>1.78</v>
      </c>
      <c r="E39" s="12">
        <v>0</v>
      </c>
      <c r="F39" s="8">
        <v>0</v>
      </c>
      <c r="G39" s="12">
        <v>13</v>
      </c>
      <c r="H39" s="8">
        <v>3.99</v>
      </c>
      <c r="I39" s="12">
        <v>0</v>
      </c>
    </row>
    <row r="40" spans="2:9" ht="15" customHeight="1" x14ac:dyDescent="0.2">
      <c r="B40" t="s">
        <v>72</v>
      </c>
      <c r="C40" s="12">
        <v>13</v>
      </c>
      <c r="D40" s="8">
        <v>1.65</v>
      </c>
      <c r="E40" s="12">
        <v>8</v>
      </c>
      <c r="F40" s="8">
        <v>1.79</v>
      </c>
      <c r="G40" s="12">
        <v>5</v>
      </c>
      <c r="H40" s="8">
        <v>1.53</v>
      </c>
      <c r="I40" s="12">
        <v>0</v>
      </c>
    </row>
    <row r="41" spans="2:9" ht="15" customHeight="1" x14ac:dyDescent="0.2">
      <c r="B41" t="s">
        <v>78</v>
      </c>
      <c r="C41" s="12">
        <v>13</v>
      </c>
      <c r="D41" s="8">
        <v>1.65</v>
      </c>
      <c r="E41" s="12">
        <v>10</v>
      </c>
      <c r="F41" s="8">
        <v>2.2400000000000002</v>
      </c>
      <c r="G41" s="12">
        <v>3</v>
      </c>
      <c r="H41" s="8">
        <v>0.92</v>
      </c>
      <c r="I41" s="12">
        <v>0</v>
      </c>
    </row>
    <row r="42" spans="2:9" ht="15" customHeight="1" x14ac:dyDescent="0.2">
      <c r="B42" t="s">
        <v>70</v>
      </c>
      <c r="C42" s="12">
        <v>12</v>
      </c>
      <c r="D42" s="8">
        <v>1.52</v>
      </c>
      <c r="E42" s="12">
        <v>6</v>
      </c>
      <c r="F42" s="8">
        <v>1.35</v>
      </c>
      <c r="G42" s="12">
        <v>6</v>
      </c>
      <c r="H42" s="8">
        <v>1.84</v>
      </c>
      <c r="I42" s="12">
        <v>0</v>
      </c>
    </row>
    <row r="43" spans="2:9" ht="15" customHeight="1" x14ac:dyDescent="0.2">
      <c r="B43" t="s">
        <v>77</v>
      </c>
      <c r="C43" s="12">
        <v>11</v>
      </c>
      <c r="D43" s="8">
        <v>1.4</v>
      </c>
      <c r="E43" s="12">
        <v>3</v>
      </c>
      <c r="F43" s="8">
        <v>0.67</v>
      </c>
      <c r="G43" s="12">
        <v>8</v>
      </c>
      <c r="H43" s="8">
        <v>2.4500000000000002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53</v>
      </c>
      <c r="D47" s="8">
        <v>6.73</v>
      </c>
      <c r="E47" s="12">
        <v>52</v>
      </c>
      <c r="F47" s="8">
        <v>11.66</v>
      </c>
      <c r="G47" s="12">
        <v>1</v>
      </c>
      <c r="H47" s="8">
        <v>0.31</v>
      </c>
      <c r="I47" s="12">
        <v>0</v>
      </c>
    </row>
    <row r="48" spans="2:9" ht="15" customHeight="1" x14ac:dyDescent="0.2">
      <c r="B48" t="s">
        <v>139</v>
      </c>
      <c r="C48" s="12">
        <v>29</v>
      </c>
      <c r="D48" s="8">
        <v>3.68</v>
      </c>
      <c r="E48" s="12">
        <v>29</v>
      </c>
      <c r="F48" s="8">
        <v>6.5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129</v>
      </c>
      <c r="C49" s="12">
        <v>27</v>
      </c>
      <c r="D49" s="8">
        <v>3.43</v>
      </c>
      <c r="E49" s="12">
        <v>19</v>
      </c>
      <c r="F49" s="8">
        <v>4.26</v>
      </c>
      <c r="G49" s="12">
        <v>7</v>
      </c>
      <c r="H49" s="8">
        <v>2.15</v>
      </c>
      <c r="I49" s="12">
        <v>1</v>
      </c>
    </row>
    <row r="50" spans="2:9" ht="15" customHeight="1" x14ac:dyDescent="0.2">
      <c r="B50" t="s">
        <v>138</v>
      </c>
      <c r="C50" s="12">
        <v>26</v>
      </c>
      <c r="D50" s="8">
        <v>3.3</v>
      </c>
      <c r="E50" s="12">
        <v>26</v>
      </c>
      <c r="F50" s="8">
        <v>5.83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150</v>
      </c>
      <c r="C51" s="12">
        <v>23</v>
      </c>
      <c r="D51" s="8">
        <v>2.92</v>
      </c>
      <c r="E51" s="12">
        <v>8</v>
      </c>
      <c r="F51" s="8">
        <v>1.79</v>
      </c>
      <c r="G51" s="12">
        <v>15</v>
      </c>
      <c r="H51" s="8">
        <v>4.5999999999999996</v>
      </c>
      <c r="I51" s="12">
        <v>0</v>
      </c>
    </row>
    <row r="52" spans="2:9" ht="15" customHeight="1" x14ac:dyDescent="0.2">
      <c r="B52" t="s">
        <v>171</v>
      </c>
      <c r="C52" s="12">
        <v>20</v>
      </c>
      <c r="D52" s="8">
        <v>2.54</v>
      </c>
      <c r="E52" s="12">
        <v>0</v>
      </c>
      <c r="F52" s="8">
        <v>0</v>
      </c>
      <c r="G52" s="12">
        <v>20</v>
      </c>
      <c r="H52" s="8">
        <v>6.13</v>
      </c>
      <c r="I52" s="12">
        <v>0</v>
      </c>
    </row>
    <row r="53" spans="2:9" ht="15" customHeight="1" x14ac:dyDescent="0.2">
      <c r="B53" t="s">
        <v>142</v>
      </c>
      <c r="C53" s="12">
        <v>20</v>
      </c>
      <c r="D53" s="8">
        <v>2.54</v>
      </c>
      <c r="E53" s="12">
        <v>18</v>
      </c>
      <c r="F53" s="8">
        <v>4.04</v>
      </c>
      <c r="G53" s="12">
        <v>2</v>
      </c>
      <c r="H53" s="8">
        <v>0.61</v>
      </c>
      <c r="I53" s="12">
        <v>0</v>
      </c>
    </row>
    <row r="54" spans="2:9" ht="15" customHeight="1" x14ac:dyDescent="0.2">
      <c r="B54" t="s">
        <v>124</v>
      </c>
      <c r="C54" s="12">
        <v>19</v>
      </c>
      <c r="D54" s="8">
        <v>2.41</v>
      </c>
      <c r="E54" s="12">
        <v>0</v>
      </c>
      <c r="F54" s="8">
        <v>0</v>
      </c>
      <c r="G54" s="12">
        <v>19</v>
      </c>
      <c r="H54" s="8">
        <v>5.83</v>
      </c>
      <c r="I54" s="12">
        <v>0</v>
      </c>
    </row>
    <row r="55" spans="2:9" ht="15" customHeight="1" x14ac:dyDescent="0.2">
      <c r="B55" t="s">
        <v>130</v>
      </c>
      <c r="C55" s="12">
        <v>19</v>
      </c>
      <c r="D55" s="8">
        <v>2.41</v>
      </c>
      <c r="E55" s="12">
        <v>12</v>
      </c>
      <c r="F55" s="8">
        <v>2.69</v>
      </c>
      <c r="G55" s="12">
        <v>7</v>
      </c>
      <c r="H55" s="8">
        <v>2.15</v>
      </c>
      <c r="I55" s="12">
        <v>0</v>
      </c>
    </row>
    <row r="56" spans="2:9" ht="15" customHeight="1" x14ac:dyDescent="0.2">
      <c r="B56" t="s">
        <v>136</v>
      </c>
      <c r="C56" s="12">
        <v>19</v>
      </c>
      <c r="D56" s="8">
        <v>2.41</v>
      </c>
      <c r="E56" s="12">
        <v>18</v>
      </c>
      <c r="F56" s="8">
        <v>4.04</v>
      </c>
      <c r="G56" s="12">
        <v>1</v>
      </c>
      <c r="H56" s="8">
        <v>0.31</v>
      </c>
      <c r="I56" s="12">
        <v>0</v>
      </c>
    </row>
    <row r="57" spans="2:9" ht="15" customHeight="1" x14ac:dyDescent="0.2">
      <c r="B57" t="s">
        <v>132</v>
      </c>
      <c r="C57" s="12">
        <v>17</v>
      </c>
      <c r="D57" s="8">
        <v>2.16</v>
      </c>
      <c r="E57" s="12">
        <v>3</v>
      </c>
      <c r="F57" s="8">
        <v>0.67</v>
      </c>
      <c r="G57" s="12">
        <v>14</v>
      </c>
      <c r="H57" s="8">
        <v>4.29</v>
      </c>
      <c r="I57" s="12">
        <v>0</v>
      </c>
    </row>
    <row r="58" spans="2:9" ht="15" customHeight="1" x14ac:dyDescent="0.2">
      <c r="B58" t="s">
        <v>143</v>
      </c>
      <c r="C58" s="12">
        <v>17</v>
      </c>
      <c r="D58" s="8">
        <v>2.16</v>
      </c>
      <c r="E58" s="12">
        <v>15</v>
      </c>
      <c r="F58" s="8">
        <v>3.36</v>
      </c>
      <c r="G58" s="12">
        <v>2</v>
      </c>
      <c r="H58" s="8">
        <v>0.61</v>
      </c>
      <c r="I58" s="12">
        <v>0</v>
      </c>
    </row>
    <row r="59" spans="2:9" ht="15" customHeight="1" x14ac:dyDescent="0.2">
      <c r="B59" t="s">
        <v>126</v>
      </c>
      <c r="C59" s="12">
        <v>16</v>
      </c>
      <c r="D59" s="8">
        <v>2.0299999999999998</v>
      </c>
      <c r="E59" s="12">
        <v>7</v>
      </c>
      <c r="F59" s="8">
        <v>1.57</v>
      </c>
      <c r="G59" s="12">
        <v>9</v>
      </c>
      <c r="H59" s="8">
        <v>2.76</v>
      </c>
      <c r="I59" s="12">
        <v>0</v>
      </c>
    </row>
    <row r="60" spans="2:9" ht="15" customHeight="1" x14ac:dyDescent="0.2">
      <c r="B60" t="s">
        <v>133</v>
      </c>
      <c r="C60" s="12">
        <v>16</v>
      </c>
      <c r="D60" s="8">
        <v>2.0299999999999998</v>
      </c>
      <c r="E60" s="12">
        <v>14</v>
      </c>
      <c r="F60" s="8">
        <v>3.14</v>
      </c>
      <c r="G60" s="12">
        <v>2</v>
      </c>
      <c r="H60" s="8">
        <v>0.61</v>
      </c>
      <c r="I60" s="12">
        <v>0</v>
      </c>
    </row>
    <row r="61" spans="2:9" ht="15" customHeight="1" x14ac:dyDescent="0.2">
      <c r="B61" t="s">
        <v>137</v>
      </c>
      <c r="C61" s="12">
        <v>16</v>
      </c>
      <c r="D61" s="8">
        <v>2.0299999999999998</v>
      </c>
      <c r="E61" s="12">
        <v>15</v>
      </c>
      <c r="F61" s="8">
        <v>3.36</v>
      </c>
      <c r="G61" s="12">
        <v>1</v>
      </c>
      <c r="H61" s="8">
        <v>0.31</v>
      </c>
      <c r="I61" s="12">
        <v>0</v>
      </c>
    </row>
    <row r="62" spans="2:9" ht="15" customHeight="1" x14ac:dyDescent="0.2">
      <c r="B62" t="s">
        <v>127</v>
      </c>
      <c r="C62" s="12">
        <v>14</v>
      </c>
      <c r="D62" s="8">
        <v>1.78</v>
      </c>
      <c r="E62" s="12">
        <v>10</v>
      </c>
      <c r="F62" s="8">
        <v>2.2400000000000002</v>
      </c>
      <c r="G62" s="12">
        <v>4</v>
      </c>
      <c r="H62" s="8">
        <v>1.23</v>
      </c>
      <c r="I62" s="12">
        <v>0</v>
      </c>
    </row>
    <row r="63" spans="2:9" ht="15" customHeight="1" x14ac:dyDescent="0.2">
      <c r="B63" t="s">
        <v>147</v>
      </c>
      <c r="C63" s="12">
        <v>13</v>
      </c>
      <c r="D63" s="8">
        <v>1.65</v>
      </c>
      <c r="E63" s="12">
        <v>9</v>
      </c>
      <c r="F63" s="8">
        <v>2.02</v>
      </c>
      <c r="G63" s="12">
        <v>4</v>
      </c>
      <c r="H63" s="8">
        <v>1.23</v>
      </c>
      <c r="I63" s="12">
        <v>0</v>
      </c>
    </row>
    <row r="64" spans="2:9" ht="15" customHeight="1" x14ac:dyDescent="0.2">
      <c r="B64" t="s">
        <v>141</v>
      </c>
      <c r="C64" s="12">
        <v>13</v>
      </c>
      <c r="D64" s="8">
        <v>1.65</v>
      </c>
      <c r="E64" s="12">
        <v>12</v>
      </c>
      <c r="F64" s="8">
        <v>2.69</v>
      </c>
      <c r="G64" s="12">
        <v>1</v>
      </c>
      <c r="H64" s="8">
        <v>0.31</v>
      </c>
      <c r="I64" s="12">
        <v>0</v>
      </c>
    </row>
    <row r="65" spans="2:9" ht="15" customHeight="1" x14ac:dyDescent="0.2">
      <c r="B65" t="s">
        <v>131</v>
      </c>
      <c r="C65" s="12">
        <v>12</v>
      </c>
      <c r="D65" s="8">
        <v>1.52</v>
      </c>
      <c r="E65" s="12">
        <v>9</v>
      </c>
      <c r="F65" s="8">
        <v>2.02</v>
      </c>
      <c r="G65" s="12">
        <v>3</v>
      </c>
      <c r="H65" s="8">
        <v>0.92</v>
      </c>
      <c r="I65" s="12">
        <v>0</v>
      </c>
    </row>
    <row r="66" spans="2:9" ht="15" customHeight="1" x14ac:dyDescent="0.2">
      <c r="B66" t="s">
        <v>135</v>
      </c>
      <c r="C66" s="12">
        <v>12</v>
      </c>
      <c r="D66" s="8">
        <v>1.52</v>
      </c>
      <c r="E66" s="12">
        <v>3</v>
      </c>
      <c r="F66" s="8">
        <v>0.67</v>
      </c>
      <c r="G66" s="12">
        <v>9</v>
      </c>
      <c r="H66" s="8">
        <v>2.76</v>
      </c>
      <c r="I66" s="12">
        <v>0</v>
      </c>
    </row>
    <row r="67" spans="2:9" ht="15" customHeight="1" x14ac:dyDescent="0.2">
      <c r="B67" t="s">
        <v>156</v>
      </c>
      <c r="C67" s="12">
        <v>12</v>
      </c>
      <c r="D67" s="8">
        <v>1.52</v>
      </c>
      <c r="E67" s="12">
        <v>12</v>
      </c>
      <c r="F67" s="8">
        <v>2.69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ABBB-D6C8-4348-BC53-5666637642F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117</v>
      </c>
      <c r="D6" s="8">
        <v>7.31</v>
      </c>
      <c r="E6" s="12">
        <v>23</v>
      </c>
      <c r="F6" s="8">
        <v>2.52</v>
      </c>
      <c r="G6" s="12">
        <v>94</v>
      </c>
      <c r="H6" s="8">
        <v>14.29</v>
      </c>
      <c r="I6" s="12">
        <v>0</v>
      </c>
    </row>
    <row r="7" spans="2:9" ht="15" customHeight="1" x14ac:dyDescent="0.2">
      <c r="B7" t="s">
        <v>46</v>
      </c>
      <c r="C7" s="12">
        <v>125</v>
      </c>
      <c r="D7" s="8">
        <v>7.81</v>
      </c>
      <c r="E7" s="12">
        <v>53</v>
      </c>
      <c r="F7" s="8">
        <v>5.82</v>
      </c>
      <c r="G7" s="12">
        <v>71</v>
      </c>
      <c r="H7" s="8">
        <v>10.79</v>
      </c>
      <c r="I7" s="12">
        <v>1</v>
      </c>
    </row>
    <row r="8" spans="2:9" ht="15" customHeight="1" x14ac:dyDescent="0.2">
      <c r="B8" t="s">
        <v>47</v>
      </c>
      <c r="C8" s="12">
        <v>8</v>
      </c>
      <c r="D8" s="8">
        <v>0.5</v>
      </c>
      <c r="E8" s="12">
        <v>0</v>
      </c>
      <c r="F8" s="8">
        <v>0</v>
      </c>
      <c r="G8" s="12">
        <v>7</v>
      </c>
      <c r="H8" s="8">
        <v>1.06</v>
      </c>
      <c r="I8" s="12">
        <v>0</v>
      </c>
    </row>
    <row r="9" spans="2:9" ht="15" customHeight="1" x14ac:dyDescent="0.2">
      <c r="B9" t="s">
        <v>48</v>
      </c>
      <c r="C9" s="12">
        <v>13</v>
      </c>
      <c r="D9" s="8">
        <v>0.81</v>
      </c>
      <c r="E9" s="12">
        <v>2</v>
      </c>
      <c r="F9" s="8">
        <v>0.22</v>
      </c>
      <c r="G9" s="12">
        <v>11</v>
      </c>
      <c r="H9" s="8">
        <v>1.67</v>
      </c>
      <c r="I9" s="12">
        <v>0</v>
      </c>
    </row>
    <row r="10" spans="2:9" ht="15" customHeight="1" x14ac:dyDescent="0.2">
      <c r="B10" t="s">
        <v>49</v>
      </c>
      <c r="C10" s="12">
        <v>11</v>
      </c>
      <c r="D10" s="8">
        <v>0.69</v>
      </c>
      <c r="E10" s="12">
        <v>1</v>
      </c>
      <c r="F10" s="8">
        <v>0.11</v>
      </c>
      <c r="G10" s="12">
        <v>10</v>
      </c>
      <c r="H10" s="8">
        <v>1.52</v>
      </c>
      <c r="I10" s="12">
        <v>0</v>
      </c>
    </row>
    <row r="11" spans="2:9" ht="15" customHeight="1" x14ac:dyDescent="0.2">
      <c r="B11" t="s">
        <v>50</v>
      </c>
      <c r="C11" s="12">
        <v>464</v>
      </c>
      <c r="D11" s="8">
        <v>29</v>
      </c>
      <c r="E11" s="12">
        <v>257</v>
      </c>
      <c r="F11" s="8">
        <v>28.21</v>
      </c>
      <c r="G11" s="12">
        <v>201</v>
      </c>
      <c r="H11" s="8">
        <v>30.55</v>
      </c>
      <c r="I11" s="12">
        <v>6</v>
      </c>
    </row>
    <row r="12" spans="2:9" ht="15" customHeight="1" x14ac:dyDescent="0.2">
      <c r="B12" t="s">
        <v>51</v>
      </c>
      <c r="C12" s="12">
        <v>16</v>
      </c>
      <c r="D12" s="8">
        <v>1</v>
      </c>
      <c r="E12" s="12">
        <v>2</v>
      </c>
      <c r="F12" s="8">
        <v>0.22</v>
      </c>
      <c r="G12" s="12">
        <v>14</v>
      </c>
      <c r="H12" s="8">
        <v>2.13</v>
      </c>
      <c r="I12" s="12">
        <v>0</v>
      </c>
    </row>
    <row r="13" spans="2:9" ht="15" customHeight="1" x14ac:dyDescent="0.2">
      <c r="B13" t="s">
        <v>52</v>
      </c>
      <c r="C13" s="12">
        <v>98</v>
      </c>
      <c r="D13" s="8">
        <v>6.13</v>
      </c>
      <c r="E13" s="12">
        <v>29</v>
      </c>
      <c r="F13" s="8">
        <v>3.18</v>
      </c>
      <c r="G13" s="12">
        <v>68</v>
      </c>
      <c r="H13" s="8">
        <v>10.33</v>
      </c>
      <c r="I13" s="12">
        <v>0</v>
      </c>
    </row>
    <row r="14" spans="2:9" ht="15" customHeight="1" x14ac:dyDescent="0.2">
      <c r="B14" t="s">
        <v>53</v>
      </c>
      <c r="C14" s="12">
        <v>83</v>
      </c>
      <c r="D14" s="8">
        <v>5.19</v>
      </c>
      <c r="E14" s="12">
        <v>33</v>
      </c>
      <c r="F14" s="8">
        <v>3.62</v>
      </c>
      <c r="G14" s="12">
        <v>49</v>
      </c>
      <c r="H14" s="8">
        <v>7.45</v>
      </c>
      <c r="I14" s="12">
        <v>0</v>
      </c>
    </row>
    <row r="15" spans="2:9" ht="15" customHeight="1" x14ac:dyDescent="0.2">
      <c r="B15" t="s">
        <v>54</v>
      </c>
      <c r="C15" s="12">
        <v>306</v>
      </c>
      <c r="D15" s="8">
        <v>19.13</v>
      </c>
      <c r="E15" s="12">
        <v>270</v>
      </c>
      <c r="F15" s="8">
        <v>29.64</v>
      </c>
      <c r="G15" s="12">
        <v>33</v>
      </c>
      <c r="H15" s="8">
        <v>5.0199999999999996</v>
      </c>
      <c r="I15" s="12">
        <v>0</v>
      </c>
    </row>
    <row r="16" spans="2:9" ht="15" customHeight="1" x14ac:dyDescent="0.2">
      <c r="B16" t="s">
        <v>55</v>
      </c>
      <c r="C16" s="12">
        <v>201</v>
      </c>
      <c r="D16" s="8">
        <v>12.56</v>
      </c>
      <c r="E16" s="12">
        <v>167</v>
      </c>
      <c r="F16" s="8">
        <v>18.329999999999998</v>
      </c>
      <c r="G16" s="12">
        <v>32</v>
      </c>
      <c r="H16" s="8">
        <v>4.8600000000000003</v>
      </c>
      <c r="I16" s="12">
        <v>1</v>
      </c>
    </row>
    <row r="17" spans="2:9" ht="15" customHeight="1" x14ac:dyDescent="0.2">
      <c r="B17" t="s">
        <v>56</v>
      </c>
      <c r="C17" s="12">
        <v>37</v>
      </c>
      <c r="D17" s="8">
        <v>2.31</v>
      </c>
      <c r="E17" s="12">
        <v>25</v>
      </c>
      <c r="F17" s="8">
        <v>2.74</v>
      </c>
      <c r="G17" s="12">
        <v>5</v>
      </c>
      <c r="H17" s="8">
        <v>0.76</v>
      </c>
      <c r="I17" s="12">
        <v>2</v>
      </c>
    </row>
    <row r="18" spans="2:9" ht="15" customHeight="1" x14ac:dyDescent="0.2">
      <c r="B18" t="s">
        <v>57</v>
      </c>
      <c r="C18" s="12">
        <v>62</v>
      </c>
      <c r="D18" s="8">
        <v>3.88</v>
      </c>
      <c r="E18" s="12">
        <v>27</v>
      </c>
      <c r="F18" s="8">
        <v>2.96</v>
      </c>
      <c r="G18" s="12">
        <v>29</v>
      </c>
      <c r="H18" s="8">
        <v>4.41</v>
      </c>
      <c r="I18" s="12">
        <v>3</v>
      </c>
    </row>
    <row r="19" spans="2:9" ht="15" customHeight="1" x14ac:dyDescent="0.2">
      <c r="B19" t="s">
        <v>58</v>
      </c>
      <c r="C19" s="12">
        <v>59</v>
      </c>
      <c r="D19" s="8">
        <v>3.69</v>
      </c>
      <c r="E19" s="12">
        <v>22</v>
      </c>
      <c r="F19" s="8">
        <v>2.41</v>
      </c>
      <c r="G19" s="12">
        <v>34</v>
      </c>
      <c r="H19" s="8">
        <v>5.17</v>
      </c>
      <c r="I19" s="12">
        <v>0</v>
      </c>
    </row>
    <row r="20" spans="2:9" ht="15" customHeight="1" x14ac:dyDescent="0.2">
      <c r="B20" s="9" t="s">
        <v>241</v>
      </c>
      <c r="C20" s="12">
        <f>SUM(LTBL_46222[総数／事業所数])</f>
        <v>1600</v>
      </c>
      <c r="E20" s="12">
        <f>SUBTOTAL(109,LTBL_46222[個人／事業所数])</f>
        <v>911</v>
      </c>
      <c r="G20" s="12">
        <f>SUBTOTAL(109,LTBL_46222[法人／事業所数])</f>
        <v>658</v>
      </c>
      <c r="I20" s="12">
        <f>SUBTOTAL(109,LTBL_46222[法人以外の団体／事業所数])</f>
        <v>13</v>
      </c>
    </row>
    <row r="21" spans="2:9" ht="15" customHeight="1" x14ac:dyDescent="0.2">
      <c r="E21" s="11">
        <f>LTBL_46222[[#Totals],[個人／事業所数]]/LTBL_46222[[#Totals],[総数／事業所数]]</f>
        <v>0.56937499999999996</v>
      </c>
      <c r="G21" s="11">
        <f>LTBL_46222[[#Totals],[法人／事業所数]]/LTBL_46222[[#Totals],[総数／事業所数]]</f>
        <v>0.41125</v>
      </c>
      <c r="I21" s="11">
        <f>LTBL_46222[[#Totals],[法人以外の団体／事業所数]]/LTBL_46222[[#Totals],[総数／事業所数]]</f>
        <v>8.1250000000000003E-3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261</v>
      </c>
      <c r="D24" s="8">
        <v>16.309999999999999</v>
      </c>
      <c r="E24" s="12">
        <v>239</v>
      </c>
      <c r="F24" s="8">
        <v>26.23</v>
      </c>
      <c r="G24" s="12">
        <v>22</v>
      </c>
      <c r="H24" s="8">
        <v>3.34</v>
      </c>
      <c r="I24" s="12">
        <v>0</v>
      </c>
    </row>
    <row r="25" spans="2:9" ht="15" customHeight="1" x14ac:dyDescent="0.2">
      <c r="B25" t="s">
        <v>82</v>
      </c>
      <c r="C25" s="12">
        <v>159</v>
      </c>
      <c r="D25" s="8">
        <v>9.94</v>
      </c>
      <c r="E25" s="12">
        <v>146</v>
      </c>
      <c r="F25" s="8">
        <v>16.03</v>
      </c>
      <c r="G25" s="12">
        <v>13</v>
      </c>
      <c r="H25" s="8">
        <v>1.98</v>
      </c>
      <c r="I25" s="12">
        <v>0</v>
      </c>
    </row>
    <row r="26" spans="2:9" ht="15" customHeight="1" x14ac:dyDescent="0.2">
      <c r="B26" t="s">
        <v>73</v>
      </c>
      <c r="C26" s="12">
        <v>143</v>
      </c>
      <c r="D26" s="8">
        <v>8.94</v>
      </c>
      <c r="E26" s="12">
        <v>111</v>
      </c>
      <c r="F26" s="8">
        <v>12.18</v>
      </c>
      <c r="G26" s="12">
        <v>29</v>
      </c>
      <c r="H26" s="8">
        <v>4.41</v>
      </c>
      <c r="I26" s="12">
        <v>3</v>
      </c>
    </row>
    <row r="27" spans="2:9" ht="15" customHeight="1" x14ac:dyDescent="0.2">
      <c r="B27" t="s">
        <v>75</v>
      </c>
      <c r="C27" s="12">
        <v>128</v>
      </c>
      <c r="D27" s="8">
        <v>8</v>
      </c>
      <c r="E27" s="12">
        <v>63</v>
      </c>
      <c r="F27" s="8">
        <v>6.92</v>
      </c>
      <c r="G27" s="12">
        <v>62</v>
      </c>
      <c r="H27" s="8">
        <v>9.42</v>
      </c>
      <c r="I27" s="12">
        <v>3</v>
      </c>
    </row>
    <row r="28" spans="2:9" ht="15" customHeight="1" x14ac:dyDescent="0.2">
      <c r="B28" t="s">
        <v>72</v>
      </c>
      <c r="C28" s="12">
        <v>71</v>
      </c>
      <c r="D28" s="8">
        <v>4.4400000000000004</v>
      </c>
      <c r="E28" s="12">
        <v>45</v>
      </c>
      <c r="F28" s="8">
        <v>4.9400000000000004</v>
      </c>
      <c r="G28" s="12">
        <v>26</v>
      </c>
      <c r="H28" s="8">
        <v>3.95</v>
      </c>
      <c r="I28" s="12">
        <v>0</v>
      </c>
    </row>
    <row r="29" spans="2:9" ht="15" customHeight="1" x14ac:dyDescent="0.2">
      <c r="B29" t="s">
        <v>77</v>
      </c>
      <c r="C29" s="12">
        <v>63</v>
      </c>
      <c r="D29" s="8">
        <v>3.94</v>
      </c>
      <c r="E29" s="12">
        <v>18</v>
      </c>
      <c r="F29" s="8">
        <v>1.98</v>
      </c>
      <c r="G29" s="12">
        <v>44</v>
      </c>
      <c r="H29" s="8">
        <v>6.69</v>
      </c>
      <c r="I29" s="12">
        <v>0</v>
      </c>
    </row>
    <row r="30" spans="2:9" ht="15" customHeight="1" x14ac:dyDescent="0.2">
      <c r="B30" t="s">
        <v>79</v>
      </c>
      <c r="C30" s="12">
        <v>54</v>
      </c>
      <c r="D30" s="8">
        <v>3.38</v>
      </c>
      <c r="E30" s="12">
        <v>19</v>
      </c>
      <c r="F30" s="8">
        <v>2.09</v>
      </c>
      <c r="G30" s="12">
        <v>34</v>
      </c>
      <c r="H30" s="8">
        <v>5.17</v>
      </c>
      <c r="I30" s="12">
        <v>0</v>
      </c>
    </row>
    <row r="31" spans="2:9" ht="15" customHeight="1" x14ac:dyDescent="0.2">
      <c r="B31" t="s">
        <v>67</v>
      </c>
      <c r="C31" s="12">
        <v>51</v>
      </c>
      <c r="D31" s="8">
        <v>3.19</v>
      </c>
      <c r="E31" s="12">
        <v>6</v>
      </c>
      <c r="F31" s="8">
        <v>0.66</v>
      </c>
      <c r="G31" s="12">
        <v>45</v>
      </c>
      <c r="H31" s="8">
        <v>6.84</v>
      </c>
      <c r="I31" s="12">
        <v>0</v>
      </c>
    </row>
    <row r="32" spans="2:9" ht="15" customHeight="1" x14ac:dyDescent="0.2">
      <c r="B32" t="s">
        <v>74</v>
      </c>
      <c r="C32" s="12">
        <v>45</v>
      </c>
      <c r="D32" s="8">
        <v>2.81</v>
      </c>
      <c r="E32" s="12">
        <v>26</v>
      </c>
      <c r="F32" s="8">
        <v>2.85</v>
      </c>
      <c r="G32" s="12">
        <v>19</v>
      </c>
      <c r="H32" s="8">
        <v>2.89</v>
      </c>
      <c r="I32" s="12">
        <v>0</v>
      </c>
    </row>
    <row r="33" spans="2:9" ht="15" customHeight="1" x14ac:dyDescent="0.2">
      <c r="B33" t="s">
        <v>69</v>
      </c>
      <c r="C33" s="12">
        <v>42</v>
      </c>
      <c r="D33" s="8">
        <v>2.63</v>
      </c>
      <c r="E33" s="12">
        <v>11</v>
      </c>
      <c r="F33" s="8">
        <v>1.21</v>
      </c>
      <c r="G33" s="12">
        <v>31</v>
      </c>
      <c r="H33" s="8">
        <v>4.71</v>
      </c>
      <c r="I33" s="12">
        <v>0</v>
      </c>
    </row>
    <row r="34" spans="2:9" ht="15" customHeight="1" x14ac:dyDescent="0.2">
      <c r="B34" t="s">
        <v>83</v>
      </c>
      <c r="C34" s="12">
        <v>37</v>
      </c>
      <c r="D34" s="8">
        <v>2.31</v>
      </c>
      <c r="E34" s="12">
        <v>25</v>
      </c>
      <c r="F34" s="8">
        <v>2.74</v>
      </c>
      <c r="G34" s="12">
        <v>5</v>
      </c>
      <c r="H34" s="8">
        <v>0.76</v>
      </c>
      <c r="I34" s="12">
        <v>2</v>
      </c>
    </row>
    <row r="35" spans="2:9" ht="15" customHeight="1" x14ac:dyDescent="0.2">
      <c r="B35" t="s">
        <v>70</v>
      </c>
      <c r="C35" s="12">
        <v>35</v>
      </c>
      <c r="D35" s="8">
        <v>2.19</v>
      </c>
      <c r="E35" s="12">
        <v>18</v>
      </c>
      <c r="F35" s="8">
        <v>1.98</v>
      </c>
      <c r="G35" s="12">
        <v>17</v>
      </c>
      <c r="H35" s="8">
        <v>2.58</v>
      </c>
      <c r="I35" s="12">
        <v>0</v>
      </c>
    </row>
    <row r="36" spans="2:9" ht="15" customHeight="1" x14ac:dyDescent="0.2">
      <c r="B36" t="s">
        <v>101</v>
      </c>
      <c r="C36" s="12">
        <v>34</v>
      </c>
      <c r="D36" s="8">
        <v>2.13</v>
      </c>
      <c r="E36" s="12">
        <v>19</v>
      </c>
      <c r="F36" s="8">
        <v>2.09</v>
      </c>
      <c r="G36" s="12">
        <v>15</v>
      </c>
      <c r="H36" s="8">
        <v>2.2799999999999998</v>
      </c>
      <c r="I36" s="12">
        <v>0</v>
      </c>
    </row>
    <row r="37" spans="2:9" ht="15" customHeight="1" x14ac:dyDescent="0.2">
      <c r="B37" t="s">
        <v>84</v>
      </c>
      <c r="C37" s="12">
        <v>32</v>
      </c>
      <c r="D37" s="8">
        <v>2</v>
      </c>
      <c r="E37" s="12">
        <v>24</v>
      </c>
      <c r="F37" s="8">
        <v>2.63</v>
      </c>
      <c r="G37" s="12">
        <v>7</v>
      </c>
      <c r="H37" s="8">
        <v>1.06</v>
      </c>
      <c r="I37" s="12">
        <v>0</v>
      </c>
    </row>
    <row r="38" spans="2:9" ht="15" customHeight="1" x14ac:dyDescent="0.2">
      <c r="B38" t="s">
        <v>85</v>
      </c>
      <c r="C38" s="12">
        <v>30</v>
      </c>
      <c r="D38" s="8">
        <v>1.88</v>
      </c>
      <c r="E38" s="12">
        <v>3</v>
      </c>
      <c r="F38" s="8">
        <v>0.33</v>
      </c>
      <c r="G38" s="12">
        <v>22</v>
      </c>
      <c r="H38" s="8">
        <v>3.34</v>
      </c>
      <c r="I38" s="12">
        <v>3</v>
      </c>
    </row>
    <row r="39" spans="2:9" ht="15" customHeight="1" x14ac:dyDescent="0.2">
      <c r="B39" t="s">
        <v>80</v>
      </c>
      <c r="C39" s="12">
        <v>26</v>
      </c>
      <c r="D39" s="8">
        <v>1.63</v>
      </c>
      <c r="E39" s="12">
        <v>15</v>
      </c>
      <c r="F39" s="8">
        <v>1.65</v>
      </c>
      <c r="G39" s="12">
        <v>9</v>
      </c>
      <c r="H39" s="8">
        <v>1.37</v>
      </c>
      <c r="I39" s="12">
        <v>0</v>
      </c>
    </row>
    <row r="40" spans="2:9" ht="15" customHeight="1" x14ac:dyDescent="0.2">
      <c r="B40" t="s">
        <v>78</v>
      </c>
      <c r="C40" s="12">
        <v>25</v>
      </c>
      <c r="D40" s="8">
        <v>1.56</v>
      </c>
      <c r="E40" s="12">
        <v>14</v>
      </c>
      <c r="F40" s="8">
        <v>1.54</v>
      </c>
      <c r="G40" s="12">
        <v>11</v>
      </c>
      <c r="H40" s="8">
        <v>1.67</v>
      </c>
      <c r="I40" s="12">
        <v>0</v>
      </c>
    </row>
    <row r="41" spans="2:9" ht="15" customHeight="1" x14ac:dyDescent="0.2">
      <c r="B41" t="s">
        <v>68</v>
      </c>
      <c r="C41" s="12">
        <v>24</v>
      </c>
      <c r="D41" s="8">
        <v>1.5</v>
      </c>
      <c r="E41" s="12">
        <v>6</v>
      </c>
      <c r="F41" s="8">
        <v>0.66</v>
      </c>
      <c r="G41" s="12">
        <v>18</v>
      </c>
      <c r="H41" s="8">
        <v>2.74</v>
      </c>
      <c r="I41" s="12">
        <v>0</v>
      </c>
    </row>
    <row r="42" spans="2:9" ht="15" customHeight="1" x14ac:dyDescent="0.2">
      <c r="B42" t="s">
        <v>94</v>
      </c>
      <c r="C42" s="12">
        <v>23</v>
      </c>
      <c r="D42" s="8">
        <v>1.44</v>
      </c>
      <c r="E42" s="12">
        <v>14</v>
      </c>
      <c r="F42" s="8">
        <v>1.54</v>
      </c>
      <c r="G42" s="12">
        <v>9</v>
      </c>
      <c r="H42" s="8">
        <v>1.37</v>
      </c>
      <c r="I42" s="12">
        <v>0</v>
      </c>
    </row>
    <row r="43" spans="2:9" ht="15" customHeight="1" x14ac:dyDescent="0.2">
      <c r="B43" t="s">
        <v>76</v>
      </c>
      <c r="C43" s="12">
        <v>22</v>
      </c>
      <c r="D43" s="8">
        <v>1.38</v>
      </c>
      <c r="E43" s="12">
        <v>10</v>
      </c>
      <c r="F43" s="8">
        <v>1.1000000000000001</v>
      </c>
      <c r="G43" s="12">
        <v>12</v>
      </c>
      <c r="H43" s="8">
        <v>1.82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137</v>
      </c>
      <c r="C47" s="12">
        <v>100</v>
      </c>
      <c r="D47" s="8">
        <v>6.25</v>
      </c>
      <c r="E47" s="12">
        <v>95</v>
      </c>
      <c r="F47" s="8">
        <v>10.43</v>
      </c>
      <c r="G47" s="12">
        <v>5</v>
      </c>
      <c r="H47" s="8">
        <v>0.76</v>
      </c>
      <c r="I47" s="12">
        <v>0</v>
      </c>
    </row>
    <row r="48" spans="2:9" ht="15" customHeight="1" x14ac:dyDescent="0.2">
      <c r="B48" t="s">
        <v>140</v>
      </c>
      <c r="C48" s="12">
        <v>90</v>
      </c>
      <c r="D48" s="8">
        <v>5.63</v>
      </c>
      <c r="E48" s="12">
        <v>85</v>
      </c>
      <c r="F48" s="8">
        <v>9.33</v>
      </c>
      <c r="G48" s="12">
        <v>5</v>
      </c>
      <c r="H48" s="8">
        <v>0.76</v>
      </c>
      <c r="I48" s="12">
        <v>0</v>
      </c>
    </row>
    <row r="49" spans="2:9" ht="15" customHeight="1" x14ac:dyDescent="0.2">
      <c r="B49" t="s">
        <v>138</v>
      </c>
      <c r="C49" s="12">
        <v>61</v>
      </c>
      <c r="D49" s="8">
        <v>3.81</v>
      </c>
      <c r="E49" s="12">
        <v>60</v>
      </c>
      <c r="F49" s="8">
        <v>6.59</v>
      </c>
      <c r="G49" s="12">
        <v>1</v>
      </c>
      <c r="H49" s="8">
        <v>0.15</v>
      </c>
      <c r="I49" s="12">
        <v>0</v>
      </c>
    </row>
    <row r="50" spans="2:9" ht="15" customHeight="1" x14ac:dyDescent="0.2">
      <c r="B50" t="s">
        <v>129</v>
      </c>
      <c r="C50" s="12">
        <v>57</v>
      </c>
      <c r="D50" s="8">
        <v>3.56</v>
      </c>
      <c r="E50" s="12">
        <v>43</v>
      </c>
      <c r="F50" s="8">
        <v>4.72</v>
      </c>
      <c r="G50" s="12">
        <v>11</v>
      </c>
      <c r="H50" s="8">
        <v>1.67</v>
      </c>
      <c r="I50" s="12">
        <v>3</v>
      </c>
    </row>
    <row r="51" spans="2:9" ht="15" customHeight="1" x14ac:dyDescent="0.2">
      <c r="B51" t="s">
        <v>136</v>
      </c>
      <c r="C51" s="12">
        <v>44</v>
      </c>
      <c r="D51" s="8">
        <v>2.75</v>
      </c>
      <c r="E51" s="12">
        <v>34</v>
      </c>
      <c r="F51" s="8">
        <v>3.73</v>
      </c>
      <c r="G51" s="12">
        <v>10</v>
      </c>
      <c r="H51" s="8">
        <v>1.52</v>
      </c>
      <c r="I51" s="12">
        <v>0</v>
      </c>
    </row>
    <row r="52" spans="2:9" ht="15" customHeight="1" x14ac:dyDescent="0.2">
      <c r="B52" t="s">
        <v>134</v>
      </c>
      <c r="C52" s="12">
        <v>40</v>
      </c>
      <c r="D52" s="8">
        <v>2.5</v>
      </c>
      <c r="E52" s="12">
        <v>10</v>
      </c>
      <c r="F52" s="8">
        <v>1.1000000000000001</v>
      </c>
      <c r="G52" s="12">
        <v>30</v>
      </c>
      <c r="H52" s="8">
        <v>4.5599999999999996</v>
      </c>
      <c r="I52" s="12">
        <v>0</v>
      </c>
    </row>
    <row r="53" spans="2:9" ht="15" customHeight="1" x14ac:dyDescent="0.2">
      <c r="B53" t="s">
        <v>152</v>
      </c>
      <c r="C53" s="12">
        <v>38</v>
      </c>
      <c r="D53" s="8">
        <v>2.38</v>
      </c>
      <c r="E53" s="12">
        <v>26</v>
      </c>
      <c r="F53" s="8">
        <v>2.85</v>
      </c>
      <c r="G53" s="12">
        <v>12</v>
      </c>
      <c r="H53" s="8">
        <v>1.82</v>
      </c>
      <c r="I53" s="12">
        <v>0</v>
      </c>
    </row>
    <row r="54" spans="2:9" ht="15" customHeight="1" x14ac:dyDescent="0.2">
      <c r="B54" t="s">
        <v>139</v>
      </c>
      <c r="C54" s="12">
        <v>36</v>
      </c>
      <c r="D54" s="8">
        <v>2.25</v>
      </c>
      <c r="E54" s="12">
        <v>36</v>
      </c>
      <c r="F54" s="8">
        <v>3.95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127</v>
      </c>
      <c r="C55" s="12">
        <v>35</v>
      </c>
      <c r="D55" s="8">
        <v>2.19</v>
      </c>
      <c r="E55" s="12">
        <v>26</v>
      </c>
      <c r="F55" s="8">
        <v>2.85</v>
      </c>
      <c r="G55" s="12">
        <v>9</v>
      </c>
      <c r="H55" s="8">
        <v>1.37</v>
      </c>
      <c r="I55" s="12">
        <v>0</v>
      </c>
    </row>
    <row r="56" spans="2:9" ht="15" customHeight="1" x14ac:dyDescent="0.2">
      <c r="B56" t="s">
        <v>133</v>
      </c>
      <c r="C56" s="12">
        <v>35</v>
      </c>
      <c r="D56" s="8">
        <v>2.19</v>
      </c>
      <c r="E56" s="12">
        <v>22</v>
      </c>
      <c r="F56" s="8">
        <v>2.41</v>
      </c>
      <c r="G56" s="12">
        <v>13</v>
      </c>
      <c r="H56" s="8">
        <v>1.98</v>
      </c>
      <c r="I56" s="12">
        <v>0</v>
      </c>
    </row>
    <row r="57" spans="2:9" ht="15" customHeight="1" x14ac:dyDescent="0.2">
      <c r="B57" t="s">
        <v>135</v>
      </c>
      <c r="C57" s="12">
        <v>32</v>
      </c>
      <c r="D57" s="8">
        <v>2</v>
      </c>
      <c r="E57" s="12">
        <v>9</v>
      </c>
      <c r="F57" s="8">
        <v>0.99</v>
      </c>
      <c r="G57" s="12">
        <v>22</v>
      </c>
      <c r="H57" s="8">
        <v>3.34</v>
      </c>
      <c r="I57" s="12">
        <v>0</v>
      </c>
    </row>
    <row r="58" spans="2:9" ht="15" customHeight="1" x14ac:dyDescent="0.2">
      <c r="B58" t="s">
        <v>130</v>
      </c>
      <c r="C58" s="12">
        <v>28</v>
      </c>
      <c r="D58" s="8">
        <v>1.75</v>
      </c>
      <c r="E58" s="12">
        <v>14</v>
      </c>
      <c r="F58" s="8">
        <v>1.54</v>
      </c>
      <c r="G58" s="12">
        <v>14</v>
      </c>
      <c r="H58" s="8">
        <v>2.13</v>
      </c>
      <c r="I58" s="12">
        <v>0</v>
      </c>
    </row>
    <row r="59" spans="2:9" ht="15" customHeight="1" x14ac:dyDescent="0.2">
      <c r="B59" t="s">
        <v>131</v>
      </c>
      <c r="C59" s="12">
        <v>27</v>
      </c>
      <c r="D59" s="8">
        <v>1.69</v>
      </c>
      <c r="E59" s="12">
        <v>11</v>
      </c>
      <c r="F59" s="8">
        <v>1.21</v>
      </c>
      <c r="G59" s="12">
        <v>16</v>
      </c>
      <c r="H59" s="8">
        <v>2.4300000000000002</v>
      </c>
      <c r="I59" s="12">
        <v>0</v>
      </c>
    </row>
    <row r="60" spans="2:9" ht="15" customHeight="1" x14ac:dyDescent="0.2">
      <c r="B60" t="s">
        <v>167</v>
      </c>
      <c r="C60" s="12">
        <v>27</v>
      </c>
      <c r="D60" s="8">
        <v>1.69</v>
      </c>
      <c r="E60" s="12">
        <v>24</v>
      </c>
      <c r="F60" s="8">
        <v>2.63</v>
      </c>
      <c r="G60" s="12">
        <v>3</v>
      </c>
      <c r="H60" s="8">
        <v>0.46</v>
      </c>
      <c r="I60" s="12">
        <v>0</v>
      </c>
    </row>
    <row r="61" spans="2:9" ht="15" customHeight="1" x14ac:dyDescent="0.2">
      <c r="B61" t="s">
        <v>172</v>
      </c>
      <c r="C61" s="12">
        <v>24</v>
      </c>
      <c r="D61" s="8">
        <v>1.5</v>
      </c>
      <c r="E61" s="12">
        <v>14</v>
      </c>
      <c r="F61" s="8">
        <v>1.54</v>
      </c>
      <c r="G61" s="12">
        <v>10</v>
      </c>
      <c r="H61" s="8">
        <v>1.52</v>
      </c>
      <c r="I61" s="12">
        <v>0</v>
      </c>
    </row>
    <row r="62" spans="2:9" ht="15" customHeight="1" x14ac:dyDescent="0.2">
      <c r="B62" t="s">
        <v>142</v>
      </c>
      <c r="C62" s="12">
        <v>24</v>
      </c>
      <c r="D62" s="8">
        <v>1.5</v>
      </c>
      <c r="E62" s="12">
        <v>19</v>
      </c>
      <c r="F62" s="8">
        <v>2.09</v>
      </c>
      <c r="G62" s="12">
        <v>5</v>
      </c>
      <c r="H62" s="8">
        <v>0.76</v>
      </c>
      <c r="I62" s="12">
        <v>0</v>
      </c>
    </row>
    <row r="63" spans="2:9" ht="15" customHeight="1" x14ac:dyDescent="0.2">
      <c r="B63" t="s">
        <v>146</v>
      </c>
      <c r="C63" s="12">
        <v>22</v>
      </c>
      <c r="D63" s="8">
        <v>1.38</v>
      </c>
      <c r="E63" s="12">
        <v>15</v>
      </c>
      <c r="F63" s="8">
        <v>1.65</v>
      </c>
      <c r="G63" s="12">
        <v>7</v>
      </c>
      <c r="H63" s="8">
        <v>1.06</v>
      </c>
      <c r="I63" s="12">
        <v>0</v>
      </c>
    </row>
    <row r="64" spans="2:9" ht="15" customHeight="1" x14ac:dyDescent="0.2">
      <c r="B64" t="s">
        <v>124</v>
      </c>
      <c r="C64" s="12">
        <v>20</v>
      </c>
      <c r="D64" s="8">
        <v>1.25</v>
      </c>
      <c r="E64" s="12">
        <v>2</v>
      </c>
      <c r="F64" s="8">
        <v>0.22</v>
      </c>
      <c r="G64" s="12">
        <v>18</v>
      </c>
      <c r="H64" s="8">
        <v>2.74</v>
      </c>
      <c r="I64" s="12">
        <v>0</v>
      </c>
    </row>
    <row r="65" spans="2:9" ht="15" customHeight="1" x14ac:dyDescent="0.2">
      <c r="B65" t="s">
        <v>128</v>
      </c>
      <c r="C65" s="12">
        <v>20</v>
      </c>
      <c r="D65" s="8">
        <v>1.25</v>
      </c>
      <c r="E65" s="12">
        <v>13</v>
      </c>
      <c r="F65" s="8">
        <v>1.43</v>
      </c>
      <c r="G65" s="12">
        <v>7</v>
      </c>
      <c r="H65" s="8">
        <v>1.06</v>
      </c>
      <c r="I65" s="12">
        <v>0</v>
      </c>
    </row>
    <row r="66" spans="2:9" ht="15" customHeight="1" x14ac:dyDescent="0.2">
      <c r="B66" t="s">
        <v>144</v>
      </c>
      <c r="C66" s="12">
        <v>19</v>
      </c>
      <c r="D66" s="8">
        <v>1.19</v>
      </c>
      <c r="E66" s="12">
        <v>9</v>
      </c>
      <c r="F66" s="8">
        <v>0.99</v>
      </c>
      <c r="G66" s="12">
        <v>10</v>
      </c>
      <c r="H66" s="8">
        <v>1.52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71DA-9FAB-45AE-8A98-C78D443B84CB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129</v>
      </c>
      <c r="D6" s="8">
        <v>12.26</v>
      </c>
      <c r="E6" s="12">
        <v>53</v>
      </c>
      <c r="F6" s="8">
        <v>8.1</v>
      </c>
      <c r="G6" s="12">
        <v>76</v>
      </c>
      <c r="H6" s="8">
        <v>20.38</v>
      </c>
      <c r="I6" s="12">
        <v>0</v>
      </c>
    </row>
    <row r="7" spans="2:9" ht="15" customHeight="1" x14ac:dyDescent="0.2">
      <c r="B7" t="s">
        <v>46</v>
      </c>
      <c r="C7" s="12">
        <v>206</v>
      </c>
      <c r="D7" s="8">
        <v>19.579999999999998</v>
      </c>
      <c r="E7" s="12">
        <v>107</v>
      </c>
      <c r="F7" s="8">
        <v>16.36</v>
      </c>
      <c r="G7" s="12">
        <v>99</v>
      </c>
      <c r="H7" s="8">
        <v>26.54</v>
      </c>
      <c r="I7" s="12">
        <v>0</v>
      </c>
    </row>
    <row r="8" spans="2:9" ht="15" customHeight="1" x14ac:dyDescent="0.2">
      <c r="B8" t="s">
        <v>47</v>
      </c>
      <c r="C8" s="12">
        <v>3</v>
      </c>
      <c r="D8" s="8">
        <v>0.28999999999999998</v>
      </c>
      <c r="E8" s="12">
        <v>1</v>
      </c>
      <c r="F8" s="8">
        <v>0.15</v>
      </c>
      <c r="G8" s="12">
        <v>2</v>
      </c>
      <c r="H8" s="8">
        <v>0.54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0.19</v>
      </c>
      <c r="E9" s="12">
        <v>1</v>
      </c>
      <c r="F9" s="8">
        <v>0.15</v>
      </c>
      <c r="G9" s="12">
        <v>1</v>
      </c>
      <c r="H9" s="8">
        <v>0.27</v>
      </c>
      <c r="I9" s="12">
        <v>0</v>
      </c>
    </row>
    <row r="10" spans="2:9" ht="15" customHeight="1" x14ac:dyDescent="0.2">
      <c r="B10" t="s">
        <v>49</v>
      </c>
      <c r="C10" s="12">
        <v>6</v>
      </c>
      <c r="D10" s="8">
        <v>0.56999999999999995</v>
      </c>
      <c r="E10" s="12">
        <v>4</v>
      </c>
      <c r="F10" s="8">
        <v>0.61</v>
      </c>
      <c r="G10" s="12">
        <v>2</v>
      </c>
      <c r="H10" s="8">
        <v>0.54</v>
      </c>
      <c r="I10" s="12">
        <v>0</v>
      </c>
    </row>
    <row r="11" spans="2:9" ht="15" customHeight="1" x14ac:dyDescent="0.2">
      <c r="B11" t="s">
        <v>50</v>
      </c>
      <c r="C11" s="12">
        <v>300</v>
      </c>
      <c r="D11" s="8">
        <v>28.52</v>
      </c>
      <c r="E11" s="12">
        <v>181</v>
      </c>
      <c r="F11" s="8">
        <v>27.68</v>
      </c>
      <c r="G11" s="12">
        <v>118</v>
      </c>
      <c r="H11" s="8">
        <v>31.64</v>
      </c>
      <c r="I11" s="12">
        <v>1</v>
      </c>
    </row>
    <row r="12" spans="2:9" ht="15" customHeight="1" x14ac:dyDescent="0.2">
      <c r="B12" t="s">
        <v>51</v>
      </c>
      <c r="C12" s="12">
        <v>3</v>
      </c>
      <c r="D12" s="8">
        <v>0.28999999999999998</v>
      </c>
      <c r="E12" s="12">
        <v>1</v>
      </c>
      <c r="F12" s="8">
        <v>0.15</v>
      </c>
      <c r="G12" s="12">
        <v>2</v>
      </c>
      <c r="H12" s="8">
        <v>0.54</v>
      </c>
      <c r="I12" s="12">
        <v>0</v>
      </c>
    </row>
    <row r="13" spans="2:9" ht="15" customHeight="1" x14ac:dyDescent="0.2">
      <c r="B13" t="s">
        <v>52</v>
      </c>
      <c r="C13" s="12">
        <v>20</v>
      </c>
      <c r="D13" s="8">
        <v>1.9</v>
      </c>
      <c r="E13" s="12">
        <v>5</v>
      </c>
      <c r="F13" s="8">
        <v>0.76</v>
      </c>
      <c r="G13" s="12">
        <v>15</v>
      </c>
      <c r="H13" s="8">
        <v>4.0199999999999996</v>
      </c>
      <c r="I13" s="12">
        <v>0</v>
      </c>
    </row>
    <row r="14" spans="2:9" ht="15" customHeight="1" x14ac:dyDescent="0.2">
      <c r="B14" t="s">
        <v>53</v>
      </c>
      <c r="C14" s="12">
        <v>38</v>
      </c>
      <c r="D14" s="8">
        <v>3.61</v>
      </c>
      <c r="E14" s="12">
        <v>23</v>
      </c>
      <c r="F14" s="8">
        <v>3.52</v>
      </c>
      <c r="G14" s="12">
        <v>15</v>
      </c>
      <c r="H14" s="8">
        <v>4.0199999999999996</v>
      </c>
      <c r="I14" s="12">
        <v>0</v>
      </c>
    </row>
    <row r="15" spans="2:9" ht="15" customHeight="1" x14ac:dyDescent="0.2">
      <c r="B15" t="s">
        <v>54</v>
      </c>
      <c r="C15" s="12">
        <v>83</v>
      </c>
      <c r="D15" s="8">
        <v>7.89</v>
      </c>
      <c r="E15" s="12">
        <v>73</v>
      </c>
      <c r="F15" s="8">
        <v>11.16</v>
      </c>
      <c r="G15" s="12">
        <v>9</v>
      </c>
      <c r="H15" s="8">
        <v>2.41</v>
      </c>
      <c r="I15" s="12">
        <v>0</v>
      </c>
    </row>
    <row r="16" spans="2:9" ht="15" customHeight="1" x14ac:dyDescent="0.2">
      <c r="B16" t="s">
        <v>55</v>
      </c>
      <c r="C16" s="12">
        <v>120</v>
      </c>
      <c r="D16" s="8">
        <v>11.41</v>
      </c>
      <c r="E16" s="12">
        <v>111</v>
      </c>
      <c r="F16" s="8">
        <v>16.97</v>
      </c>
      <c r="G16" s="12">
        <v>8</v>
      </c>
      <c r="H16" s="8">
        <v>2.14</v>
      </c>
      <c r="I16" s="12">
        <v>1</v>
      </c>
    </row>
    <row r="17" spans="2:9" ht="15" customHeight="1" x14ac:dyDescent="0.2">
      <c r="B17" t="s">
        <v>56</v>
      </c>
      <c r="C17" s="12">
        <v>37</v>
      </c>
      <c r="D17" s="8">
        <v>3.52</v>
      </c>
      <c r="E17" s="12">
        <v>16</v>
      </c>
      <c r="F17" s="8">
        <v>2.4500000000000002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53</v>
      </c>
      <c r="D18" s="8">
        <v>5.04</v>
      </c>
      <c r="E18" s="12">
        <v>37</v>
      </c>
      <c r="F18" s="8">
        <v>5.66</v>
      </c>
      <c r="G18" s="12">
        <v>16</v>
      </c>
      <c r="H18" s="8">
        <v>4.29</v>
      </c>
      <c r="I18" s="12">
        <v>0</v>
      </c>
    </row>
    <row r="19" spans="2:9" ht="15" customHeight="1" x14ac:dyDescent="0.2">
      <c r="B19" t="s">
        <v>58</v>
      </c>
      <c r="C19" s="12">
        <v>52</v>
      </c>
      <c r="D19" s="8">
        <v>4.9400000000000004</v>
      </c>
      <c r="E19" s="12">
        <v>41</v>
      </c>
      <c r="F19" s="8">
        <v>6.27</v>
      </c>
      <c r="G19" s="12">
        <v>10</v>
      </c>
      <c r="H19" s="8">
        <v>2.68</v>
      </c>
      <c r="I19" s="12">
        <v>0</v>
      </c>
    </row>
    <row r="20" spans="2:9" ht="15" customHeight="1" x14ac:dyDescent="0.2">
      <c r="B20" s="9" t="s">
        <v>241</v>
      </c>
      <c r="C20" s="12">
        <f>SUM(LTBL_46223[総数／事業所数])</f>
        <v>1052</v>
      </c>
      <c r="E20" s="12">
        <f>SUBTOTAL(109,LTBL_46223[個人／事業所数])</f>
        <v>654</v>
      </c>
      <c r="G20" s="12">
        <f>SUBTOTAL(109,LTBL_46223[法人／事業所数])</f>
        <v>373</v>
      </c>
      <c r="I20" s="12">
        <f>SUBTOTAL(109,LTBL_46223[法人以外の団体／事業所数])</f>
        <v>2</v>
      </c>
    </row>
    <row r="21" spans="2:9" ht="15" customHeight="1" x14ac:dyDescent="0.2">
      <c r="E21" s="11">
        <f>LTBL_46223[[#Totals],[個人／事業所数]]/LTBL_46223[[#Totals],[総数／事業所数]]</f>
        <v>0.62167300380228141</v>
      </c>
      <c r="G21" s="11">
        <f>LTBL_46223[[#Totals],[法人／事業所数]]/LTBL_46223[[#Totals],[総数／事業所数]]</f>
        <v>0.35456273764258556</v>
      </c>
      <c r="I21" s="11">
        <f>LTBL_46223[[#Totals],[法人以外の団体／事業所数]]/LTBL_46223[[#Totals],[総数／事業所数]]</f>
        <v>1.9011406844106464E-3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75</v>
      </c>
      <c r="C24" s="12">
        <v>114</v>
      </c>
      <c r="D24" s="8">
        <v>10.84</v>
      </c>
      <c r="E24" s="12">
        <v>59</v>
      </c>
      <c r="F24" s="8">
        <v>9.02</v>
      </c>
      <c r="G24" s="12">
        <v>55</v>
      </c>
      <c r="H24" s="8">
        <v>14.75</v>
      </c>
      <c r="I24" s="12">
        <v>0</v>
      </c>
    </row>
    <row r="25" spans="2:9" ht="15" customHeight="1" x14ac:dyDescent="0.2">
      <c r="B25" t="s">
        <v>82</v>
      </c>
      <c r="C25" s="12">
        <v>102</v>
      </c>
      <c r="D25" s="8">
        <v>9.6999999999999993</v>
      </c>
      <c r="E25" s="12">
        <v>100</v>
      </c>
      <c r="F25" s="8">
        <v>15.29</v>
      </c>
      <c r="G25" s="12">
        <v>2</v>
      </c>
      <c r="H25" s="8">
        <v>0.54</v>
      </c>
      <c r="I25" s="12">
        <v>0</v>
      </c>
    </row>
    <row r="26" spans="2:9" ht="15" customHeight="1" x14ac:dyDescent="0.2">
      <c r="B26" t="s">
        <v>73</v>
      </c>
      <c r="C26" s="12">
        <v>97</v>
      </c>
      <c r="D26" s="8">
        <v>9.2200000000000006</v>
      </c>
      <c r="E26" s="12">
        <v>76</v>
      </c>
      <c r="F26" s="8">
        <v>11.62</v>
      </c>
      <c r="G26" s="12">
        <v>20</v>
      </c>
      <c r="H26" s="8">
        <v>5.36</v>
      </c>
      <c r="I26" s="12">
        <v>1</v>
      </c>
    </row>
    <row r="27" spans="2:9" ht="15" customHeight="1" x14ac:dyDescent="0.2">
      <c r="B27" t="s">
        <v>90</v>
      </c>
      <c r="C27" s="12">
        <v>70</v>
      </c>
      <c r="D27" s="8">
        <v>6.65</v>
      </c>
      <c r="E27" s="12">
        <v>18</v>
      </c>
      <c r="F27" s="8">
        <v>2.75</v>
      </c>
      <c r="G27" s="12">
        <v>52</v>
      </c>
      <c r="H27" s="8">
        <v>13.94</v>
      </c>
      <c r="I27" s="12">
        <v>0</v>
      </c>
    </row>
    <row r="28" spans="2:9" ht="15" customHeight="1" x14ac:dyDescent="0.2">
      <c r="B28" t="s">
        <v>81</v>
      </c>
      <c r="C28" s="12">
        <v>67</v>
      </c>
      <c r="D28" s="8">
        <v>6.37</v>
      </c>
      <c r="E28" s="12">
        <v>62</v>
      </c>
      <c r="F28" s="8">
        <v>9.48</v>
      </c>
      <c r="G28" s="12">
        <v>5</v>
      </c>
      <c r="H28" s="8">
        <v>1.34</v>
      </c>
      <c r="I28" s="12">
        <v>0</v>
      </c>
    </row>
    <row r="29" spans="2:9" ht="15" customHeight="1" x14ac:dyDescent="0.2">
      <c r="B29" t="s">
        <v>67</v>
      </c>
      <c r="C29" s="12">
        <v>63</v>
      </c>
      <c r="D29" s="8">
        <v>5.99</v>
      </c>
      <c r="E29" s="12">
        <v>11</v>
      </c>
      <c r="F29" s="8">
        <v>1.68</v>
      </c>
      <c r="G29" s="12">
        <v>52</v>
      </c>
      <c r="H29" s="8">
        <v>13.94</v>
      </c>
      <c r="I29" s="12">
        <v>0</v>
      </c>
    </row>
    <row r="30" spans="2:9" ht="15" customHeight="1" x14ac:dyDescent="0.2">
      <c r="B30" t="s">
        <v>102</v>
      </c>
      <c r="C30" s="12">
        <v>55</v>
      </c>
      <c r="D30" s="8">
        <v>5.23</v>
      </c>
      <c r="E30" s="12">
        <v>40</v>
      </c>
      <c r="F30" s="8">
        <v>6.12</v>
      </c>
      <c r="G30" s="12">
        <v>15</v>
      </c>
      <c r="H30" s="8">
        <v>4.0199999999999996</v>
      </c>
      <c r="I30" s="12">
        <v>0</v>
      </c>
    </row>
    <row r="31" spans="2:9" ht="15" customHeight="1" x14ac:dyDescent="0.2">
      <c r="B31" t="s">
        <v>68</v>
      </c>
      <c r="C31" s="12">
        <v>45</v>
      </c>
      <c r="D31" s="8">
        <v>4.28</v>
      </c>
      <c r="E31" s="12">
        <v>33</v>
      </c>
      <c r="F31" s="8">
        <v>5.05</v>
      </c>
      <c r="G31" s="12">
        <v>12</v>
      </c>
      <c r="H31" s="8">
        <v>3.22</v>
      </c>
      <c r="I31" s="12">
        <v>0</v>
      </c>
    </row>
    <row r="32" spans="2:9" ht="15" customHeight="1" x14ac:dyDescent="0.2">
      <c r="B32" t="s">
        <v>83</v>
      </c>
      <c r="C32" s="12">
        <v>37</v>
      </c>
      <c r="D32" s="8">
        <v>3.52</v>
      </c>
      <c r="E32" s="12">
        <v>16</v>
      </c>
      <c r="F32" s="8">
        <v>2.4500000000000002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84</v>
      </c>
      <c r="C33" s="12">
        <v>37</v>
      </c>
      <c r="D33" s="8">
        <v>3.52</v>
      </c>
      <c r="E33" s="12">
        <v>35</v>
      </c>
      <c r="F33" s="8">
        <v>5.35</v>
      </c>
      <c r="G33" s="12">
        <v>2</v>
      </c>
      <c r="H33" s="8">
        <v>0.54</v>
      </c>
      <c r="I33" s="12">
        <v>0</v>
      </c>
    </row>
    <row r="34" spans="2:9" ht="15" customHeight="1" x14ac:dyDescent="0.2">
      <c r="B34" t="s">
        <v>86</v>
      </c>
      <c r="C34" s="12">
        <v>36</v>
      </c>
      <c r="D34" s="8">
        <v>3.42</v>
      </c>
      <c r="E34" s="12">
        <v>33</v>
      </c>
      <c r="F34" s="8">
        <v>5.05</v>
      </c>
      <c r="G34" s="12">
        <v>3</v>
      </c>
      <c r="H34" s="8">
        <v>0.8</v>
      </c>
      <c r="I34" s="12">
        <v>0</v>
      </c>
    </row>
    <row r="35" spans="2:9" ht="15" customHeight="1" x14ac:dyDescent="0.2">
      <c r="B35" t="s">
        <v>74</v>
      </c>
      <c r="C35" s="12">
        <v>32</v>
      </c>
      <c r="D35" s="8">
        <v>3.04</v>
      </c>
      <c r="E35" s="12">
        <v>24</v>
      </c>
      <c r="F35" s="8">
        <v>3.67</v>
      </c>
      <c r="G35" s="12">
        <v>8</v>
      </c>
      <c r="H35" s="8">
        <v>2.14</v>
      </c>
      <c r="I35" s="12">
        <v>0</v>
      </c>
    </row>
    <row r="36" spans="2:9" ht="15" customHeight="1" x14ac:dyDescent="0.2">
      <c r="B36" t="s">
        <v>103</v>
      </c>
      <c r="C36" s="12">
        <v>22</v>
      </c>
      <c r="D36" s="8">
        <v>2.09</v>
      </c>
      <c r="E36" s="12">
        <v>19</v>
      </c>
      <c r="F36" s="8">
        <v>2.91</v>
      </c>
      <c r="G36" s="12">
        <v>3</v>
      </c>
      <c r="H36" s="8">
        <v>0.8</v>
      </c>
      <c r="I36" s="12">
        <v>0</v>
      </c>
    </row>
    <row r="37" spans="2:9" ht="15" customHeight="1" x14ac:dyDescent="0.2">
      <c r="B37" t="s">
        <v>69</v>
      </c>
      <c r="C37" s="12">
        <v>21</v>
      </c>
      <c r="D37" s="8">
        <v>2</v>
      </c>
      <c r="E37" s="12">
        <v>9</v>
      </c>
      <c r="F37" s="8">
        <v>1.38</v>
      </c>
      <c r="G37" s="12">
        <v>12</v>
      </c>
      <c r="H37" s="8">
        <v>3.22</v>
      </c>
      <c r="I37" s="12">
        <v>0</v>
      </c>
    </row>
    <row r="38" spans="2:9" ht="15" customHeight="1" x14ac:dyDescent="0.2">
      <c r="B38" t="s">
        <v>79</v>
      </c>
      <c r="C38" s="12">
        <v>20</v>
      </c>
      <c r="D38" s="8">
        <v>1.9</v>
      </c>
      <c r="E38" s="12">
        <v>10</v>
      </c>
      <c r="F38" s="8">
        <v>1.53</v>
      </c>
      <c r="G38" s="12">
        <v>10</v>
      </c>
      <c r="H38" s="8">
        <v>2.68</v>
      </c>
      <c r="I38" s="12">
        <v>0</v>
      </c>
    </row>
    <row r="39" spans="2:9" ht="15" customHeight="1" x14ac:dyDescent="0.2">
      <c r="B39" t="s">
        <v>70</v>
      </c>
      <c r="C39" s="12">
        <v>19</v>
      </c>
      <c r="D39" s="8">
        <v>1.81</v>
      </c>
      <c r="E39" s="12">
        <v>7</v>
      </c>
      <c r="F39" s="8">
        <v>1.07</v>
      </c>
      <c r="G39" s="12">
        <v>12</v>
      </c>
      <c r="H39" s="8">
        <v>3.22</v>
      </c>
      <c r="I39" s="12">
        <v>0</v>
      </c>
    </row>
    <row r="40" spans="2:9" ht="15" customHeight="1" x14ac:dyDescent="0.2">
      <c r="B40" t="s">
        <v>96</v>
      </c>
      <c r="C40" s="12">
        <v>17</v>
      </c>
      <c r="D40" s="8">
        <v>1.62</v>
      </c>
      <c r="E40" s="12">
        <v>12</v>
      </c>
      <c r="F40" s="8">
        <v>1.83</v>
      </c>
      <c r="G40" s="12">
        <v>5</v>
      </c>
      <c r="H40" s="8">
        <v>1.34</v>
      </c>
      <c r="I40" s="12">
        <v>0</v>
      </c>
    </row>
    <row r="41" spans="2:9" ht="15" customHeight="1" x14ac:dyDescent="0.2">
      <c r="B41" t="s">
        <v>85</v>
      </c>
      <c r="C41" s="12">
        <v>16</v>
      </c>
      <c r="D41" s="8">
        <v>1.52</v>
      </c>
      <c r="E41" s="12">
        <v>2</v>
      </c>
      <c r="F41" s="8">
        <v>0.31</v>
      </c>
      <c r="G41" s="12">
        <v>14</v>
      </c>
      <c r="H41" s="8">
        <v>3.75</v>
      </c>
      <c r="I41" s="12">
        <v>0</v>
      </c>
    </row>
    <row r="42" spans="2:9" ht="15" customHeight="1" x14ac:dyDescent="0.2">
      <c r="B42" t="s">
        <v>78</v>
      </c>
      <c r="C42" s="12">
        <v>15</v>
      </c>
      <c r="D42" s="8">
        <v>1.43</v>
      </c>
      <c r="E42" s="12">
        <v>13</v>
      </c>
      <c r="F42" s="8">
        <v>1.99</v>
      </c>
      <c r="G42" s="12">
        <v>2</v>
      </c>
      <c r="H42" s="8">
        <v>0.54</v>
      </c>
      <c r="I42" s="12">
        <v>0</v>
      </c>
    </row>
    <row r="43" spans="2:9" ht="15" customHeight="1" x14ac:dyDescent="0.2">
      <c r="B43" t="s">
        <v>87</v>
      </c>
      <c r="C43" s="12">
        <v>13</v>
      </c>
      <c r="D43" s="8">
        <v>1.24</v>
      </c>
      <c r="E43" s="12">
        <v>5</v>
      </c>
      <c r="F43" s="8">
        <v>0.76</v>
      </c>
      <c r="G43" s="12">
        <v>8</v>
      </c>
      <c r="H43" s="8">
        <v>2.14</v>
      </c>
      <c r="I43" s="12">
        <v>0</v>
      </c>
    </row>
    <row r="44" spans="2:9" ht="15" customHeight="1" x14ac:dyDescent="0.2">
      <c r="B44" t="s">
        <v>72</v>
      </c>
      <c r="C44" s="12">
        <v>13</v>
      </c>
      <c r="D44" s="8">
        <v>1.24</v>
      </c>
      <c r="E44" s="12">
        <v>7</v>
      </c>
      <c r="F44" s="8">
        <v>1.07</v>
      </c>
      <c r="G44" s="12">
        <v>6</v>
      </c>
      <c r="H44" s="8">
        <v>1.61</v>
      </c>
      <c r="I44" s="12">
        <v>0</v>
      </c>
    </row>
    <row r="47" spans="2:9" ht="33" customHeight="1" x14ac:dyDescent="0.2">
      <c r="B47" t="s">
        <v>243</v>
      </c>
      <c r="C47" s="10" t="s">
        <v>60</v>
      </c>
      <c r="D47" s="10" t="s">
        <v>61</v>
      </c>
      <c r="E47" s="10" t="s">
        <v>62</v>
      </c>
      <c r="F47" s="10" t="s">
        <v>63</v>
      </c>
      <c r="G47" s="10" t="s">
        <v>64</v>
      </c>
      <c r="H47" s="10" t="s">
        <v>65</v>
      </c>
      <c r="I47" s="10" t="s">
        <v>66</v>
      </c>
    </row>
    <row r="48" spans="2:9" ht="15" customHeight="1" x14ac:dyDescent="0.2">
      <c r="B48" t="s">
        <v>150</v>
      </c>
      <c r="C48" s="12">
        <v>62</v>
      </c>
      <c r="D48" s="8">
        <v>5.89</v>
      </c>
      <c r="E48" s="12">
        <v>18</v>
      </c>
      <c r="F48" s="8">
        <v>2.75</v>
      </c>
      <c r="G48" s="12">
        <v>44</v>
      </c>
      <c r="H48" s="8">
        <v>11.8</v>
      </c>
      <c r="I48" s="12">
        <v>0</v>
      </c>
    </row>
    <row r="49" spans="2:9" ht="15" customHeight="1" x14ac:dyDescent="0.2">
      <c r="B49" t="s">
        <v>140</v>
      </c>
      <c r="C49" s="12">
        <v>53</v>
      </c>
      <c r="D49" s="8">
        <v>5.04</v>
      </c>
      <c r="E49" s="12">
        <v>53</v>
      </c>
      <c r="F49" s="8">
        <v>8.1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173</v>
      </c>
      <c r="C50" s="12">
        <v>46</v>
      </c>
      <c r="D50" s="8">
        <v>4.37</v>
      </c>
      <c r="E50" s="12">
        <v>31</v>
      </c>
      <c r="F50" s="8">
        <v>4.74</v>
      </c>
      <c r="G50" s="12">
        <v>15</v>
      </c>
      <c r="H50" s="8">
        <v>4.0199999999999996</v>
      </c>
      <c r="I50" s="12">
        <v>0</v>
      </c>
    </row>
    <row r="51" spans="2:9" ht="15" customHeight="1" x14ac:dyDescent="0.2">
      <c r="B51" t="s">
        <v>139</v>
      </c>
      <c r="C51" s="12">
        <v>38</v>
      </c>
      <c r="D51" s="8">
        <v>3.61</v>
      </c>
      <c r="E51" s="12">
        <v>38</v>
      </c>
      <c r="F51" s="8">
        <v>5.81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37</v>
      </c>
      <c r="D52" s="8">
        <v>3.52</v>
      </c>
      <c r="E52" s="12">
        <v>26</v>
      </c>
      <c r="F52" s="8">
        <v>3.98</v>
      </c>
      <c r="G52" s="12">
        <v>10</v>
      </c>
      <c r="H52" s="8">
        <v>2.68</v>
      </c>
      <c r="I52" s="12">
        <v>1</v>
      </c>
    </row>
    <row r="53" spans="2:9" ht="15" customHeight="1" x14ac:dyDescent="0.2">
      <c r="B53" t="s">
        <v>143</v>
      </c>
      <c r="C53" s="12">
        <v>36</v>
      </c>
      <c r="D53" s="8">
        <v>3.42</v>
      </c>
      <c r="E53" s="12">
        <v>33</v>
      </c>
      <c r="F53" s="8">
        <v>5.05</v>
      </c>
      <c r="G53" s="12">
        <v>3</v>
      </c>
      <c r="H53" s="8">
        <v>0.8</v>
      </c>
      <c r="I53" s="12">
        <v>0</v>
      </c>
    </row>
    <row r="54" spans="2:9" ht="15" customHeight="1" x14ac:dyDescent="0.2">
      <c r="B54" t="s">
        <v>132</v>
      </c>
      <c r="C54" s="12">
        <v>29</v>
      </c>
      <c r="D54" s="8">
        <v>2.76</v>
      </c>
      <c r="E54" s="12">
        <v>10</v>
      </c>
      <c r="F54" s="8">
        <v>1.53</v>
      </c>
      <c r="G54" s="12">
        <v>19</v>
      </c>
      <c r="H54" s="8">
        <v>5.09</v>
      </c>
      <c r="I54" s="12">
        <v>0</v>
      </c>
    </row>
    <row r="55" spans="2:9" ht="15" customHeight="1" x14ac:dyDescent="0.2">
      <c r="B55" t="s">
        <v>142</v>
      </c>
      <c r="C55" s="12">
        <v>27</v>
      </c>
      <c r="D55" s="8">
        <v>2.57</v>
      </c>
      <c r="E55" s="12">
        <v>27</v>
      </c>
      <c r="F55" s="8">
        <v>4.13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124</v>
      </c>
      <c r="C56" s="12">
        <v>26</v>
      </c>
      <c r="D56" s="8">
        <v>2.4700000000000002</v>
      </c>
      <c r="E56" s="12">
        <v>2</v>
      </c>
      <c r="F56" s="8">
        <v>0.31</v>
      </c>
      <c r="G56" s="12">
        <v>24</v>
      </c>
      <c r="H56" s="8">
        <v>6.43</v>
      </c>
      <c r="I56" s="12">
        <v>0</v>
      </c>
    </row>
    <row r="57" spans="2:9" ht="15" customHeight="1" x14ac:dyDescent="0.2">
      <c r="B57" t="s">
        <v>127</v>
      </c>
      <c r="C57" s="12">
        <v>23</v>
      </c>
      <c r="D57" s="8">
        <v>2.19</v>
      </c>
      <c r="E57" s="12">
        <v>21</v>
      </c>
      <c r="F57" s="8">
        <v>3.21</v>
      </c>
      <c r="G57" s="12">
        <v>2</v>
      </c>
      <c r="H57" s="8">
        <v>0.54</v>
      </c>
      <c r="I57" s="12">
        <v>0</v>
      </c>
    </row>
    <row r="58" spans="2:9" ht="15" customHeight="1" x14ac:dyDescent="0.2">
      <c r="B58" t="s">
        <v>130</v>
      </c>
      <c r="C58" s="12">
        <v>22</v>
      </c>
      <c r="D58" s="8">
        <v>2.09</v>
      </c>
      <c r="E58" s="12">
        <v>18</v>
      </c>
      <c r="F58" s="8">
        <v>2.75</v>
      </c>
      <c r="G58" s="12">
        <v>4</v>
      </c>
      <c r="H58" s="8">
        <v>1.07</v>
      </c>
      <c r="I58" s="12">
        <v>0</v>
      </c>
    </row>
    <row r="59" spans="2:9" ht="15" customHeight="1" x14ac:dyDescent="0.2">
      <c r="B59" t="s">
        <v>165</v>
      </c>
      <c r="C59" s="12">
        <v>21</v>
      </c>
      <c r="D59" s="8">
        <v>2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128</v>
      </c>
      <c r="C60" s="12">
        <v>17</v>
      </c>
      <c r="D60" s="8">
        <v>1.62</v>
      </c>
      <c r="E60" s="12">
        <v>12</v>
      </c>
      <c r="F60" s="8">
        <v>1.83</v>
      </c>
      <c r="G60" s="12">
        <v>5</v>
      </c>
      <c r="H60" s="8">
        <v>1.34</v>
      </c>
      <c r="I60" s="12">
        <v>0</v>
      </c>
    </row>
    <row r="61" spans="2:9" ht="15" customHeight="1" x14ac:dyDescent="0.2">
      <c r="B61" t="s">
        <v>168</v>
      </c>
      <c r="C61" s="12">
        <v>17</v>
      </c>
      <c r="D61" s="8">
        <v>1.62</v>
      </c>
      <c r="E61" s="12">
        <v>5</v>
      </c>
      <c r="F61" s="8">
        <v>0.76</v>
      </c>
      <c r="G61" s="12">
        <v>12</v>
      </c>
      <c r="H61" s="8">
        <v>3.22</v>
      </c>
      <c r="I61" s="12">
        <v>0</v>
      </c>
    </row>
    <row r="62" spans="2:9" ht="15" customHeight="1" x14ac:dyDescent="0.2">
      <c r="B62" t="s">
        <v>174</v>
      </c>
      <c r="C62" s="12">
        <v>16</v>
      </c>
      <c r="D62" s="8">
        <v>1.52</v>
      </c>
      <c r="E62" s="12">
        <v>14</v>
      </c>
      <c r="F62" s="8">
        <v>2.14</v>
      </c>
      <c r="G62" s="12">
        <v>2</v>
      </c>
      <c r="H62" s="8">
        <v>0.54</v>
      </c>
      <c r="I62" s="12">
        <v>0</v>
      </c>
    </row>
    <row r="63" spans="2:9" ht="15" customHeight="1" x14ac:dyDescent="0.2">
      <c r="B63" t="s">
        <v>136</v>
      </c>
      <c r="C63" s="12">
        <v>16</v>
      </c>
      <c r="D63" s="8">
        <v>1.52</v>
      </c>
      <c r="E63" s="12">
        <v>14</v>
      </c>
      <c r="F63" s="8">
        <v>2.14</v>
      </c>
      <c r="G63" s="12">
        <v>2</v>
      </c>
      <c r="H63" s="8">
        <v>0.54</v>
      </c>
      <c r="I63" s="12">
        <v>0</v>
      </c>
    </row>
    <row r="64" spans="2:9" ht="15" customHeight="1" x14ac:dyDescent="0.2">
      <c r="B64" t="s">
        <v>137</v>
      </c>
      <c r="C64" s="12">
        <v>16</v>
      </c>
      <c r="D64" s="8">
        <v>1.52</v>
      </c>
      <c r="E64" s="12">
        <v>14</v>
      </c>
      <c r="F64" s="8">
        <v>2.14</v>
      </c>
      <c r="G64" s="12">
        <v>2</v>
      </c>
      <c r="H64" s="8">
        <v>0.54</v>
      </c>
      <c r="I64" s="12">
        <v>0</v>
      </c>
    </row>
    <row r="65" spans="2:9" ht="15" customHeight="1" x14ac:dyDescent="0.2">
      <c r="B65" t="s">
        <v>131</v>
      </c>
      <c r="C65" s="12">
        <v>15</v>
      </c>
      <c r="D65" s="8">
        <v>1.43</v>
      </c>
      <c r="E65" s="12">
        <v>5</v>
      </c>
      <c r="F65" s="8">
        <v>0.76</v>
      </c>
      <c r="G65" s="12">
        <v>10</v>
      </c>
      <c r="H65" s="8">
        <v>2.68</v>
      </c>
      <c r="I65" s="12">
        <v>0</v>
      </c>
    </row>
    <row r="66" spans="2:9" ht="15" customHeight="1" x14ac:dyDescent="0.2">
      <c r="B66" t="s">
        <v>125</v>
      </c>
      <c r="C66" s="12">
        <v>14</v>
      </c>
      <c r="D66" s="8">
        <v>1.33</v>
      </c>
      <c r="E66" s="12">
        <v>1</v>
      </c>
      <c r="F66" s="8">
        <v>0.15</v>
      </c>
      <c r="G66" s="12">
        <v>13</v>
      </c>
      <c r="H66" s="8">
        <v>3.49</v>
      </c>
      <c r="I66" s="12">
        <v>0</v>
      </c>
    </row>
    <row r="67" spans="2:9" ht="15" customHeight="1" x14ac:dyDescent="0.2">
      <c r="B67" t="s">
        <v>157</v>
      </c>
      <c r="C67" s="12">
        <v>13</v>
      </c>
      <c r="D67" s="8">
        <v>1.24</v>
      </c>
      <c r="E67" s="12">
        <v>5</v>
      </c>
      <c r="F67" s="8">
        <v>0.76</v>
      </c>
      <c r="G67" s="12">
        <v>8</v>
      </c>
      <c r="H67" s="8">
        <v>2.14</v>
      </c>
      <c r="I67" s="12">
        <v>0</v>
      </c>
    </row>
    <row r="68" spans="2:9" ht="15" customHeight="1" x14ac:dyDescent="0.2">
      <c r="B68" t="s">
        <v>133</v>
      </c>
      <c r="C68" s="12">
        <v>13</v>
      </c>
      <c r="D68" s="8">
        <v>1.24</v>
      </c>
      <c r="E68" s="12">
        <v>7</v>
      </c>
      <c r="F68" s="8">
        <v>1.07</v>
      </c>
      <c r="G68" s="12">
        <v>6</v>
      </c>
      <c r="H68" s="8">
        <v>1.61</v>
      </c>
      <c r="I68" s="12">
        <v>0</v>
      </c>
    </row>
    <row r="69" spans="2:9" ht="15" customHeight="1" x14ac:dyDescent="0.2">
      <c r="B69" t="s">
        <v>135</v>
      </c>
      <c r="C69" s="12">
        <v>13</v>
      </c>
      <c r="D69" s="8">
        <v>1.24</v>
      </c>
      <c r="E69" s="12">
        <v>6</v>
      </c>
      <c r="F69" s="8">
        <v>0.92</v>
      </c>
      <c r="G69" s="12">
        <v>7</v>
      </c>
      <c r="H69" s="8">
        <v>1.88</v>
      </c>
      <c r="I69" s="12">
        <v>0</v>
      </c>
    </row>
    <row r="70" spans="2:9" ht="15" customHeight="1" x14ac:dyDescent="0.2">
      <c r="B70" t="s">
        <v>138</v>
      </c>
      <c r="C70" s="12">
        <v>13</v>
      </c>
      <c r="D70" s="8">
        <v>1.24</v>
      </c>
      <c r="E70" s="12">
        <v>13</v>
      </c>
      <c r="F70" s="8">
        <v>1.99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2485-7426-4513-A419-44E5FCA17F1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0.42</v>
      </c>
      <c r="I5" s="12">
        <v>0</v>
      </c>
    </row>
    <row r="6" spans="2:9" ht="15" customHeight="1" x14ac:dyDescent="0.2">
      <c r="B6" t="s">
        <v>45</v>
      </c>
      <c r="C6" s="12">
        <v>68</v>
      </c>
      <c r="D6" s="8">
        <v>11.64</v>
      </c>
      <c r="E6" s="12">
        <v>19</v>
      </c>
      <c r="F6" s="8">
        <v>5.67</v>
      </c>
      <c r="G6" s="12">
        <v>49</v>
      </c>
      <c r="H6" s="8">
        <v>20.76</v>
      </c>
      <c r="I6" s="12">
        <v>0</v>
      </c>
    </row>
    <row r="7" spans="2:9" ht="15" customHeight="1" x14ac:dyDescent="0.2">
      <c r="B7" t="s">
        <v>46</v>
      </c>
      <c r="C7" s="12">
        <v>38</v>
      </c>
      <c r="D7" s="8">
        <v>6.51</v>
      </c>
      <c r="E7" s="12">
        <v>9</v>
      </c>
      <c r="F7" s="8">
        <v>2.69</v>
      </c>
      <c r="G7" s="12">
        <v>29</v>
      </c>
      <c r="H7" s="8">
        <v>12.29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0.42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0.85</v>
      </c>
      <c r="I9" s="12">
        <v>0</v>
      </c>
    </row>
    <row r="10" spans="2:9" ht="15" customHeight="1" x14ac:dyDescent="0.2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194</v>
      </c>
      <c r="D11" s="8">
        <v>33.22</v>
      </c>
      <c r="E11" s="12">
        <v>98</v>
      </c>
      <c r="F11" s="8">
        <v>29.25</v>
      </c>
      <c r="G11" s="12">
        <v>95</v>
      </c>
      <c r="H11" s="8">
        <v>40.25</v>
      </c>
      <c r="I11" s="12">
        <v>1</v>
      </c>
    </row>
    <row r="12" spans="2:9" ht="15" customHeight="1" x14ac:dyDescent="0.2">
      <c r="B12" t="s">
        <v>51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0.42</v>
      </c>
      <c r="I12" s="12">
        <v>0</v>
      </c>
    </row>
    <row r="13" spans="2:9" ht="15" customHeight="1" x14ac:dyDescent="0.2">
      <c r="B13" t="s">
        <v>52</v>
      </c>
      <c r="C13" s="12">
        <v>15</v>
      </c>
      <c r="D13" s="8">
        <v>2.57</v>
      </c>
      <c r="E13" s="12">
        <v>3</v>
      </c>
      <c r="F13" s="8">
        <v>0.9</v>
      </c>
      <c r="G13" s="12">
        <v>12</v>
      </c>
      <c r="H13" s="8">
        <v>5.08</v>
      </c>
      <c r="I13" s="12">
        <v>0</v>
      </c>
    </row>
    <row r="14" spans="2:9" ht="15" customHeight="1" x14ac:dyDescent="0.2">
      <c r="B14" t="s">
        <v>53</v>
      </c>
      <c r="C14" s="12">
        <v>25</v>
      </c>
      <c r="D14" s="8">
        <v>4.28</v>
      </c>
      <c r="E14" s="12">
        <v>19</v>
      </c>
      <c r="F14" s="8">
        <v>5.67</v>
      </c>
      <c r="G14" s="12">
        <v>5</v>
      </c>
      <c r="H14" s="8">
        <v>2.12</v>
      </c>
      <c r="I14" s="12">
        <v>0</v>
      </c>
    </row>
    <row r="15" spans="2:9" ht="15" customHeight="1" x14ac:dyDescent="0.2">
      <c r="B15" t="s">
        <v>54</v>
      </c>
      <c r="C15" s="12">
        <v>70</v>
      </c>
      <c r="D15" s="8">
        <v>11.99</v>
      </c>
      <c r="E15" s="12">
        <v>61</v>
      </c>
      <c r="F15" s="8">
        <v>18.21</v>
      </c>
      <c r="G15" s="12">
        <v>9</v>
      </c>
      <c r="H15" s="8">
        <v>3.81</v>
      </c>
      <c r="I15" s="12">
        <v>0</v>
      </c>
    </row>
    <row r="16" spans="2:9" ht="15" customHeight="1" x14ac:dyDescent="0.2">
      <c r="B16" t="s">
        <v>55</v>
      </c>
      <c r="C16" s="12">
        <v>95</v>
      </c>
      <c r="D16" s="8">
        <v>16.27</v>
      </c>
      <c r="E16" s="12">
        <v>88</v>
      </c>
      <c r="F16" s="8">
        <v>26.27</v>
      </c>
      <c r="G16" s="12">
        <v>7</v>
      </c>
      <c r="H16" s="8">
        <v>2.97</v>
      </c>
      <c r="I16" s="12">
        <v>0</v>
      </c>
    </row>
    <row r="17" spans="2:9" ht="15" customHeight="1" x14ac:dyDescent="0.2">
      <c r="B17" t="s">
        <v>56</v>
      </c>
      <c r="C17" s="12">
        <v>11</v>
      </c>
      <c r="D17" s="8">
        <v>1.88</v>
      </c>
      <c r="E17" s="12">
        <v>8</v>
      </c>
      <c r="F17" s="8">
        <v>2.39</v>
      </c>
      <c r="G17" s="12">
        <v>1</v>
      </c>
      <c r="H17" s="8">
        <v>0.42</v>
      </c>
      <c r="I17" s="12">
        <v>1</v>
      </c>
    </row>
    <row r="18" spans="2:9" ht="15" customHeight="1" x14ac:dyDescent="0.2">
      <c r="B18" t="s">
        <v>57</v>
      </c>
      <c r="C18" s="12">
        <v>38</v>
      </c>
      <c r="D18" s="8">
        <v>6.51</v>
      </c>
      <c r="E18" s="12">
        <v>13</v>
      </c>
      <c r="F18" s="8">
        <v>3.88</v>
      </c>
      <c r="G18" s="12">
        <v>21</v>
      </c>
      <c r="H18" s="8">
        <v>8.9</v>
      </c>
      <c r="I18" s="12">
        <v>1</v>
      </c>
    </row>
    <row r="19" spans="2:9" ht="15" customHeight="1" x14ac:dyDescent="0.2">
      <c r="B19" t="s">
        <v>58</v>
      </c>
      <c r="C19" s="12">
        <v>25</v>
      </c>
      <c r="D19" s="8">
        <v>4.28</v>
      </c>
      <c r="E19" s="12">
        <v>17</v>
      </c>
      <c r="F19" s="8">
        <v>5.07</v>
      </c>
      <c r="G19" s="12">
        <v>3</v>
      </c>
      <c r="H19" s="8">
        <v>1.27</v>
      </c>
      <c r="I19" s="12">
        <v>0</v>
      </c>
    </row>
    <row r="20" spans="2:9" ht="15" customHeight="1" x14ac:dyDescent="0.2">
      <c r="B20" s="9" t="s">
        <v>241</v>
      </c>
      <c r="C20" s="12">
        <f>SUM(LTBL_46224[総数／事業所数])</f>
        <v>584</v>
      </c>
      <c r="E20" s="12">
        <f>SUBTOTAL(109,LTBL_46224[個人／事業所数])</f>
        <v>335</v>
      </c>
      <c r="G20" s="12">
        <f>SUBTOTAL(109,LTBL_46224[法人／事業所数])</f>
        <v>236</v>
      </c>
      <c r="I20" s="12">
        <f>SUBTOTAL(109,LTBL_46224[法人以外の団体／事業所数])</f>
        <v>3</v>
      </c>
    </row>
    <row r="21" spans="2:9" ht="15" customHeight="1" x14ac:dyDescent="0.2">
      <c r="E21" s="11">
        <f>LTBL_46224[[#Totals],[個人／事業所数]]/LTBL_46224[[#Totals],[総数／事業所数]]</f>
        <v>0.57363013698630139</v>
      </c>
      <c r="G21" s="11">
        <f>LTBL_46224[[#Totals],[法人／事業所数]]/LTBL_46224[[#Totals],[総数／事業所数]]</f>
        <v>0.4041095890410959</v>
      </c>
      <c r="I21" s="11">
        <f>LTBL_46224[[#Totals],[法人以外の団体／事業所数]]/LTBL_46224[[#Totals],[総数／事業所数]]</f>
        <v>5.1369863013698627E-3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82</v>
      </c>
      <c r="D24" s="8">
        <v>14.04</v>
      </c>
      <c r="E24" s="12">
        <v>78</v>
      </c>
      <c r="F24" s="8">
        <v>23.28</v>
      </c>
      <c r="G24" s="12">
        <v>4</v>
      </c>
      <c r="H24" s="8">
        <v>1.69</v>
      </c>
      <c r="I24" s="12">
        <v>0</v>
      </c>
    </row>
    <row r="25" spans="2:9" ht="15" customHeight="1" x14ac:dyDescent="0.2">
      <c r="B25" t="s">
        <v>73</v>
      </c>
      <c r="C25" s="12">
        <v>66</v>
      </c>
      <c r="D25" s="8">
        <v>11.3</v>
      </c>
      <c r="E25" s="12">
        <v>39</v>
      </c>
      <c r="F25" s="8">
        <v>11.64</v>
      </c>
      <c r="G25" s="12">
        <v>27</v>
      </c>
      <c r="H25" s="8">
        <v>11.44</v>
      </c>
      <c r="I25" s="12">
        <v>0</v>
      </c>
    </row>
    <row r="26" spans="2:9" ht="15" customHeight="1" x14ac:dyDescent="0.2">
      <c r="B26" t="s">
        <v>75</v>
      </c>
      <c r="C26" s="12">
        <v>61</v>
      </c>
      <c r="D26" s="8">
        <v>10.45</v>
      </c>
      <c r="E26" s="12">
        <v>26</v>
      </c>
      <c r="F26" s="8">
        <v>7.76</v>
      </c>
      <c r="G26" s="12">
        <v>35</v>
      </c>
      <c r="H26" s="8">
        <v>14.83</v>
      </c>
      <c r="I26" s="12">
        <v>0</v>
      </c>
    </row>
    <row r="27" spans="2:9" ht="15" customHeight="1" x14ac:dyDescent="0.2">
      <c r="B27" t="s">
        <v>81</v>
      </c>
      <c r="C27" s="12">
        <v>59</v>
      </c>
      <c r="D27" s="8">
        <v>10.1</v>
      </c>
      <c r="E27" s="12">
        <v>53</v>
      </c>
      <c r="F27" s="8">
        <v>15.82</v>
      </c>
      <c r="G27" s="12">
        <v>6</v>
      </c>
      <c r="H27" s="8">
        <v>2.54</v>
      </c>
      <c r="I27" s="12">
        <v>0</v>
      </c>
    </row>
    <row r="28" spans="2:9" ht="15" customHeight="1" x14ac:dyDescent="0.2">
      <c r="B28" t="s">
        <v>67</v>
      </c>
      <c r="C28" s="12">
        <v>37</v>
      </c>
      <c r="D28" s="8">
        <v>6.34</v>
      </c>
      <c r="E28" s="12">
        <v>6</v>
      </c>
      <c r="F28" s="8">
        <v>1.79</v>
      </c>
      <c r="G28" s="12">
        <v>31</v>
      </c>
      <c r="H28" s="8">
        <v>13.14</v>
      </c>
      <c r="I28" s="12">
        <v>0</v>
      </c>
    </row>
    <row r="29" spans="2:9" ht="15" customHeight="1" x14ac:dyDescent="0.2">
      <c r="B29" t="s">
        <v>74</v>
      </c>
      <c r="C29" s="12">
        <v>24</v>
      </c>
      <c r="D29" s="8">
        <v>4.1100000000000003</v>
      </c>
      <c r="E29" s="12">
        <v>17</v>
      </c>
      <c r="F29" s="8">
        <v>5.07</v>
      </c>
      <c r="G29" s="12">
        <v>7</v>
      </c>
      <c r="H29" s="8">
        <v>2.97</v>
      </c>
      <c r="I29" s="12">
        <v>0</v>
      </c>
    </row>
    <row r="30" spans="2:9" ht="15" customHeight="1" x14ac:dyDescent="0.2">
      <c r="B30" t="s">
        <v>85</v>
      </c>
      <c r="C30" s="12">
        <v>23</v>
      </c>
      <c r="D30" s="8">
        <v>3.94</v>
      </c>
      <c r="E30" s="12">
        <v>0</v>
      </c>
      <c r="F30" s="8">
        <v>0</v>
      </c>
      <c r="G30" s="12">
        <v>19</v>
      </c>
      <c r="H30" s="8">
        <v>8.0500000000000007</v>
      </c>
      <c r="I30" s="12">
        <v>1</v>
      </c>
    </row>
    <row r="31" spans="2:9" ht="15" customHeight="1" x14ac:dyDescent="0.2">
      <c r="B31" t="s">
        <v>69</v>
      </c>
      <c r="C31" s="12">
        <v>18</v>
      </c>
      <c r="D31" s="8">
        <v>3.08</v>
      </c>
      <c r="E31" s="12">
        <v>6</v>
      </c>
      <c r="F31" s="8">
        <v>1.79</v>
      </c>
      <c r="G31" s="12">
        <v>12</v>
      </c>
      <c r="H31" s="8">
        <v>5.08</v>
      </c>
      <c r="I31" s="12">
        <v>0</v>
      </c>
    </row>
    <row r="32" spans="2:9" ht="15" customHeight="1" x14ac:dyDescent="0.2">
      <c r="B32" t="s">
        <v>84</v>
      </c>
      <c r="C32" s="12">
        <v>15</v>
      </c>
      <c r="D32" s="8">
        <v>2.57</v>
      </c>
      <c r="E32" s="12">
        <v>13</v>
      </c>
      <c r="F32" s="8">
        <v>3.88</v>
      </c>
      <c r="G32" s="12">
        <v>2</v>
      </c>
      <c r="H32" s="8">
        <v>0.85</v>
      </c>
      <c r="I32" s="12">
        <v>0</v>
      </c>
    </row>
    <row r="33" spans="2:9" ht="15" customHeight="1" x14ac:dyDescent="0.2">
      <c r="B33" t="s">
        <v>86</v>
      </c>
      <c r="C33" s="12">
        <v>15</v>
      </c>
      <c r="D33" s="8">
        <v>2.57</v>
      </c>
      <c r="E33" s="12">
        <v>15</v>
      </c>
      <c r="F33" s="8">
        <v>4.4800000000000004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79</v>
      </c>
      <c r="C34" s="12">
        <v>14</v>
      </c>
      <c r="D34" s="8">
        <v>2.4</v>
      </c>
      <c r="E34" s="12">
        <v>8</v>
      </c>
      <c r="F34" s="8">
        <v>2.39</v>
      </c>
      <c r="G34" s="12">
        <v>5</v>
      </c>
      <c r="H34" s="8">
        <v>2.12</v>
      </c>
      <c r="I34" s="12">
        <v>0</v>
      </c>
    </row>
    <row r="35" spans="2:9" ht="15" customHeight="1" x14ac:dyDescent="0.2">
      <c r="B35" t="s">
        <v>68</v>
      </c>
      <c r="C35" s="12">
        <v>13</v>
      </c>
      <c r="D35" s="8">
        <v>2.23</v>
      </c>
      <c r="E35" s="12">
        <v>7</v>
      </c>
      <c r="F35" s="8">
        <v>2.09</v>
      </c>
      <c r="G35" s="12">
        <v>6</v>
      </c>
      <c r="H35" s="8">
        <v>2.54</v>
      </c>
      <c r="I35" s="12">
        <v>0</v>
      </c>
    </row>
    <row r="36" spans="2:9" ht="15" customHeight="1" x14ac:dyDescent="0.2">
      <c r="B36" t="s">
        <v>72</v>
      </c>
      <c r="C36" s="12">
        <v>12</v>
      </c>
      <c r="D36" s="8">
        <v>2.0499999999999998</v>
      </c>
      <c r="E36" s="12">
        <v>5</v>
      </c>
      <c r="F36" s="8">
        <v>1.49</v>
      </c>
      <c r="G36" s="12">
        <v>6</v>
      </c>
      <c r="H36" s="8">
        <v>2.54</v>
      </c>
      <c r="I36" s="12">
        <v>1</v>
      </c>
    </row>
    <row r="37" spans="2:9" ht="15" customHeight="1" x14ac:dyDescent="0.2">
      <c r="B37" t="s">
        <v>78</v>
      </c>
      <c r="C37" s="12">
        <v>11</v>
      </c>
      <c r="D37" s="8">
        <v>1.88</v>
      </c>
      <c r="E37" s="12">
        <v>11</v>
      </c>
      <c r="F37" s="8">
        <v>3.28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11</v>
      </c>
      <c r="D38" s="8">
        <v>1.88</v>
      </c>
      <c r="E38" s="12">
        <v>8</v>
      </c>
      <c r="F38" s="8">
        <v>2.39</v>
      </c>
      <c r="G38" s="12">
        <v>1</v>
      </c>
      <c r="H38" s="8">
        <v>0.42</v>
      </c>
      <c r="I38" s="12">
        <v>1</v>
      </c>
    </row>
    <row r="39" spans="2:9" ht="15" customHeight="1" x14ac:dyDescent="0.2">
      <c r="B39" t="s">
        <v>77</v>
      </c>
      <c r="C39" s="12">
        <v>10</v>
      </c>
      <c r="D39" s="8">
        <v>1.71</v>
      </c>
      <c r="E39" s="12">
        <v>3</v>
      </c>
      <c r="F39" s="8">
        <v>0.9</v>
      </c>
      <c r="G39" s="12">
        <v>7</v>
      </c>
      <c r="H39" s="8">
        <v>2.97</v>
      </c>
      <c r="I39" s="12">
        <v>0</v>
      </c>
    </row>
    <row r="40" spans="2:9" ht="15" customHeight="1" x14ac:dyDescent="0.2">
      <c r="B40" t="s">
        <v>80</v>
      </c>
      <c r="C40" s="12">
        <v>9</v>
      </c>
      <c r="D40" s="8">
        <v>1.54</v>
      </c>
      <c r="E40" s="12">
        <v>7</v>
      </c>
      <c r="F40" s="8">
        <v>2.09</v>
      </c>
      <c r="G40" s="12">
        <v>2</v>
      </c>
      <c r="H40" s="8">
        <v>0.85</v>
      </c>
      <c r="I40" s="12">
        <v>0</v>
      </c>
    </row>
    <row r="41" spans="2:9" ht="15" customHeight="1" x14ac:dyDescent="0.2">
      <c r="B41" t="s">
        <v>104</v>
      </c>
      <c r="C41" s="12">
        <v>8</v>
      </c>
      <c r="D41" s="8">
        <v>1.37</v>
      </c>
      <c r="E41" s="12">
        <v>1</v>
      </c>
      <c r="F41" s="8">
        <v>0.3</v>
      </c>
      <c r="G41" s="12">
        <v>7</v>
      </c>
      <c r="H41" s="8">
        <v>2.97</v>
      </c>
      <c r="I41" s="12">
        <v>0</v>
      </c>
    </row>
    <row r="42" spans="2:9" ht="15" customHeight="1" x14ac:dyDescent="0.2">
      <c r="B42" t="s">
        <v>71</v>
      </c>
      <c r="C42" s="12">
        <v>8</v>
      </c>
      <c r="D42" s="8">
        <v>1.37</v>
      </c>
      <c r="E42" s="12">
        <v>4</v>
      </c>
      <c r="F42" s="8">
        <v>1.19</v>
      </c>
      <c r="G42" s="12">
        <v>4</v>
      </c>
      <c r="H42" s="8">
        <v>1.69</v>
      </c>
      <c r="I42" s="12">
        <v>0</v>
      </c>
    </row>
    <row r="43" spans="2:9" ht="15" customHeight="1" x14ac:dyDescent="0.2">
      <c r="B43" t="s">
        <v>70</v>
      </c>
      <c r="C43" s="12">
        <v>7</v>
      </c>
      <c r="D43" s="8">
        <v>1.2</v>
      </c>
      <c r="E43" s="12">
        <v>3</v>
      </c>
      <c r="F43" s="8">
        <v>0.9</v>
      </c>
      <c r="G43" s="12">
        <v>4</v>
      </c>
      <c r="H43" s="8">
        <v>1.69</v>
      </c>
      <c r="I43" s="12">
        <v>0</v>
      </c>
    </row>
    <row r="44" spans="2:9" ht="15" customHeight="1" x14ac:dyDescent="0.2">
      <c r="B44" t="s">
        <v>87</v>
      </c>
      <c r="C44" s="12">
        <v>7</v>
      </c>
      <c r="D44" s="8">
        <v>1.2</v>
      </c>
      <c r="E44" s="12">
        <v>2</v>
      </c>
      <c r="F44" s="8">
        <v>0.6</v>
      </c>
      <c r="G44" s="12">
        <v>5</v>
      </c>
      <c r="H44" s="8">
        <v>2.12</v>
      </c>
      <c r="I44" s="12">
        <v>0</v>
      </c>
    </row>
    <row r="45" spans="2:9" ht="15" customHeight="1" x14ac:dyDescent="0.2">
      <c r="B45" t="s">
        <v>105</v>
      </c>
      <c r="C45" s="12">
        <v>7</v>
      </c>
      <c r="D45" s="8">
        <v>1.2</v>
      </c>
      <c r="E45" s="12">
        <v>1</v>
      </c>
      <c r="F45" s="8">
        <v>0.3</v>
      </c>
      <c r="G45" s="12">
        <v>6</v>
      </c>
      <c r="H45" s="8">
        <v>2.54</v>
      </c>
      <c r="I45" s="12">
        <v>0</v>
      </c>
    </row>
    <row r="46" spans="2:9" ht="15" customHeight="1" x14ac:dyDescent="0.2">
      <c r="B46" t="s">
        <v>91</v>
      </c>
      <c r="C46" s="12">
        <v>7</v>
      </c>
      <c r="D46" s="8">
        <v>1.2</v>
      </c>
      <c r="E46" s="12">
        <v>6</v>
      </c>
      <c r="F46" s="8">
        <v>1.79</v>
      </c>
      <c r="G46" s="12">
        <v>1</v>
      </c>
      <c r="H46" s="8">
        <v>0.42</v>
      </c>
      <c r="I46" s="12">
        <v>0</v>
      </c>
    </row>
    <row r="49" spans="2:9" ht="33" customHeight="1" x14ac:dyDescent="0.2">
      <c r="B49" t="s">
        <v>243</v>
      </c>
      <c r="C49" s="10" t="s">
        <v>60</v>
      </c>
      <c r="D49" s="10" t="s">
        <v>61</v>
      </c>
      <c r="E49" s="10" t="s">
        <v>62</v>
      </c>
      <c r="F49" s="10" t="s">
        <v>63</v>
      </c>
      <c r="G49" s="10" t="s">
        <v>64</v>
      </c>
      <c r="H49" s="10" t="s">
        <v>65</v>
      </c>
      <c r="I49" s="10" t="s">
        <v>66</v>
      </c>
    </row>
    <row r="50" spans="2:9" ht="15" customHeight="1" x14ac:dyDescent="0.2">
      <c r="B50" t="s">
        <v>140</v>
      </c>
      <c r="C50" s="12">
        <v>43</v>
      </c>
      <c r="D50" s="8">
        <v>7.36</v>
      </c>
      <c r="E50" s="12">
        <v>42</v>
      </c>
      <c r="F50" s="8">
        <v>12.54</v>
      </c>
      <c r="G50" s="12">
        <v>1</v>
      </c>
      <c r="H50" s="8">
        <v>0.42</v>
      </c>
      <c r="I50" s="12">
        <v>0</v>
      </c>
    </row>
    <row r="51" spans="2:9" ht="15" customHeight="1" x14ac:dyDescent="0.2">
      <c r="B51" t="s">
        <v>139</v>
      </c>
      <c r="C51" s="12">
        <v>28</v>
      </c>
      <c r="D51" s="8">
        <v>4.79</v>
      </c>
      <c r="E51" s="12">
        <v>28</v>
      </c>
      <c r="F51" s="8">
        <v>8.36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26</v>
      </c>
      <c r="D52" s="8">
        <v>4.45</v>
      </c>
      <c r="E52" s="12">
        <v>13</v>
      </c>
      <c r="F52" s="8">
        <v>3.88</v>
      </c>
      <c r="G52" s="12">
        <v>13</v>
      </c>
      <c r="H52" s="8">
        <v>5.51</v>
      </c>
      <c r="I52" s="12">
        <v>0</v>
      </c>
    </row>
    <row r="53" spans="2:9" ht="15" customHeight="1" x14ac:dyDescent="0.2">
      <c r="B53" t="s">
        <v>124</v>
      </c>
      <c r="C53" s="12">
        <v>20</v>
      </c>
      <c r="D53" s="8">
        <v>3.42</v>
      </c>
      <c r="E53" s="12">
        <v>0</v>
      </c>
      <c r="F53" s="8">
        <v>0</v>
      </c>
      <c r="G53" s="12">
        <v>20</v>
      </c>
      <c r="H53" s="8">
        <v>8.4700000000000006</v>
      </c>
      <c r="I53" s="12">
        <v>0</v>
      </c>
    </row>
    <row r="54" spans="2:9" ht="15" customHeight="1" x14ac:dyDescent="0.2">
      <c r="B54" t="s">
        <v>130</v>
      </c>
      <c r="C54" s="12">
        <v>20</v>
      </c>
      <c r="D54" s="8">
        <v>3.42</v>
      </c>
      <c r="E54" s="12">
        <v>14</v>
      </c>
      <c r="F54" s="8">
        <v>4.18</v>
      </c>
      <c r="G54" s="12">
        <v>6</v>
      </c>
      <c r="H54" s="8">
        <v>2.54</v>
      </c>
      <c r="I54" s="12">
        <v>0</v>
      </c>
    </row>
    <row r="55" spans="2:9" ht="15" customHeight="1" x14ac:dyDescent="0.2">
      <c r="B55" t="s">
        <v>129</v>
      </c>
      <c r="C55" s="12">
        <v>19</v>
      </c>
      <c r="D55" s="8">
        <v>3.25</v>
      </c>
      <c r="E55" s="12">
        <v>11</v>
      </c>
      <c r="F55" s="8">
        <v>3.28</v>
      </c>
      <c r="G55" s="12">
        <v>8</v>
      </c>
      <c r="H55" s="8">
        <v>3.39</v>
      </c>
      <c r="I55" s="12">
        <v>0</v>
      </c>
    </row>
    <row r="56" spans="2:9" ht="15" customHeight="1" x14ac:dyDescent="0.2">
      <c r="B56" t="s">
        <v>136</v>
      </c>
      <c r="C56" s="12">
        <v>18</v>
      </c>
      <c r="D56" s="8">
        <v>3.08</v>
      </c>
      <c r="E56" s="12">
        <v>17</v>
      </c>
      <c r="F56" s="8">
        <v>5.07</v>
      </c>
      <c r="G56" s="12">
        <v>1</v>
      </c>
      <c r="H56" s="8">
        <v>0.42</v>
      </c>
      <c r="I56" s="12">
        <v>0</v>
      </c>
    </row>
    <row r="57" spans="2:9" ht="15" customHeight="1" x14ac:dyDescent="0.2">
      <c r="B57" t="s">
        <v>143</v>
      </c>
      <c r="C57" s="12">
        <v>15</v>
      </c>
      <c r="D57" s="8">
        <v>2.57</v>
      </c>
      <c r="E57" s="12">
        <v>15</v>
      </c>
      <c r="F57" s="8">
        <v>4.4800000000000004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133</v>
      </c>
      <c r="C58" s="12">
        <v>14</v>
      </c>
      <c r="D58" s="8">
        <v>2.4</v>
      </c>
      <c r="E58" s="12">
        <v>8</v>
      </c>
      <c r="F58" s="8">
        <v>2.39</v>
      </c>
      <c r="G58" s="12">
        <v>6</v>
      </c>
      <c r="H58" s="8">
        <v>2.54</v>
      </c>
      <c r="I58" s="12">
        <v>0</v>
      </c>
    </row>
    <row r="59" spans="2:9" ht="15" customHeight="1" x14ac:dyDescent="0.2">
      <c r="B59" t="s">
        <v>138</v>
      </c>
      <c r="C59" s="12">
        <v>14</v>
      </c>
      <c r="D59" s="8">
        <v>2.4</v>
      </c>
      <c r="E59" s="12">
        <v>12</v>
      </c>
      <c r="F59" s="8">
        <v>3.58</v>
      </c>
      <c r="G59" s="12">
        <v>2</v>
      </c>
      <c r="H59" s="8">
        <v>0.85</v>
      </c>
      <c r="I59" s="12">
        <v>0</v>
      </c>
    </row>
    <row r="60" spans="2:9" ht="15" customHeight="1" x14ac:dyDescent="0.2">
      <c r="B60" t="s">
        <v>131</v>
      </c>
      <c r="C60" s="12">
        <v>11</v>
      </c>
      <c r="D60" s="8">
        <v>1.88</v>
      </c>
      <c r="E60" s="12">
        <v>5</v>
      </c>
      <c r="F60" s="8">
        <v>1.49</v>
      </c>
      <c r="G60" s="12">
        <v>6</v>
      </c>
      <c r="H60" s="8">
        <v>2.54</v>
      </c>
      <c r="I60" s="12">
        <v>0</v>
      </c>
    </row>
    <row r="61" spans="2:9" ht="15" customHeight="1" x14ac:dyDescent="0.2">
      <c r="B61" t="s">
        <v>168</v>
      </c>
      <c r="C61" s="12">
        <v>11</v>
      </c>
      <c r="D61" s="8">
        <v>1.88</v>
      </c>
      <c r="E61" s="12">
        <v>4</v>
      </c>
      <c r="F61" s="8">
        <v>1.19</v>
      </c>
      <c r="G61" s="12">
        <v>7</v>
      </c>
      <c r="H61" s="8">
        <v>2.97</v>
      </c>
      <c r="I61" s="12">
        <v>0</v>
      </c>
    </row>
    <row r="62" spans="2:9" ht="15" customHeight="1" x14ac:dyDescent="0.2">
      <c r="B62" t="s">
        <v>132</v>
      </c>
      <c r="C62" s="12">
        <v>10</v>
      </c>
      <c r="D62" s="8">
        <v>1.71</v>
      </c>
      <c r="E62" s="12">
        <v>1</v>
      </c>
      <c r="F62" s="8">
        <v>0.3</v>
      </c>
      <c r="G62" s="12">
        <v>9</v>
      </c>
      <c r="H62" s="8">
        <v>3.81</v>
      </c>
      <c r="I62" s="12">
        <v>0</v>
      </c>
    </row>
    <row r="63" spans="2:9" ht="15" customHeight="1" x14ac:dyDescent="0.2">
      <c r="B63" t="s">
        <v>137</v>
      </c>
      <c r="C63" s="12">
        <v>10</v>
      </c>
      <c r="D63" s="8">
        <v>1.71</v>
      </c>
      <c r="E63" s="12">
        <v>9</v>
      </c>
      <c r="F63" s="8">
        <v>2.69</v>
      </c>
      <c r="G63" s="12">
        <v>1</v>
      </c>
      <c r="H63" s="8">
        <v>0.42</v>
      </c>
      <c r="I63" s="12">
        <v>0</v>
      </c>
    </row>
    <row r="64" spans="2:9" ht="15" customHeight="1" x14ac:dyDescent="0.2">
      <c r="B64" t="s">
        <v>142</v>
      </c>
      <c r="C64" s="12">
        <v>10</v>
      </c>
      <c r="D64" s="8">
        <v>1.71</v>
      </c>
      <c r="E64" s="12">
        <v>10</v>
      </c>
      <c r="F64" s="8">
        <v>2.99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128</v>
      </c>
      <c r="C65" s="12">
        <v>9</v>
      </c>
      <c r="D65" s="8">
        <v>1.54</v>
      </c>
      <c r="E65" s="12">
        <v>8</v>
      </c>
      <c r="F65" s="8">
        <v>2.39</v>
      </c>
      <c r="G65" s="12">
        <v>1</v>
      </c>
      <c r="H65" s="8">
        <v>0.42</v>
      </c>
      <c r="I65" s="12">
        <v>0</v>
      </c>
    </row>
    <row r="66" spans="2:9" ht="15" customHeight="1" x14ac:dyDescent="0.2">
      <c r="B66" t="s">
        <v>158</v>
      </c>
      <c r="C66" s="12">
        <v>9</v>
      </c>
      <c r="D66" s="8">
        <v>1.54</v>
      </c>
      <c r="E66" s="12">
        <v>7</v>
      </c>
      <c r="F66" s="8">
        <v>2.09</v>
      </c>
      <c r="G66" s="12">
        <v>2</v>
      </c>
      <c r="H66" s="8">
        <v>0.85</v>
      </c>
      <c r="I66" s="12">
        <v>0</v>
      </c>
    </row>
    <row r="67" spans="2:9" ht="15" customHeight="1" x14ac:dyDescent="0.2">
      <c r="B67" t="s">
        <v>176</v>
      </c>
      <c r="C67" s="12">
        <v>9</v>
      </c>
      <c r="D67" s="8">
        <v>1.54</v>
      </c>
      <c r="E67" s="12">
        <v>0</v>
      </c>
      <c r="F67" s="8">
        <v>0</v>
      </c>
      <c r="G67" s="12">
        <v>9</v>
      </c>
      <c r="H67" s="8">
        <v>3.81</v>
      </c>
      <c r="I67" s="12">
        <v>0</v>
      </c>
    </row>
    <row r="68" spans="2:9" ht="15" customHeight="1" x14ac:dyDescent="0.2">
      <c r="B68" t="s">
        <v>126</v>
      </c>
      <c r="C68" s="12">
        <v>8</v>
      </c>
      <c r="D68" s="8">
        <v>1.37</v>
      </c>
      <c r="E68" s="12">
        <v>4</v>
      </c>
      <c r="F68" s="8">
        <v>1.19</v>
      </c>
      <c r="G68" s="12">
        <v>4</v>
      </c>
      <c r="H68" s="8">
        <v>1.69</v>
      </c>
      <c r="I68" s="12">
        <v>0</v>
      </c>
    </row>
    <row r="69" spans="2:9" ht="15" customHeight="1" x14ac:dyDescent="0.2">
      <c r="B69" t="s">
        <v>169</v>
      </c>
      <c r="C69" s="12">
        <v>8</v>
      </c>
      <c r="D69" s="8">
        <v>1.37</v>
      </c>
      <c r="E69" s="12">
        <v>2</v>
      </c>
      <c r="F69" s="8">
        <v>0.6</v>
      </c>
      <c r="G69" s="12">
        <v>6</v>
      </c>
      <c r="H69" s="8">
        <v>2.54</v>
      </c>
      <c r="I69" s="12">
        <v>0</v>
      </c>
    </row>
    <row r="70" spans="2:9" ht="15" customHeight="1" x14ac:dyDescent="0.2">
      <c r="B70" t="s">
        <v>175</v>
      </c>
      <c r="C70" s="12">
        <v>8</v>
      </c>
      <c r="D70" s="8">
        <v>1.37</v>
      </c>
      <c r="E70" s="12">
        <v>1</v>
      </c>
      <c r="F70" s="8">
        <v>0.3</v>
      </c>
      <c r="G70" s="12">
        <v>7</v>
      </c>
      <c r="H70" s="8">
        <v>2.97</v>
      </c>
      <c r="I70" s="12">
        <v>0</v>
      </c>
    </row>
    <row r="71" spans="2:9" ht="15" customHeight="1" x14ac:dyDescent="0.2">
      <c r="B71" t="s">
        <v>141</v>
      </c>
      <c r="C71" s="12">
        <v>8</v>
      </c>
      <c r="D71" s="8">
        <v>1.37</v>
      </c>
      <c r="E71" s="12">
        <v>7</v>
      </c>
      <c r="F71" s="8">
        <v>2.09</v>
      </c>
      <c r="G71" s="12">
        <v>1</v>
      </c>
      <c r="H71" s="8">
        <v>0.42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5600-6FAF-4AC8-B4BD-371E07E4A0C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0.14000000000000001</v>
      </c>
      <c r="I5" s="12">
        <v>0</v>
      </c>
    </row>
    <row r="6" spans="2:9" ht="15" customHeight="1" x14ac:dyDescent="0.2">
      <c r="B6" t="s">
        <v>45</v>
      </c>
      <c r="C6" s="12">
        <v>189</v>
      </c>
      <c r="D6" s="8">
        <v>12.05</v>
      </c>
      <c r="E6" s="12">
        <v>55</v>
      </c>
      <c r="F6" s="8">
        <v>6.67</v>
      </c>
      <c r="G6" s="12">
        <v>134</v>
      </c>
      <c r="H6" s="8">
        <v>18.690000000000001</v>
      </c>
      <c r="I6" s="12">
        <v>0</v>
      </c>
    </row>
    <row r="7" spans="2:9" ht="15" customHeight="1" x14ac:dyDescent="0.2">
      <c r="B7" t="s">
        <v>46</v>
      </c>
      <c r="C7" s="12">
        <v>101</v>
      </c>
      <c r="D7" s="8">
        <v>6.44</v>
      </c>
      <c r="E7" s="12">
        <v>44</v>
      </c>
      <c r="F7" s="8">
        <v>5.34</v>
      </c>
      <c r="G7" s="12">
        <v>57</v>
      </c>
      <c r="H7" s="8">
        <v>7.95</v>
      </c>
      <c r="I7" s="12">
        <v>0</v>
      </c>
    </row>
    <row r="8" spans="2:9" ht="15" customHeight="1" x14ac:dyDescent="0.2">
      <c r="B8" t="s">
        <v>47</v>
      </c>
      <c r="C8" s="12">
        <v>6</v>
      </c>
      <c r="D8" s="8">
        <v>0.38</v>
      </c>
      <c r="E8" s="12">
        <v>0</v>
      </c>
      <c r="F8" s="8">
        <v>0</v>
      </c>
      <c r="G8" s="12">
        <v>6</v>
      </c>
      <c r="H8" s="8">
        <v>0.84</v>
      </c>
      <c r="I8" s="12">
        <v>0</v>
      </c>
    </row>
    <row r="9" spans="2:9" ht="15" customHeight="1" x14ac:dyDescent="0.2">
      <c r="B9" t="s">
        <v>48</v>
      </c>
      <c r="C9" s="12">
        <v>12</v>
      </c>
      <c r="D9" s="8">
        <v>0.76</v>
      </c>
      <c r="E9" s="12">
        <v>0</v>
      </c>
      <c r="F9" s="8">
        <v>0</v>
      </c>
      <c r="G9" s="12">
        <v>12</v>
      </c>
      <c r="H9" s="8">
        <v>1.67</v>
      </c>
      <c r="I9" s="12">
        <v>0</v>
      </c>
    </row>
    <row r="10" spans="2:9" ht="15" customHeight="1" x14ac:dyDescent="0.2">
      <c r="B10" t="s">
        <v>49</v>
      </c>
      <c r="C10" s="12">
        <v>10</v>
      </c>
      <c r="D10" s="8">
        <v>0.64</v>
      </c>
      <c r="E10" s="12">
        <v>2</v>
      </c>
      <c r="F10" s="8">
        <v>0.24</v>
      </c>
      <c r="G10" s="12">
        <v>8</v>
      </c>
      <c r="H10" s="8">
        <v>1.1200000000000001</v>
      </c>
      <c r="I10" s="12">
        <v>0</v>
      </c>
    </row>
    <row r="11" spans="2:9" ht="15" customHeight="1" x14ac:dyDescent="0.2">
      <c r="B11" t="s">
        <v>50</v>
      </c>
      <c r="C11" s="12">
        <v>420</v>
      </c>
      <c r="D11" s="8">
        <v>26.77</v>
      </c>
      <c r="E11" s="12">
        <v>178</v>
      </c>
      <c r="F11" s="8">
        <v>21.6</v>
      </c>
      <c r="G11" s="12">
        <v>237</v>
      </c>
      <c r="H11" s="8">
        <v>33.049999999999997</v>
      </c>
      <c r="I11" s="12">
        <v>5</v>
      </c>
    </row>
    <row r="12" spans="2:9" ht="15" customHeight="1" x14ac:dyDescent="0.2">
      <c r="B12" t="s">
        <v>51</v>
      </c>
      <c r="C12" s="12">
        <v>12</v>
      </c>
      <c r="D12" s="8">
        <v>0.76</v>
      </c>
      <c r="E12" s="12">
        <v>4</v>
      </c>
      <c r="F12" s="8">
        <v>0.49</v>
      </c>
      <c r="G12" s="12">
        <v>8</v>
      </c>
      <c r="H12" s="8">
        <v>1.1200000000000001</v>
      </c>
      <c r="I12" s="12">
        <v>0</v>
      </c>
    </row>
    <row r="13" spans="2:9" ht="15" customHeight="1" x14ac:dyDescent="0.2">
      <c r="B13" t="s">
        <v>52</v>
      </c>
      <c r="C13" s="12">
        <v>69</v>
      </c>
      <c r="D13" s="8">
        <v>4.4000000000000004</v>
      </c>
      <c r="E13" s="12">
        <v>18</v>
      </c>
      <c r="F13" s="8">
        <v>2.1800000000000002</v>
      </c>
      <c r="G13" s="12">
        <v>51</v>
      </c>
      <c r="H13" s="8">
        <v>7.11</v>
      </c>
      <c r="I13" s="12">
        <v>0</v>
      </c>
    </row>
    <row r="14" spans="2:9" ht="15" customHeight="1" x14ac:dyDescent="0.2">
      <c r="B14" t="s">
        <v>53</v>
      </c>
      <c r="C14" s="12">
        <v>101</v>
      </c>
      <c r="D14" s="8">
        <v>6.44</v>
      </c>
      <c r="E14" s="12">
        <v>56</v>
      </c>
      <c r="F14" s="8">
        <v>6.8</v>
      </c>
      <c r="G14" s="12">
        <v>45</v>
      </c>
      <c r="H14" s="8">
        <v>6.28</v>
      </c>
      <c r="I14" s="12">
        <v>0</v>
      </c>
    </row>
    <row r="15" spans="2:9" ht="15" customHeight="1" x14ac:dyDescent="0.2">
      <c r="B15" t="s">
        <v>54</v>
      </c>
      <c r="C15" s="12">
        <v>167</v>
      </c>
      <c r="D15" s="8">
        <v>10.64</v>
      </c>
      <c r="E15" s="12">
        <v>140</v>
      </c>
      <c r="F15" s="8">
        <v>16.989999999999998</v>
      </c>
      <c r="G15" s="12">
        <v>25</v>
      </c>
      <c r="H15" s="8">
        <v>3.49</v>
      </c>
      <c r="I15" s="12">
        <v>0</v>
      </c>
    </row>
    <row r="16" spans="2:9" ht="15" customHeight="1" x14ac:dyDescent="0.2">
      <c r="B16" t="s">
        <v>55</v>
      </c>
      <c r="C16" s="12">
        <v>240</v>
      </c>
      <c r="D16" s="8">
        <v>15.3</v>
      </c>
      <c r="E16" s="12">
        <v>186</v>
      </c>
      <c r="F16" s="8">
        <v>22.57</v>
      </c>
      <c r="G16" s="12">
        <v>53</v>
      </c>
      <c r="H16" s="8">
        <v>7.39</v>
      </c>
      <c r="I16" s="12">
        <v>0</v>
      </c>
    </row>
    <row r="17" spans="2:9" ht="15" customHeight="1" x14ac:dyDescent="0.2">
      <c r="B17" t="s">
        <v>56</v>
      </c>
      <c r="C17" s="12">
        <v>83</v>
      </c>
      <c r="D17" s="8">
        <v>5.29</v>
      </c>
      <c r="E17" s="12">
        <v>52</v>
      </c>
      <c r="F17" s="8">
        <v>6.31</v>
      </c>
      <c r="G17" s="12">
        <v>17</v>
      </c>
      <c r="H17" s="8">
        <v>2.37</v>
      </c>
      <c r="I17" s="12">
        <v>0</v>
      </c>
    </row>
    <row r="18" spans="2:9" ht="15" customHeight="1" x14ac:dyDescent="0.2">
      <c r="B18" t="s">
        <v>57</v>
      </c>
      <c r="C18" s="12">
        <v>104</v>
      </c>
      <c r="D18" s="8">
        <v>6.63</v>
      </c>
      <c r="E18" s="12">
        <v>66</v>
      </c>
      <c r="F18" s="8">
        <v>8.01</v>
      </c>
      <c r="G18" s="12">
        <v>35</v>
      </c>
      <c r="H18" s="8">
        <v>4.88</v>
      </c>
      <c r="I18" s="12">
        <v>0</v>
      </c>
    </row>
    <row r="19" spans="2:9" ht="15" customHeight="1" x14ac:dyDescent="0.2">
      <c r="B19" t="s">
        <v>58</v>
      </c>
      <c r="C19" s="12">
        <v>54</v>
      </c>
      <c r="D19" s="8">
        <v>3.44</v>
      </c>
      <c r="E19" s="12">
        <v>23</v>
      </c>
      <c r="F19" s="8">
        <v>2.79</v>
      </c>
      <c r="G19" s="12">
        <v>28</v>
      </c>
      <c r="H19" s="8">
        <v>3.91</v>
      </c>
      <c r="I19" s="12">
        <v>1</v>
      </c>
    </row>
    <row r="20" spans="2:9" ht="15" customHeight="1" x14ac:dyDescent="0.2">
      <c r="B20" s="9" t="s">
        <v>241</v>
      </c>
      <c r="C20" s="12">
        <f>SUM(LTBL_46225[総数／事業所数])</f>
        <v>1569</v>
      </c>
      <c r="E20" s="12">
        <f>SUBTOTAL(109,LTBL_46225[個人／事業所数])</f>
        <v>824</v>
      </c>
      <c r="G20" s="12">
        <f>SUBTOTAL(109,LTBL_46225[法人／事業所数])</f>
        <v>717</v>
      </c>
      <c r="I20" s="12">
        <f>SUBTOTAL(109,LTBL_46225[法人以外の団体／事業所数])</f>
        <v>6</v>
      </c>
    </row>
    <row r="21" spans="2:9" ht="15" customHeight="1" x14ac:dyDescent="0.2">
      <c r="E21" s="11">
        <f>LTBL_46225[[#Totals],[個人／事業所数]]/LTBL_46225[[#Totals],[総数／事業所数]]</f>
        <v>0.52517527087316762</v>
      </c>
      <c r="G21" s="11">
        <f>LTBL_46225[[#Totals],[法人／事業所数]]/LTBL_46225[[#Totals],[総数／事業所数]]</f>
        <v>0.45697896749521988</v>
      </c>
      <c r="I21" s="11">
        <f>LTBL_46225[[#Totals],[法人以外の団体／事業所数]]/LTBL_46225[[#Totals],[総数／事業所数]]</f>
        <v>3.8240917782026767E-3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207</v>
      </c>
      <c r="D24" s="8">
        <v>13.19</v>
      </c>
      <c r="E24" s="12">
        <v>177</v>
      </c>
      <c r="F24" s="8">
        <v>21.48</v>
      </c>
      <c r="G24" s="12">
        <v>30</v>
      </c>
      <c r="H24" s="8">
        <v>4.18</v>
      </c>
      <c r="I24" s="12">
        <v>0</v>
      </c>
    </row>
    <row r="25" spans="2:9" ht="15" customHeight="1" x14ac:dyDescent="0.2">
      <c r="B25" t="s">
        <v>81</v>
      </c>
      <c r="C25" s="12">
        <v>143</v>
      </c>
      <c r="D25" s="8">
        <v>9.11</v>
      </c>
      <c r="E25" s="12">
        <v>129</v>
      </c>
      <c r="F25" s="8">
        <v>15.66</v>
      </c>
      <c r="G25" s="12">
        <v>14</v>
      </c>
      <c r="H25" s="8">
        <v>1.95</v>
      </c>
      <c r="I25" s="12">
        <v>0</v>
      </c>
    </row>
    <row r="26" spans="2:9" ht="15" customHeight="1" x14ac:dyDescent="0.2">
      <c r="B26" t="s">
        <v>75</v>
      </c>
      <c r="C26" s="12">
        <v>124</v>
      </c>
      <c r="D26" s="8">
        <v>7.9</v>
      </c>
      <c r="E26" s="12">
        <v>56</v>
      </c>
      <c r="F26" s="8">
        <v>6.8</v>
      </c>
      <c r="G26" s="12">
        <v>67</v>
      </c>
      <c r="H26" s="8">
        <v>9.34</v>
      </c>
      <c r="I26" s="12">
        <v>1</v>
      </c>
    </row>
    <row r="27" spans="2:9" ht="15" customHeight="1" x14ac:dyDescent="0.2">
      <c r="B27" t="s">
        <v>73</v>
      </c>
      <c r="C27" s="12">
        <v>95</v>
      </c>
      <c r="D27" s="8">
        <v>6.05</v>
      </c>
      <c r="E27" s="12">
        <v>56</v>
      </c>
      <c r="F27" s="8">
        <v>6.8</v>
      </c>
      <c r="G27" s="12">
        <v>36</v>
      </c>
      <c r="H27" s="8">
        <v>5.0199999999999996</v>
      </c>
      <c r="I27" s="12">
        <v>3</v>
      </c>
    </row>
    <row r="28" spans="2:9" ht="15" customHeight="1" x14ac:dyDescent="0.2">
      <c r="B28" t="s">
        <v>83</v>
      </c>
      <c r="C28" s="12">
        <v>83</v>
      </c>
      <c r="D28" s="8">
        <v>5.29</v>
      </c>
      <c r="E28" s="12">
        <v>52</v>
      </c>
      <c r="F28" s="8">
        <v>6.31</v>
      </c>
      <c r="G28" s="12">
        <v>17</v>
      </c>
      <c r="H28" s="8">
        <v>2.37</v>
      </c>
      <c r="I28" s="12">
        <v>0</v>
      </c>
    </row>
    <row r="29" spans="2:9" ht="15" customHeight="1" x14ac:dyDescent="0.2">
      <c r="B29" t="s">
        <v>67</v>
      </c>
      <c r="C29" s="12">
        <v>78</v>
      </c>
      <c r="D29" s="8">
        <v>4.97</v>
      </c>
      <c r="E29" s="12">
        <v>13</v>
      </c>
      <c r="F29" s="8">
        <v>1.58</v>
      </c>
      <c r="G29" s="12">
        <v>65</v>
      </c>
      <c r="H29" s="8">
        <v>9.07</v>
      </c>
      <c r="I29" s="12">
        <v>0</v>
      </c>
    </row>
    <row r="30" spans="2:9" ht="15" customHeight="1" x14ac:dyDescent="0.2">
      <c r="B30" t="s">
        <v>84</v>
      </c>
      <c r="C30" s="12">
        <v>73</v>
      </c>
      <c r="D30" s="8">
        <v>4.6500000000000004</v>
      </c>
      <c r="E30" s="12">
        <v>65</v>
      </c>
      <c r="F30" s="8">
        <v>7.89</v>
      </c>
      <c r="G30" s="12">
        <v>8</v>
      </c>
      <c r="H30" s="8">
        <v>1.1200000000000001</v>
      </c>
      <c r="I30" s="12">
        <v>0</v>
      </c>
    </row>
    <row r="31" spans="2:9" ht="15" customHeight="1" x14ac:dyDescent="0.2">
      <c r="B31" t="s">
        <v>74</v>
      </c>
      <c r="C31" s="12">
        <v>66</v>
      </c>
      <c r="D31" s="8">
        <v>4.21</v>
      </c>
      <c r="E31" s="12">
        <v>36</v>
      </c>
      <c r="F31" s="8">
        <v>4.37</v>
      </c>
      <c r="G31" s="12">
        <v>30</v>
      </c>
      <c r="H31" s="8">
        <v>4.18</v>
      </c>
      <c r="I31" s="12">
        <v>0</v>
      </c>
    </row>
    <row r="32" spans="2:9" ht="15" customHeight="1" x14ac:dyDescent="0.2">
      <c r="B32" t="s">
        <v>68</v>
      </c>
      <c r="C32" s="12">
        <v>59</v>
      </c>
      <c r="D32" s="8">
        <v>3.76</v>
      </c>
      <c r="E32" s="12">
        <v>26</v>
      </c>
      <c r="F32" s="8">
        <v>3.16</v>
      </c>
      <c r="G32" s="12">
        <v>33</v>
      </c>
      <c r="H32" s="8">
        <v>4.5999999999999996</v>
      </c>
      <c r="I32" s="12">
        <v>0</v>
      </c>
    </row>
    <row r="33" spans="2:9" ht="15" customHeight="1" x14ac:dyDescent="0.2">
      <c r="B33" t="s">
        <v>69</v>
      </c>
      <c r="C33" s="12">
        <v>52</v>
      </c>
      <c r="D33" s="8">
        <v>3.31</v>
      </c>
      <c r="E33" s="12">
        <v>16</v>
      </c>
      <c r="F33" s="8">
        <v>1.94</v>
      </c>
      <c r="G33" s="12">
        <v>36</v>
      </c>
      <c r="H33" s="8">
        <v>5.0199999999999996</v>
      </c>
      <c r="I33" s="12">
        <v>0</v>
      </c>
    </row>
    <row r="34" spans="2:9" ht="15" customHeight="1" x14ac:dyDescent="0.2">
      <c r="B34" t="s">
        <v>79</v>
      </c>
      <c r="C34" s="12">
        <v>52</v>
      </c>
      <c r="D34" s="8">
        <v>3.31</v>
      </c>
      <c r="E34" s="12">
        <v>17</v>
      </c>
      <c r="F34" s="8">
        <v>2.06</v>
      </c>
      <c r="G34" s="12">
        <v>35</v>
      </c>
      <c r="H34" s="8">
        <v>4.88</v>
      </c>
      <c r="I34" s="12">
        <v>0</v>
      </c>
    </row>
    <row r="35" spans="2:9" ht="15" customHeight="1" x14ac:dyDescent="0.2">
      <c r="B35" t="s">
        <v>78</v>
      </c>
      <c r="C35" s="12">
        <v>47</v>
      </c>
      <c r="D35" s="8">
        <v>3</v>
      </c>
      <c r="E35" s="12">
        <v>37</v>
      </c>
      <c r="F35" s="8">
        <v>4.49</v>
      </c>
      <c r="G35" s="12">
        <v>10</v>
      </c>
      <c r="H35" s="8">
        <v>1.39</v>
      </c>
      <c r="I35" s="12">
        <v>0</v>
      </c>
    </row>
    <row r="36" spans="2:9" ht="15" customHeight="1" x14ac:dyDescent="0.2">
      <c r="B36" t="s">
        <v>72</v>
      </c>
      <c r="C36" s="12">
        <v>45</v>
      </c>
      <c r="D36" s="8">
        <v>2.87</v>
      </c>
      <c r="E36" s="12">
        <v>12</v>
      </c>
      <c r="F36" s="8">
        <v>1.46</v>
      </c>
      <c r="G36" s="12">
        <v>32</v>
      </c>
      <c r="H36" s="8">
        <v>4.46</v>
      </c>
      <c r="I36" s="12">
        <v>1</v>
      </c>
    </row>
    <row r="37" spans="2:9" ht="15" customHeight="1" x14ac:dyDescent="0.2">
      <c r="B37" t="s">
        <v>77</v>
      </c>
      <c r="C37" s="12">
        <v>35</v>
      </c>
      <c r="D37" s="8">
        <v>2.23</v>
      </c>
      <c r="E37" s="12">
        <v>9</v>
      </c>
      <c r="F37" s="8">
        <v>1.0900000000000001</v>
      </c>
      <c r="G37" s="12">
        <v>26</v>
      </c>
      <c r="H37" s="8">
        <v>3.63</v>
      </c>
      <c r="I37" s="12">
        <v>0</v>
      </c>
    </row>
    <row r="38" spans="2:9" ht="15" customHeight="1" x14ac:dyDescent="0.2">
      <c r="B38" t="s">
        <v>85</v>
      </c>
      <c r="C38" s="12">
        <v>31</v>
      </c>
      <c r="D38" s="8">
        <v>1.98</v>
      </c>
      <c r="E38" s="12">
        <v>1</v>
      </c>
      <c r="F38" s="8">
        <v>0.12</v>
      </c>
      <c r="G38" s="12">
        <v>27</v>
      </c>
      <c r="H38" s="8">
        <v>3.77</v>
      </c>
      <c r="I38" s="12">
        <v>0</v>
      </c>
    </row>
    <row r="39" spans="2:9" ht="15" customHeight="1" x14ac:dyDescent="0.2">
      <c r="B39" t="s">
        <v>76</v>
      </c>
      <c r="C39" s="12">
        <v>30</v>
      </c>
      <c r="D39" s="8">
        <v>1.91</v>
      </c>
      <c r="E39" s="12">
        <v>9</v>
      </c>
      <c r="F39" s="8">
        <v>1.0900000000000001</v>
      </c>
      <c r="G39" s="12">
        <v>21</v>
      </c>
      <c r="H39" s="8">
        <v>2.93</v>
      </c>
      <c r="I39" s="12">
        <v>0</v>
      </c>
    </row>
    <row r="40" spans="2:9" ht="15" customHeight="1" x14ac:dyDescent="0.2">
      <c r="B40" t="s">
        <v>91</v>
      </c>
      <c r="C40" s="12">
        <v>23</v>
      </c>
      <c r="D40" s="8">
        <v>1.47</v>
      </c>
      <c r="E40" s="12">
        <v>6</v>
      </c>
      <c r="F40" s="8">
        <v>0.73</v>
      </c>
      <c r="G40" s="12">
        <v>16</v>
      </c>
      <c r="H40" s="8">
        <v>2.23</v>
      </c>
      <c r="I40" s="12">
        <v>0</v>
      </c>
    </row>
    <row r="41" spans="2:9" ht="15" customHeight="1" x14ac:dyDescent="0.2">
      <c r="B41" t="s">
        <v>86</v>
      </c>
      <c r="C41" s="12">
        <v>23</v>
      </c>
      <c r="D41" s="8">
        <v>1.47</v>
      </c>
      <c r="E41" s="12">
        <v>17</v>
      </c>
      <c r="F41" s="8">
        <v>2.06</v>
      </c>
      <c r="G41" s="12">
        <v>6</v>
      </c>
      <c r="H41" s="8">
        <v>0.84</v>
      </c>
      <c r="I41" s="12">
        <v>0</v>
      </c>
    </row>
    <row r="42" spans="2:9" ht="15" customHeight="1" x14ac:dyDescent="0.2">
      <c r="B42" t="s">
        <v>96</v>
      </c>
      <c r="C42" s="12">
        <v>21</v>
      </c>
      <c r="D42" s="8">
        <v>1.34</v>
      </c>
      <c r="E42" s="12">
        <v>13</v>
      </c>
      <c r="F42" s="8">
        <v>1.58</v>
      </c>
      <c r="G42" s="12">
        <v>8</v>
      </c>
      <c r="H42" s="8">
        <v>1.1200000000000001</v>
      </c>
      <c r="I42" s="12">
        <v>0</v>
      </c>
    </row>
    <row r="43" spans="2:9" ht="15" customHeight="1" x14ac:dyDescent="0.2">
      <c r="B43" t="s">
        <v>93</v>
      </c>
      <c r="C43" s="12">
        <v>21</v>
      </c>
      <c r="D43" s="8">
        <v>1.34</v>
      </c>
      <c r="E43" s="12">
        <v>10</v>
      </c>
      <c r="F43" s="8">
        <v>1.21</v>
      </c>
      <c r="G43" s="12">
        <v>10</v>
      </c>
      <c r="H43" s="8">
        <v>1.39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120</v>
      </c>
      <c r="D47" s="8">
        <v>7.65</v>
      </c>
      <c r="E47" s="12">
        <v>106</v>
      </c>
      <c r="F47" s="8">
        <v>12.86</v>
      </c>
      <c r="G47" s="12">
        <v>14</v>
      </c>
      <c r="H47" s="8">
        <v>1.95</v>
      </c>
      <c r="I47" s="12">
        <v>0</v>
      </c>
    </row>
    <row r="48" spans="2:9" ht="15" customHeight="1" x14ac:dyDescent="0.2">
      <c r="B48" t="s">
        <v>142</v>
      </c>
      <c r="C48" s="12">
        <v>64</v>
      </c>
      <c r="D48" s="8">
        <v>4.08</v>
      </c>
      <c r="E48" s="12">
        <v>59</v>
      </c>
      <c r="F48" s="8">
        <v>7.16</v>
      </c>
      <c r="G48" s="12">
        <v>5</v>
      </c>
      <c r="H48" s="8">
        <v>0.7</v>
      </c>
      <c r="I48" s="12">
        <v>0</v>
      </c>
    </row>
    <row r="49" spans="2:9" ht="15" customHeight="1" x14ac:dyDescent="0.2">
      <c r="B49" t="s">
        <v>139</v>
      </c>
      <c r="C49" s="12">
        <v>55</v>
      </c>
      <c r="D49" s="8">
        <v>3.51</v>
      </c>
      <c r="E49" s="12">
        <v>54</v>
      </c>
      <c r="F49" s="8">
        <v>6.55</v>
      </c>
      <c r="G49" s="12">
        <v>1</v>
      </c>
      <c r="H49" s="8">
        <v>0.14000000000000001</v>
      </c>
      <c r="I49" s="12">
        <v>0</v>
      </c>
    </row>
    <row r="50" spans="2:9" ht="15" customHeight="1" x14ac:dyDescent="0.2">
      <c r="B50" t="s">
        <v>141</v>
      </c>
      <c r="C50" s="12">
        <v>50</v>
      </c>
      <c r="D50" s="8">
        <v>3.19</v>
      </c>
      <c r="E50" s="12">
        <v>39</v>
      </c>
      <c r="F50" s="8">
        <v>4.7300000000000004</v>
      </c>
      <c r="G50" s="12">
        <v>11</v>
      </c>
      <c r="H50" s="8">
        <v>1.53</v>
      </c>
      <c r="I50" s="12">
        <v>0</v>
      </c>
    </row>
    <row r="51" spans="2:9" ht="15" customHeight="1" x14ac:dyDescent="0.2">
      <c r="B51" t="s">
        <v>130</v>
      </c>
      <c r="C51" s="12">
        <v>39</v>
      </c>
      <c r="D51" s="8">
        <v>2.4900000000000002</v>
      </c>
      <c r="E51" s="12">
        <v>22</v>
      </c>
      <c r="F51" s="8">
        <v>2.67</v>
      </c>
      <c r="G51" s="12">
        <v>17</v>
      </c>
      <c r="H51" s="8">
        <v>2.37</v>
      </c>
      <c r="I51" s="12">
        <v>0</v>
      </c>
    </row>
    <row r="52" spans="2:9" ht="15" customHeight="1" x14ac:dyDescent="0.2">
      <c r="B52" t="s">
        <v>136</v>
      </c>
      <c r="C52" s="12">
        <v>36</v>
      </c>
      <c r="D52" s="8">
        <v>2.29</v>
      </c>
      <c r="E52" s="12">
        <v>30</v>
      </c>
      <c r="F52" s="8">
        <v>3.64</v>
      </c>
      <c r="G52" s="12">
        <v>6</v>
      </c>
      <c r="H52" s="8">
        <v>0.84</v>
      </c>
      <c r="I52" s="12">
        <v>0</v>
      </c>
    </row>
    <row r="53" spans="2:9" ht="15" customHeight="1" x14ac:dyDescent="0.2">
      <c r="B53" t="s">
        <v>135</v>
      </c>
      <c r="C53" s="12">
        <v>34</v>
      </c>
      <c r="D53" s="8">
        <v>2.17</v>
      </c>
      <c r="E53" s="12">
        <v>8</v>
      </c>
      <c r="F53" s="8">
        <v>0.97</v>
      </c>
      <c r="G53" s="12">
        <v>26</v>
      </c>
      <c r="H53" s="8">
        <v>3.63</v>
      </c>
      <c r="I53" s="12">
        <v>0</v>
      </c>
    </row>
    <row r="54" spans="2:9" ht="15" customHeight="1" x14ac:dyDescent="0.2">
      <c r="B54" t="s">
        <v>129</v>
      </c>
      <c r="C54" s="12">
        <v>32</v>
      </c>
      <c r="D54" s="8">
        <v>2.04</v>
      </c>
      <c r="E54" s="12">
        <v>21</v>
      </c>
      <c r="F54" s="8">
        <v>2.5499999999999998</v>
      </c>
      <c r="G54" s="12">
        <v>10</v>
      </c>
      <c r="H54" s="8">
        <v>1.39</v>
      </c>
      <c r="I54" s="12">
        <v>1</v>
      </c>
    </row>
    <row r="55" spans="2:9" ht="15" customHeight="1" x14ac:dyDescent="0.2">
      <c r="B55" t="s">
        <v>133</v>
      </c>
      <c r="C55" s="12">
        <v>31</v>
      </c>
      <c r="D55" s="8">
        <v>1.98</v>
      </c>
      <c r="E55" s="12">
        <v>21</v>
      </c>
      <c r="F55" s="8">
        <v>2.5499999999999998</v>
      </c>
      <c r="G55" s="12">
        <v>10</v>
      </c>
      <c r="H55" s="8">
        <v>1.39</v>
      </c>
      <c r="I55" s="12">
        <v>0</v>
      </c>
    </row>
    <row r="56" spans="2:9" ht="15" customHeight="1" x14ac:dyDescent="0.2">
      <c r="B56" t="s">
        <v>138</v>
      </c>
      <c r="C56" s="12">
        <v>30</v>
      </c>
      <c r="D56" s="8">
        <v>1.91</v>
      </c>
      <c r="E56" s="12">
        <v>30</v>
      </c>
      <c r="F56" s="8">
        <v>3.64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28</v>
      </c>
      <c r="D57" s="8">
        <v>1.78</v>
      </c>
      <c r="E57" s="12">
        <v>4</v>
      </c>
      <c r="F57" s="8">
        <v>0.49</v>
      </c>
      <c r="G57" s="12">
        <v>24</v>
      </c>
      <c r="H57" s="8">
        <v>3.35</v>
      </c>
      <c r="I57" s="12">
        <v>0</v>
      </c>
    </row>
    <row r="58" spans="2:9" ht="15" customHeight="1" x14ac:dyDescent="0.2">
      <c r="B58" t="s">
        <v>128</v>
      </c>
      <c r="C58" s="12">
        <v>27</v>
      </c>
      <c r="D58" s="8">
        <v>1.72</v>
      </c>
      <c r="E58" s="12">
        <v>12</v>
      </c>
      <c r="F58" s="8">
        <v>1.46</v>
      </c>
      <c r="G58" s="12">
        <v>15</v>
      </c>
      <c r="H58" s="8">
        <v>2.09</v>
      </c>
      <c r="I58" s="12">
        <v>0</v>
      </c>
    </row>
    <row r="59" spans="2:9" ht="15" customHeight="1" x14ac:dyDescent="0.2">
      <c r="B59" t="s">
        <v>126</v>
      </c>
      <c r="C59" s="12">
        <v>26</v>
      </c>
      <c r="D59" s="8">
        <v>1.66</v>
      </c>
      <c r="E59" s="12">
        <v>7</v>
      </c>
      <c r="F59" s="8">
        <v>0.85</v>
      </c>
      <c r="G59" s="12">
        <v>19</v>
      </c>
      <c r="H59" s="8">
        <v>2.65</v>
      </c>
      <c r="I59" s="12">
        <v>0</v>
      </c>
    </row>
    <row r="60" spans="2:9" ht="15" customHeight="1" x14ac:dyDescent="0.2">
      <c r="B60" t="s">
        <v>144</v>
      </c>
      <c r="C60" s="12">
        <v>25</v>
      </c>
      <c r="D60" s="8">
        <v>1.59</v>
      </c>
      <c r="E60" s="12">
        <v>9</v>
      </c>
      <c r="F60" s="8">
        <v>1.0900000000000001</v>
      </c>
      <c r="G60" s="12">
        <v>16</v>
      </c>
      <c r="H60" s="8">
        <v>2.23</v>
      </c>
      <c r="I60" s="12">
        <v>0</v>
      </c>
    </row>
    <row r="61" spans="2:9" ht="15" customHeight="1" x14ac:dyDescent="0.2">
      <c r="B61" t="s">
        <v>137</v>
      </c>
      <c r="C61" s="12">
        <v>25</v>
      </c>
      <c r="D61" s="8">
        <v>1.59</v>
      </c>
      <c r="E61" s="12">
        <v>25</v>
      </c>
      <c r="F61" s="8">
        <v>3.03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131</v>
      </c>
      <c r="C62" s="12">
        <v>24</v>
      </c>
      <c r="D62" s="8">
        <v>1.53</v>
      </c>
      <c r="E62" s="12">
        <v>7</v>
      </c>
      <c r="F62" s="8">
        <v>0.85</v>
      </c>
      <c r="G62" s="12">
        <v>17</v>
      </c>
      <c r="H62" s="8">
        <v>2.37</v>
      </c>
      <c r="I62" s="12">
        <v>0</v>
      </c>
    </row>
    <row r="63" spans="2:9" ht="15" customHeight="1" x14ac:dyDescent="0.2">
      <c r="B63" t="s">
        <v>156</v>
      </c>
      <c r="C63" s="12">
        <v>23</v>
      </c>
      <c r="D63" s="8">
        <v>1.47</v>
      </c>
      <c r="E63" s="12">
        <v>20</v>
      </c>
      <c r="F63" s="8">
        <v>2.4300000000000002</v>
      </c>
      <c r="G63" s="12">
        <v>3</v>
      </c>
      <c r="H63" s="8">
        <v>0.42</v>
      </c>
      <c r="I63" s="12">
        <v>0</v>
      </c>
    </row>
    <row r="64" spans="2:9" ht="15" customHeight="1" x14ac:dyDescent="0.2">
      <c r="B64" t="s">
        <v>143</v>
      </c>
      <c r="C64" s="12">
        <v>23</v>
      </c>
      <c r="D64" s="8">
        <v>1.47</v>
      </c>
      <c r="E64" s="12">
        <v>17</v>
      </c>
      <c r="F64" s="8">
        <v>2.06</v>
      </c>
      <c r="G64" s="12">
        <v>6</v>
      </c>
      <c r="H64" s="8">
        <v>0.84</v>
      </c>
      <c r="I64" s="12">
        <v>0</v>
      </c>
    </row>
    <row r="65" spans="2:9" ht="15" customHeight="1" x14ac:dyDescent="0.2">
      <c r="B65" t="s">
        <v>147</v>
      </c>
      <c r="C65" s="12">
        <v>21</v>
      </c>
      <c r="D65" s="8">
        <v>1.34</v>
      </c>
      <c r="E65" s="12">
        <v>11</v>
      </c>
      <c r="F65" s="8">
        <v>1.33</v>
      </c>
      <c r="G65" s="12">
        <v>10</v>
      </c>
      <c r="H65" s="8">
        <v>1.39</v>
      </c>
      <c r="I65" s="12">
        <v>0</v>
      </c>
    </row>
    <row r="66" spans="2:9" ht="15" customHeight="1" x14ac:dyDescent="0.2">
      <c r="B66" t="s">
        <v>132</v>
      </c>
      <c r="C66" s="12">
        <v>21</v>
      </c>
      <c r="D66" s="8">
        <v>1.34</v>
      </c>
      <c r="E66" s="12">
        <v>2</v>
      </c>
      <c r="F66" s="8">
        <v>0.24</v>
      </c>
      <c r="G66" s="12">
        <v>19</v>
      </c>
      <c r="H66" s="8">
        <v>2.65</v>
      </c>
      <c r="I66" s="12">
        <v>0</v>
      </c>
    </row>
    <row r="67" spans="2:9" ht="15" customHeight="1" x14ac:dyDescent="0.2">
      <c r="B67" t="s">
        <v>134</v>
      </c>
      <c r="C67" s="12">
        <v>21</v>
      </c>
      <c r="D67" s="8">
        <v>1.34</v>
      </c>
      <c r="E67" s="12">
        <v>4</v>
      </c>
      <c r="F67" s="8">
        <v>0.49</v>
      </c>
      <c r="G67" s="12">
        <v>17</v>
      </c>
      <c r="H67" s="8">
        <v>2.37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7C5-33D6-493F-B978-FE38A728AA24}">
  <sheetPr>
    <pageSetUpPr fitToPage="1"/>
  </sheetPr>
  <dimension ref="B2:I5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46</v>
      </c>
      <c r="C7" s="12">
        <v>3</v>
      </c>
      <c r="D7" s="8">
        <v>10.34</v>
      </c>
      <c r="E7" s="12">
        <v>0</v>
      </c>
      <c r="F7" s="8">
        <v>0</v>
      </c>
      <c r="G7" s="12">
        <v>1</v>
      </c>
      <c r="H7" s="8">
        <v>33.33</v>
      </c>
      <c r="I7" s="12">
        <v>1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6.9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8</v>
      </c>
      <c r="D11" s="8">
        <v>27.59</v>
      </c>
      <c r="E11" s="12">
        <v>6</v>
      </c>
      <c r="F11" s="8">
        <v>35.29</v>
      </c>
      <c r="G11" s="12">
        <v>1</v>
      </c>
      <c r="H11" s="8">
        <v>33.33</v>
      </c>
      <c r="I11" s="12">
        <v>1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53</v>
      </c>
      <c r="C14" s="12">
        <v>1</v>
      </c>
      <c r="D14" s="8">
        <v>3.45</v>
      </c>
      <c r="E14" s="12">
        <v>0</v>
      </c>
      <c r="F14" s="8">
        <v>0</v>
      </c>
      <c r="G14" s="12">
        <v>1</v>
      </c>
      <c r="H14" s="8">
        <v>33.33</v>
      </c>
      <c r="I14" s="12">
        <v>0</v>
      </c>
    </row>
    <row r="15" spans="2:9" ht="15" customHeight="1" x14ac:dyDescent="0.2">
      <c r="B15" t="s">
        <v>54</v>
      </c>
      <c r="C15" s="12">
        <v>11</v>
      </c>
      <c r="D15" s="8">
        <v>37.93</v>
      </c>
      <c r="E15" s="12">
        <v>11</v>
      </c>
      <c r="F15" s="8">
        <v>64.709999999999994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55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58</v>
      </c>
      <c r="C19" s="12">
        <v>4</v>
      </c>
      <c r="D19" s="8">
        <v>13.79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241</v>
      </c>
      <c r="C20" s="12">
        <f>SUM(LTBL_46303[総数／事業所数])</f>
        <v>29</v>
      </c>
      <c r="E20" s="12">
        <f>SUBTOTAL(109,LTBL_46303[個人／事業所数])</f>
        <v>17</v>
      </c>
      <c r="G20" s="12">
        <f>SUBTOTAL(109,LTBL_46303[法人／事業所数])</f>
        <v>3</v>
      </c>
      <c r="I20" s="12">
        <f>SUBTOTAL(109,LTBL_46303[法人以外の団体／事業所数])</f>
        <v>2</v>
      </c>
    </row>
    <row r="21" spans="2:9" ht="15" customHeight="1" x14ac:dyDescent="0.2">
      <c r="E21" s="11">
        <f>LTBL_46303[[#Totals],[個人／事業所数]]/LTBL_46303[[#Totals],[総数／事業所数]]</f>
        <v>0.58620689655172409</v>
      </c>
      <c r="G21" s="11">
        <f>LTBL_46303[[#Totals],[法人／事業所数]]/LTBL_46303[[#Totals],[総数／事業所数]]</f>
        <v>0.10344827586206896</v>
      </c>
      <c r="I21" s="11">
        <f>LTBL_46303[[#Totals],[法人以外の団体／事業所数]]/LTBL_46303[[#Totals],[総数／事業所数]]</f>
        <v>6.8965517241379309E-2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80</v>
      </c>
      <c r="C24" s="12">
        <v>11</v>
      </c>
      <c r="D24" s="8">
        <v>37.93</v>
      </c>
      <c r="E24" s="12">
        <v>11</v>
      </c>
      <c r="F24" s="8">
        <v>64.709999999999994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73</v>
      </c>
      <c r="C25" s="12">
        <v>7</v>
      </c>
      <c r="D25" s="8">
        <v>24.14</v>
      </c>
      <c r="E25" s="12">
        <v>6</v>
      </c>
      <c r="F25" s="8">
        <v>35.29</v>
      </c>
      <c r="G25" s="12">
        <v>0</v>
      </c>
      <c r="H25" s="8">
        <v>0</v>
      </c>
      <c r="I25" s="12">
        <v>1</v>
      </c>
    </row>
    <row r="26" spans="2:9" ht="15" customHeight="1" x14ac:dyDescent="0.2">
      <c r="B26" t="s">
        <v>107</v>
      </c>
      <c r="C26" s="12">
        <v>4</v>
      </c>
      <c r="D26" s="8">
        <v>13.79</v>
      </c>
      <c r="E26" s="12">
        <v>0</v>
      </c>
      <c r="F26" s="8">
        <v>0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70</v>
      </c>
      <c r="C27" s="12">
        <v>2</v>
      </c>
      <c r="D27" s="8">
        <v>6.9</v>
      </c>
      <c r="E27" s="12">
        <v>0</v>
      </c>
      <c r="F27" s="8">
        <v>0</v>
      </c>
      <c r="G27" s="12">
        <v>1</v>
      </c>
      <c r="H27" s="8">
        <v>33.33</v>
      </c>
      <c r="I27" s="12">
        <v>1</v>
      </c>
    </row>
    <row r="28" spans="2:9" ht="15" customHeight="1" x14ac:dyDescent="0.2">
      <c r="B28" t="s">
        <v>106</v>
      </c>
      <c r="C28" s="12">
        <v>2</v>
      </c>
      <c r="D28" s="8">
        <v>6.9</v>
      </c>
      <c r="E28" s="12">
        <v>0</v>
      </c>
      <c r="F28" s="8">
        <v>0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90</v>
      </c>
      <c r="C29" s="12">
        <v>1</v>
      </c>
      <c r="D29" s="8">
        <v>3.45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75</v>
      </c>
      <c r="C30" s="12">
        <v>1</v>
      </c>
      <c r="D30" s="8">
        <v>3.45</v>
      </c>
      <c r="E30" s="12">
        <v>0</v>
      </c>
      <c r="F30" s="8">
        <v>0</v>
      </c>
      <c r="G30" s="12">
        <v>1</v>
      </c>
      <c r="H30" s="8">
        <v>33.33</v>
      </c>
      <c r="I30" s="12">
        <v>0</v>
      </c>
    </row>
    <row r="31" spans="2:9" ht="15" customHeight="1" x14ac:dyDescent="0.2">
      <c r="B31" t="s">
        <v>78</v>
      </c>
      <c r="C31" s="12">
        <v>1</v>
      </c>
      <c r="D31" s="8">
        <v>3.45</v>
      </c>
      <c r="E31" s="12">
        <v>0</v>
      </c>
      <c r="F31" s="8">
        <v>0</v>
      </c>
      <c r="G31" s="12">
        <v>1</v>
      </c>
      <c r="H31" s="8">
        <v>33.33</v>
      </c>
      <c r="I31" s="12">
        <v>0</v>
      </c>
    </row>
    <row r="34" spans="2:9" ht="33" customHeight="1" x14ac:dyDescent="0.2">
      <c r="B34" t="s">
        <v>243</v>
      </c>
      <c r="C34" s="10" t="s">
        <v>60</v>
      </c>
      <c r="D34" s="10" t="s">
        <v>61</v>
      </c>
      <c r="E34" s="10" t="s">
        <v>62</v>
      </c>
      <c r="F34" s="10" t="s">
        <v>63</v>
      </c>
      <c r="G34" s="10" t="s">
        <v>64</v>
      </c>
      <c r="H34" s="10" t="s">
        <v>65</v>
      </c>
      <c r="I34" s="10" t="s">
        <v>66</v>
      </c>
    </row>
    <row r="35" spans="2:9" ht="15" customHeight="1" x14ac:dyDescent="0.2">
      <c r="B35" t="s">
        <v>158</v>
      </c>
      <c r="C35" s="12">
        <v>10</v>
      </c>
      <c r="D35" s="8">
        <v>34.479999999999997</v>
      </c>
      <c r="E35" s="12">
        <v>10</v>
      </c>
      <c r="F35" s="8">
        <v>58.82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127</v>
      </c>
      <c r="C36" s="12">
        <v>4</v>
      </c>
      <c r="D36" s="8">
        <v>13.79</v>
      </c>
      <c r="E36" s="12">
        <v>4</v>
      </c>
      <c r="F36" s="8">
        <v>23.53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184</v>
      </c>
      <c r="C37" s="12">
        <v>4</v>
      </c>
      <c r="D37" s="8">
        <v>13.79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177</v>
      </c>
      <c r="C38" s="12">
        <v>1</v>
      </c>
      <c r="D38" s="8">
        <v>3.45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2">
      <c r="B39" t="s">
        <v>178</v>
      </c>
      <c r="C39" s="12">
        <v>1</v>
      </c>
      <c r="D39" s="8">
        <v>3.45</v>
      </c>
      <c r="E39" s="12">
        <v>0</v>
      </c>
      <c r="F39" s="8">
        <v>0</v>
      </c>
      <c r="G39" s="12">
        <v>1</v>
      </c>
      <c r="H39" s="8">
        <v>33.33</v>
      </c>
      <c r="I39" s="12">
        <v>0</v>
      </c>
    </row>
    <row r="40" spans="2:9" ht="15" customHeight="1" x14ac:dyDescent="0.2">
      <c r="B40" t="s">
        <v>179</v>
      </c>
      <c r="C40" s="12">
        <v>1</v>
      </c>
      <c r="D40" s="8">
        <v>3.45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180</v>
      </c>
      <c r="C41" s="12">
        <v>1</v>
      </c>
      <c r="D41" s="8">
        <v>3.45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181</v>
      </c>
      <c r="C42" s="12">
        <v>1</v>
      </c>
      <c r="D42" s="8">
        <v>3.45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160</v>
      </c>
      <c r="C43" s="12">
        <v>1</v>
      </c>
      <c r="D43" s="8">
        <v>3.45</v>
      </c>
      <c r="E43" s="12">
        <v>1</v>
      </c>
      <c r="F43" s="8">
        <v>5.88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128</v>
      </c>
      <c r="C44" s="12">
        <v>1</v>
      </c>
      <c r="D44" s="8">
        <v>3.45</v>
      </c>
      <c r="E44" s="12">
        <v>0</v>
      </c>
      <c r="F44" s="8">
        <v>0</v>
      </c>
      <c r="G44" s="12">
        <v>0</v>
      </c>
      <c r="H44" s="8">
        <v>0</v>
      </c>
      <c r="I44" s="12">
        <v>1</v>
      </c>
    </row>
    <row r="45" spans="2:9" ht="15" customHeight="1" x14ac:dyDescent="0.2">
      <c r="B45" t="s">
        <v>129</v>
      </c>
      <c r="C45" s="12">
        <v>1</v>
      </c>
      <c r="D45" s="8">
        <v>3.45</v>
      </c>
      <c r="E45" s="12">
        <v>1</v>
      </c>
      <c r="F45" s="8">
        <v>5.88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133</v>
      </c>
      <c r="C46" s="12">
        <v>1</v>
      </c>
      <c r="D46" s="8">
        <v>3.45</v>
      </c>
      <c r="E46" s="12">
        <v>0</v>
      </c>
      <c r="F46" s="8">
        <v>0</v>
      </c>
      <c r="G46" s="12">
        <v>1</v>
      </c>
      <c r="H46" s="8">
        <v>33.33</v>
      </c>
      <c r="I46" s="12">
        <v>0</v>
      </c>
    </row>
    <row r="47" spans="2:9" ht="15" customHeight="1" x14ac:dyDescent="0.2">
      <c r="B47" t="s">
        <v>182</v>
      </c>
      <c r="C47" s="12">
        <v>1</v>
      </c>
      <c r="D47" s="8">
        <v>3.45</v>
      </c>
      <c r="E47" s="12">
        <v>0</v>
      </c>
      <c r="F47" s="8">
        <v>0</v>
      </c>
      <c r="G47" s="12">
        <v>1</v>
      </c>
      <c r="H47" s="8">
        <v>33.33</v>
      </c>
      <c r="I47" s="12">
        <v>0</v>
      </c>
    </row>
    <row r="48" spans="2:9" ht="15" customHeight="1" x14ac:dyDescent="0.2">
      <c r="B48" t="s">
        <v>183</v>
      </c>
      <c r="C48" s="12">
        <v>1</v>
      </c>
      <c r="D48" s="8">
        <v>3.45</v>
      </c>
      <c r="E48" s="12">
        <v>1</v>
      </c>
      <c r="F48" s="8">
        <v>5.88</v>
      </c>
      <c r="G48" s="12">
        <v>0</v>
      </c>
      <c r="H48" s="8">
        <v>0</v>
      </c>
      <c r="I48" s="12">
        <v>0</v>
      </c>
    </row>
    <row r="50" spans="2:2" ht="15" customHeight="1" x14ac:dyDescent="0.2">
      <c r="B5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903A-8A3C-45BD-9877-1C58728B5059}">
  <sheetPr>
    <pageSetUpPr fitToPage="1"/>
  </sheetPr>
  <dimension ref="B2:I4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46</v>
      </c>
      <c r="C7" s="12">
        <v>6</v>
      </c>
      <c r="D7" s="8">
        <v>12.5</v>
      </c>
      <c r="E7" s="12">
        <v>2</v>
      </c>
      <c r="F7" s="8">
        <v>6.25</v>
      </c>
      <c r="G7" s="12">
        <v>4</v>
      </c>
      <c r="H7" s="8">
        <v>66.67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4</v>
      </c>
      <c r="D11" s="8">
        <v>8.33</v>
      </c>
      <c r="E11" s="12">
        <v>3</v>
      </c>
      <c r="F11" s="8">
        <v>9.3800000000000008</v>
      </c>
      <c r="G11" s="12">
        <v>1</v>
      </c>
      <c r="H11" s="8">
        <v>16.670000000000002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53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54</v>
      </c>
      <c r="C15" s="12">
        <v>27</v>
      </c>
      <c r="D15" s="8">
        <v>56.25</v>
      </c>
      <c r="E15" s="12">
        <v>27</v>
      </c>
      <c r="F15" s="8">
        <v>84.38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55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11</v>
      </c>
      <c r="D18" s="8">
        <v>22.92</v>
      </c>
      <c r="E18" s="12">
        <v>0</v>
      </c>
      <c r="F18" s="8">
        <v>0</v>
      </c>
      <c r="G18" s="12">
        <v>1</v>
      </c>
      <c r="H18" s="8">
        <v>16.670000000000002</v>
      </c>
      <c r="I18" s="12">
        <v>0</v>
      </c>
    </row>
    <row r="19" spans="2:9" ht="15" customHeight="1" x14ac:dyDescent="0.2">
      <c r="B19" t="s">
        <v>58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241</v>
      </c>
      <c r="C20" s="12">
        <f>SUM(LTBL_46304[総数／事業所数])</f>
        <v>48</v>
      </c>
      <c r="E20" s="12">
        <f>SUBTOTAL(109,LTBL_46304[個人／事業所数])</f>
        <v>32</v>
      </c>
      <c r="G20" s="12">
        <f>SUBTOTAL(109,LTBL_46304[法人／事業所数])</f>
        <v>6</v>
      </c>
      <c r="I20" s="12">
        <f>SUBTOTAL(109,LTBL_46304[法人以外の団体／事業所数])</f>
        <v>0</v>
      </c>
    </row>
    <row r="21" spans="2:9" ht="15" customHeight="1" x14ac:dyDescent="0.2">
      <c r="E21" s="11">
        <f>LTBL_46304[[#Totals],[個人／事業所数]]/LTBL_46304[[#Totals],[総数／事業所数]]</f>
        <v>0.66666666666666663</v>
      </c>
      <c r="G21" s="11">
        <f>LTBL_46304[[#Totals],[法人／事業所数]]/LTBL_46304[[#Totals],[総数／事業所数]]</f>
        <v>0.125</v>
      </c>
      <c r="I21" s="11">
        <f>LTBL_46304[[#Totals],[法人以外の団体／事業所数]]/LTBL_46304[[#Totals],[総数／事業所数]]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80</v>
      </c>
      <c r="C24" s="12">
        <v>27</v>
      </c>
      <c r="D24" s="8">
        <v>56.25</v>
      </c>
      <c r="E24" s="12">
        <v>27</v>
      </c>
      <c r="F24" s="8">
        <v>84.38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85</v>
      </c>
      <c r="C25" s="12">
        <v>11</v>
      </c>
      <c r="D25" s="8">
        <v>22.92</v>
      </c>
      <c r="E25" s="12">
        <v>0</v>
      </c>
      <c r="F25" s="8">
        <v>0</v>
      </c>
      <c r="G25" s="12">
        <v>1</v>
      </c>
      <c r="H25" s="8">
        <v>16.670000000000002</v>
      </c>
      <c r="I25" s="12">
        <v>0</v>
      </c>
    </row>
    <row r="26" spans="2:9" ht="15" customHeight="1" x14ac:dyDescent="0.2">
      <c r="B26" t="s">
        <v>70</v>
      </c>
      <c r="C26" s="12">
        <v>5</v>
      </c>
      <c r="D26" s="8">
        <v>10.42</v>
      </c>
      <c r="E26" s="12">
        <v>2</v>
      </c>
      <c r="F26" s="8">
        <v>6.25</v>
      </c>
      <c r="G26" s="12">
        <v>3</v>
      </c>
      <c r="H26" s="8">
        <v>50</v>
      </c>
      <c r="I26" s="12">
        <v>0</v>
      </c>
    </row>
    <row r="27" spans="2:9" ht="15" customHeight="1" x14ac:dyDescent="0.2">
      <c r="B27" t="s">
        <v>75</v>
      </c>
      <c r="C27" s="12">
        <v>3</v>
      </c>
      <c r="D27" s="8">
        <v>6.25</v>
      </c>
      <c r="E27" s="12">
        <v>3</v>
      </c>
      <c r="F27" s="8">
        <v>9.3800000000000008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108</v>
      </c>
      <c r="C28" s="12">
        <v>1</v>
      </c>
      <c r="D28" s="8">
        <v>2.08</v>
      </c>
      <c r="E28" s="12">
        <v>0</v>
      </c>
      <c r="F28" s="8">
        <v>0</v>
      </c>
      <c r="G28" s="12">
        <v>1</v>
      </c>
      <c r="H28" s="8">
        <v>16.670000000000002</v>
      </c>
      <c r="I28" s="12">
        <v>0</v>
      </c>
    </row>
    <row r="29" spans="2:9" ht="15" customHeight="1" x14ac:dyDescent="0.2">
      <c r="B29" t="s">
        <v>73</v>
      </c>
      <c r="C29" s="12">
        <v>1</v>
      </c>
      <c r="D29" s="8">
        <v>2.08</v>
      </c>
      <c r="E29" s="12">
        <v>0</v>
      </c>
      <c r="F29" s="8">
        <v>0</v>
      </c>
      <c r="G29" s="12">
        <v>1</v>
      </c>
      <c r="H29" s="8">
        <v>16.670000000000002</v>
      </c>
      <c r="I29" s="12">
        <v>0</v>
      </c>
    </row>
    <row r="32" spans="2:9" ht="33" customHeight="1" x14ac:dyDescent="0.2">
      <c r="B32" t="s">
        <v>243</v>
      </c>
      <c r="C32" s="10" t="s">
        <v>60</v>
      </c>
      <c r="D32" s="10" t="s">
        <v>61</v>
      </c>
      <c r="E32" s="10" t="s">
        <v>62</v>
      </c>
      <c r="F32" s="10" t="s">
        <v>63</v>
      </c>
      <c r="G32" s="10" t="s">
        <v>64</v>
      </c>
      <c r="H32" s="10" t="s">
        <v>65</v>
      </c>
      <c r="I32" s="10" t="s">
        <v>66</v>
      </c>
    </row>
    <row r="33" spans="2:9" ht="15" customHeight="1" x14ac:dyDescent="0.2">
      <c r="B33" t="s">
        <v>183</v>
      </c>
      <c r="C33" s="12">
        <v>21</v>
      </c>
      <c r="D33" s="8">
        <v>43.75</v>
      </c>
      <c r="E33" s="12">
        <v>21</v>
      </c>
      <c r="F33" s="8">
        <v>65.63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158</v>
      </c>
      <c r="C34" s="12">
        <v>6</v>
      </c>
      <c r="D34" s="8">
        <v>12.5</v>
      </c>
      <c r="E34" s="12">
        <v>6</v>
      </c>
      <c r="F34" s="8">
        <v>18.75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187</v>
      </c>
      <c r="C35" s="12">
        <v>6</v>
      </c>
      <c r="D35" s="8">
        <v>12.5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188</v>
      </c>
      <c r="C36" s="12">
        <v>5</v>
      </c>
      <c r="D36" s="8">
        <v>10.42</v>
      </c>
      <c r="E36" s="12">
        <v>0</v>
      </c>
      <c r="F36" s="8">
        <v>0</v>
      </c>
      <c r="G36" s="12">
        <v>1</v>
      </c>
      <c r="H36" s="8">
        <v>16.670000000000002</v>
      </c>
      <c r="I36" s="12">
        <v>0</v>
      </c>
    </row>
    <row r="37" spans="2:9" ht="15" customHeight="1" x14ac:dyDescent="0.2">
      <c r="B37" t="s">
        <v>149</v>
      </c>
      <c r="C37" s="12">
        <v>3</v>
      </c>
      <c r="D37" s="8">
        <v>6.25</v>
      </c>
      <c r="E37" s="12">
        <v>0</v>
      </c>
      <c r="F37" s="8">
        <v>0</v>
      </c>
      <c r="G37" s="12">
        <v>3</v>
      </c>
      <c r="H37" s="8">
        <v>50</v>
      </c>
      <c r="I37" s="12">
        <v>0</v>
      </c>
    </row>
    <row r="38" spans="2:9" ht="15" customHeight="1" x14ac:dyDescent="0.2">
      <c r="B38" t="s">
        <v>132</v>
      </c>
      <c r="C38" s="12">
        <v>3</v>
      </c>
      <c r="D38" s="8">
        <v>6.25</v>
      </c>
      <c r="E38" s="12">
        <v>3</v>
      </c>
      <c r="F38" s="8">
        <v>9.3800000000000008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177</v>
      </c>
      <c r="C39" s="12">
        <v>1</v>
      </c>
      <c r="D39" s="8">
        <v>2.08</v>
      </c>
      <c r="E39" s="12">
        <v>1</v>
      </c>
      <c r="F39" s="8">
        <v>3.13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185</v>
      </c>
      <c r="C40" s="12">
        <v>1</v>
      </c>
      <c r="D40" s="8">
        <v>2.08</v>
      </c>
      <c r="E40" s="12">
        <v>1</v>
      </c>
      <c r="F40" s="8">
        <v>3.13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186</v>
      </c>
      <c r="C41" s="12">
        <v>1</v>
      </c>
      <c r="D41" s="8">
        <v>2.08</v>
      </c>
      <c r="E41" s="12">
        <v>0</v>
      </c>
      <c r="F41" s="8">
        <v>0</v>
      </c>
      <c r="G41" s="12">
        <v>1</v>
      </c>
      <c r="H41" s="8">
        <v>16.670000000000002</v>
      </c>
      <c r="I41" s="12">
        <v>0</v>
      </c>
    </row>
    <row r="42" spans="2:9" ht="15" customHeight="1" x14ac:dyDescent="0.2">
      <c r="B42" t="s">
        <v>129</v>
      </c>
      <c r="C42" s="12">
        <v>1</v>
      </c>
      <c r="D42" s="8">
        <v>2.08</v>
      </c>
      <c r="E42" s="12">
        <v>0</v>
      </c>
      <c r="F42" s="8">
        <v>0</v>
      </c>
      <c r="G42" s="12">
        <v>1</v>
      </c>
      <c r="H42" s="8">
        <v>16.670000000000002</v>
      </c>
      <c r="I42" s="12">
        <v>0</v>
      </c>
    </row>
    <row r="44" spans="2:9" ht="15" customHeight="1" x14ac:dyDescent="0.2">
      <c r="B44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95A0-BB8A-4E84-80AD-925F5A62B38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71</v>
      </c>
      <c r="D6" s="8">
        <v>10.6</v>
      </c>
      <c r="E6" s="12">
        <v>36</v>
      </c>
      <c r="F6" s="8">
        <v>8.2200000000000006</v>
      </c>
      <c r="G6" s="12">
        <v>35</v>
      </c>
      <c r="H6" s="8">
        <v>16.28</v>
      </c>
      <c r="I6" s="12">
        <v>0</v>
      </c>
    </row>
    <row r="7" spans="2:9" ht="15" customHeight="1" x14ac:dyDescent="0.2">
      <c r="B7" t="s">
        <v>46</v>
      </c>
      <c r="C7" s="12">
        <v>76</v>
      </c>
      <c r="D7" s="8">
        <v>11.34</v>
      </c>
      <c r="E7" s="12">
        <v>40</v>
      </c>
      <c r="F7" s="8">
        <v>9.1300000000000008</v>
      </c>
      <c r="G7" s="12">
        <v>36</v>
      </c>
      <c r="H7" s="8">
        <v>16.739999999999998</v>
      </c>
      <c r="I7" s="12">
        <v>0</v>
      </c>
    </row>
    <row r="8" spans="2:9" ht="15" customHeight="1" x14ac:dyDescent="0.2">
      <c r="B8" t="s">
        <v>47</v>
      </c>
      <c r="C8" s="12">
        <v>3</v>
      </c>
      <c r="D8" s="8">
        <v>0.45</v>
      </c>
      <c r="E8" s="12">
        <v>0</v>
      </c>
      <c r="F8" s="8">
        <v>0</v>
      </c>
      <c r="G8" s="12">
        <v>3</v>
      </c>
      <c r="H8" s="8">
        <v>1.4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0.47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0.6</v>
      </c>
      <c r="E10" s="12">
        <v>0</v>
      </c>
      <c r="F10" s="8">
        <v>0</v>
      </c>
      <c r="G10" s="12">
        <v>4</v>
      </c>
      <c r="H10" s="8">
        <v>1.86</v>
      </c>
      <c r="I10" s="12">
        <v>0</v>
      </c>
    </row>
    <row r="11" spans="2:9" ht="15" customHeight="1" x14ac:dyDescent="0.2">
      <c r="B11" t="s">
        <v>50</v>
      </c>
      <c r="C11" s="12">
        <v>184</v>
      </c>
      <c r="D11" s="8">
        <v>27.46</v>
      </c>
      <c r="E11" s="12">
        <v>118</v>
      </c>
      <c r="F11" s="8">
        <v>26.94</v>
      </c>
      <c r="G11" s="12">
        <v>64</v>
      </c>
      <c r="H11" s="8">
        <v>29.77</v>
      </c>
      <c r="I11" s="12">
        <v>2</v>
      </c>
    </row>
    <row r="12" spans="2:9" ht="15" customHeight="1" x14ac:dyDescent="0.2">
      <c r="B12" t="s">
        <v>51</v>
      </c>
      <c r="C12" s="12">
        <v>6</v>
      </c>
      <c r="D12" s="8">
        <v>0.9</v>
      </c>
      <c r="E12" s="12">
        <v>0</v>
      </c>
      <c r="F12" s="8">
        <v>0</v>
      </c>
      <c r="G12" s="12">
        <v>6</v>
      </c>
      <c r="H12" s="8">
        <v>2.79</v>
      </c>
      <c r="I12" s="12">
        <v>0</v>
      </c>
    </row>
    <row r="13" spans="2:9" ht="15" customHeight="1" x14ac:dyDescent="0.2">
      <c r="B13" t="s">
        <v>52</v>
      </c>
      <c r="C13" s="12">
        <v>28</v>
      </c>
      <c r="D13" s="8">
        <v>4.18</v>
      </c>
      <c r="E13" s="12">
        <v>16</v>
      </c>
      <c r="F13" s="8">
        <v>3.65</v>
      </c>
      <c r="G13" s="12">
        <v>12</v>
      </c>
      <c r="H13" s="8">
        <v>5.58</v>
      </c>
      <c r="I13" s="12">
        <v>0</v>
      </c>
    </row>
    <row r="14" spans="2:9" ht="15" customHeight="1" x14ac:dyDescent="0.2">
      <c r="B14" t="s">
        <v>53</v>
      </c>
      <c r="C14" s="12">
        <v>29</v>
      </c>
      <c r="D14" s="8">
        <v>4.33</v>
      </c>
      <c r="E14" s="12">
        <v>14</v>
      </c>
      <c r="F14" s="8">
        <v>3.2</v>
      </c>
      <c r="G14" s="12">
        <v>14</v>
      </c>
      <c r="H14" s="8">
        <v>6.51</v>
      </c>
      <c r="I14" s="12">
        <v>0</v>
      </c>
    </row>
    <row r="15" spans="2:9" ht="15" customHeight="1" x14ac:dyDescent="0.2">
      <c r="B15" t="s">
        <v>54</v>
      </c>
      <c r="C15" s="12">
        <v>81</v>
      </c>
      <c r="D15" s="8">
        <v>12.09</v>
      </c>
      <c r="E15" s="12">
        <v>71</v>
      </c>
      <c r="F15" s="8">
        <v>16.21</v>
      </c>
      <c r="G15" s="12">
        <v>8</v>
      </c>
      <c r="H15" s="8">
        <v>3.72</v>
      </c>
      <c r="I15" s="12">
        <v>1</v>
      </c>
    </row>
    <row r="16" spans="2:9" ht="15" customHeight="1" x14ac:dyDescent="0.2">
      <c r="B16" t="s">
        <v>55</v>
      </c>
      <c r="C16" s="12">
        <v>109</v>
      </c>
      <c r="D16" s="8">
        <v>16.27</v>
      </c>
      <c r="E16" s="12">
        <v>94</v>
      </c>
      <c r="F16" s="8">
        <v>21.46</v>
      </c>
      <c r="G16" s="12">
        <v>13</v>
      </c>
      <c r="H16" s="8">
        <v>6.05</v>
      </c>
      <c r="I16" s="12">
        <v>1</v>
      </c>
    </row>
    <row r="17" spans="2:9" ht="15" customHeight="1" x14ac:dyDescent="0.2">
      <c r="B17" t="s">
        <v>56</v>
      </c>
      <c r="C17" s="12">
        <v>26</v>
      </c>
      <c r="D17" s="8">
        <v>3.88</v>
      </c>
      <c r="E17" s="12">
        <v>18</v>
      </c>
      <c r="F17" s="8">
        <v>4.1100000000000003</v>
      </c>
      <c r="G17" s="12">
        <v>2</v>
      </c>
      <c r="H17" s="8">
        <v>0.93</v>
      </c>
      <c r="I17" s="12">
        <v>1</v>
      </c>
    </row>
    <row r="18" spans="2:9" ht="15" customHeight="1" x14ac:dyDescent="0.2">
      <c r="B18" t="s">
        <v>57</v>
      </c>
      <c r="C18" s="12">
        <v>24</v>
      </c>
      <c r="D18" s="8">
        <v>3.58</v>
      </c>
      <c r="E18" s="12">
        <v>13</v>
      </c>
      <c r="F18" s="8">
        <v>2.97</v>
      </c>
      <c r="G18" s="12">
        <v>8</v>
      </c>
      <c r="H18" s="8">
        <v>3.72</v>
      </c>
      <c r="I18" s="12">
        <v>1</v>
      </c>
    </row>
    <row r="19" spans="2:9" ht="15" customHeight="1" x14ac:dyDescent="0.2">
      <c r="B19" t="s">
        <v>58</v>
      </c>
      <c r="C19" s="12">
        <v>28</v>
      </c>
      <c r="D19" s="8">
        <v>4.18</v>
      </c>
      <c r="E19" s="12">
        <v>18</v>
      </c>
      <c r="F19" s="8">
        <v>4.1100000000000003</v>
      </c>
      <c r="G19" s="12">
        <v>9</v>
      </c>
      <c r="H19" s="8">
        <v>4.1900000000000004</v>
      </c>
      <c r="I19" s="12">
        <v>0</v>
      </c>
    </row>
    <row r="20" spans="2:9" ht="15" customHeight="1" x14ac:dyDescent="0.2">
      <c r="B20" s="9" t="s">
        <v>241</v>
      </c>
      <c r="C20" s="12">
        <f>SUM(LTBL_46392[総数／事業所数])</f>
        <v>670</v>
      </c>
      <c r="E20" s="12">
        <f>SUBTOTAL(109,LTBL_46392[個人／事業所数])</f>
        <v>438</v>
      </c>
      <c r="G20" s="12">
        <f>SUBTOTAL(109,LTBL_46392[法人／事業所数])</f>
        <v>215</v>
      </c>
      <c r="I20" s="12">
        <f>SUBTOTAL(109,LTBL_46392[法人以外の団体／事業所数])</f>
        <v>6</v>
      </c>
    </row>
    <row r="21" spans="2:9" ht="15" customHeight="1" x14ac:dyDescent="0.2">
      <c r="E21" s="11">
        <f>LTBL_46392[[#Totals],[個人／事業所数]]/LTBL_46392[[#Totals],[総数／事業所数]]</f>
        <v>0.65373134328358207</v>
      </c>
      <c r="G21" s="11">
        <f>LTBL_46392[[#Totals],[法人／事業所数]]/LTBL_46392[[#Totals],[総数／事業所数]]</f>
        <v>0.32089552238805968</v>
      </c>
      <c r="I21" s="11">
        <f>LTBL_46392[[#Totals],[法人以外の団体／事業所数]]/LTBL_46392[[#Totals],[総数／事業所数]]</f>
        <v>8.9552238805970154E-3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84</v>
      </c>
      <c r="D24" s="8">
        <v>12.54</v>
      </c>
      <c r="E24" s="12">
        <v>77</v>
      </c>
      <c r="F24" s="8">
        <v>17.579999999999998</v>
      </c>
      <c r="G24" s="12">
        <v>6</v>
      </c>
      <c r="H24" s="8">
        <v>2.79</v>
      </c>
      <c r="I24" s="12">
        <v>1</v>
      </c>
    </row>
    <row r="25" spans="2:9" ht="15" customHeight="1" x14ac:dyDescent="0.2">
      <c r="B25" t="s">
        <v>81</v>
      </c>
      <c r="C25" s="12">
        <v>66</v>
      </c>
      <c r="D25" s="8">
        <v>9.85</v>
      </c>
      <c r="E25" s="12">
        <v>64</v>
      </c>
      <c r="F25" s="8">
        <v>14.61</v>
      </c>
      <c r="G25" s="12">
        <v>2</v>
      </c>
      <c r="H25" s="8">
        <v>0.93</v>
      </c>
      <c r="I25" s="12">
        <v>0</v>
      </c>
    </row>
    <row r="26" spans="2:9" ht="15" customHeight="1" x14ac:dyDescent="0.2">
      <c r="B26" t="s">
        <v>75</v>
      </c>
      <c r="C26" s="12">
        <v>65</v>
      </c>
      <c r="D26" s="8">
        <v>9.6999999999999993</v>
      </c>
      <c r="E26" s="12">
        <v>36</v>
      </c>
      <c r="F26" s="8">
        <v>8.2200000000000006</v>
      </c>
      <c r="G26" s="12">
        <v>28</v>
      </c>
      <c r="H26" s="8">
        <v>13.02</v>
      </c>
      <c r="I26" s="12">
        <v>1</v>
      </c>
    </row>
    <row r="27" spans="2:9" ht="15" customHeight="1" x14ac:dyDescent="0.2">
      <c r="B27" t="s">
        <v>73</v>
      </c>
      <c r="C27" s="12">
        <v>50</v>
      </c>
      <c r="D27" s="8">
        <v>7.46</v>
      </c>
      <c r="E27" s="12">
        <v>42</v>
      </c>
      <c r="F27" s="8">
        <v>9.59</v>
      </c>
      <c r="G27" s="12">
        <v>7</v>
      </c>
      <c r="H27" s="8">
        <v>3.26</v>
      </c>
      <c r="I27" s="12">
        <v>1</v>
      </c>
    </row>
    <row r="28" spans="2:9" ht="15" customHeight="1" x14ac:dyDescent="0.2">
      <c r="B28" t="s">
        <v>67</v>
      </c>
      <c r="C28" s="12">
        <v>36</v>
      </c>
      <c r="D28" s="8">
        <v>5.37</v>
      </c>
      <c r="E28" s="12">
        <v>13</v>
      </c>
      <c r="F28" s="8">
        <v>2.97</v>
      </c>
      <c r="G28" s="12">
        <v>23</v>
      </c>
      <c r="H28" s="8">
        <v>10.7</v>
      </c>
      <c r="I28" s="12">
        <v>0</v>
      </c>
    </row>
    <row r="29" spans="2:9" ht="15" customHeight="1" x14ac:dyDescent="0.2">
      <c r="B29" t="s">
        <v>74</v>
      </c>
      <c r="C29" s="12">
        <v>31</v>
      </c>
      <c r="D29" s="8">
        <v>4.63</v>
      </c>
      <c r="E29" s="12">
        <v>22</v>
      </c>
      <c r="F29" s="8">
        <v>5.0199999999999996</v>
      </c>
      <c r="G29" s="12">
        <v>9</v>
      </c>
      <c r="H29" s="8">
        <v>4.1900000000000004</v>
      </c>
      <c r="I29" s="12">
        <v>0</v>
      </c>
    </row>
    <row r="30" spans="2:9" ht="15" customHeight="1" x14ac:dyDescent="0.2">
      <c r="B30" t="s">
        <v>83</v>
      </c>
      <c r="C30" s="12">
        <v>26</v>
      </c>
      <c r="D30" s="8">
        <v>3.88</v>
      </c>
      <c r="E30" s="12">
        <v>18</v>
      </c>
      <c r="F30" s="8">
        <v>4.1100000000000003</v>
      </c>
      <c r="G30" s="12">
        <v>2</v>
      </c>
      <c r="H30" s="8">
        <v>0.93</v>
      </c>
      <c r="I30" s="12">
        <v>1</v>
      </c>
    </row>
    <row r="31" spans="2:9" ht="15" customHeight="1" x14ac:dyDescent="0.2">
      <c r="B31" t="s">
        <v>90</v>
      </c>
      <c r="C31" s="12">
        <v>21</v>
      </c>
      <c r="D31" s="8">
        <v>3.13</v>
      </c>
      <c r="E31" s="12">
        <v>11</v>
      </c>
      <c r="F31" s="8">
        <v>2.5099999999999998</v>
      </c>
      <c r="G31" s="12">
        <v>10</v>
      </c>
      <c r="H31" s="8">
        <v>4.6500000000000004</v>
      </c>
      <c r="I31" s="12">
        <v>0</v>
      </c>
    </row>
    <row r="32" spans="2:9" ht="15" customHeight="1" x14ac:dyDescent="0.2">
      <c r="B32" t="s">
        <v>77</v>
      </c>
      <c r="C32" s="12">
        <v>21</v>
      </c>
      <c r="D32" s="8">
        <v>3.13</v>
      </c>
      <c r="E32" s="12">
        <v>14</v>
      </c>
      <c r="F32" s="8">
        <v>3.2</v>
      </c>
      <c r="G32" s="12">
        <v>7</v>
      </c>
      <c r="H32" s="8">
        <v>3.26</v>
      </c>
      <c r="I32" s="12">
        <v>0</v>
      </c>
    </row>
    <row r="33" spans="2:9" ht="15" customHeight="1" x14ac:dyDescent="0.2">
      <c r="B33" t="s">
        <v>68</v>
      </c>
      <c r="C33" s="12">
        <v>20</v>
      </c>
      <c r="D33" s="8">
        <v>2.99</v>
      </c>
      <c r="E33" s="12">
        <v>14</v>
      </c>
      <c r="F33" s="8">
        <v>3.2</v>
      </c>
      <c r="G33" s="12">
        <v>6</v>
      </c>
      <c r="H33" s="8">
        <v>2.79</v>
      </c>
      <c r="I33" s="12">
        <v>0</v>
      </c>
    </row>
    <row r="34" spans="2:9" ht="15" customHeight="1" x14ac:dyDescent="0.2">
      <c r="B34" t="s">
        <v>91</v>
      </c>
      <c r="C34" s="12">
        <v>20</v>
      </c>
      <c r="D34" s="8">
        <v>2.99</v>
      </c>
      <c r="E34" s="12">
        <v>15</v>
      </c>
      <c r="F34" s="8">
        <v>3.42</v>
      </c>
      <c r="G34" s="12">
        <v>4</v>
      </c>
      <c r="H34" s="8">
        <v>1.86</v>
      </c>
      <c r="I34" s="12">
        <v>0</v>
      </c>
    </row>
    <row r="35" spans="2:9" ht="15" customHeight="1" x14ac:dyDescent="0.2">
      <c r="B35" t="s">
        <v>86</v>
      </c>
      <c r="C35" s="12">
        <v>20</v>
      </c>
      <c r="D35" s="8">
        <v>2.99</v>
      </c>
      <c r="E35" s="12">
        <v>16</v>
      </c>
      <c r="F35" s="8">
        <v>3.65</v>
      </c>
      <c r="G35" s="12">
        <v>4</v>
      </c>
      <c r="H35" s="8">
        <v>1.86</v>
      </c>
      <c r="I35" s="12">
        <v>0</v>
      </c>
    </row>
    <row r="36" spans="2:9" ht="15" customHeight="1" x14ac:dyDescent="0.2">
      <c r="B36" t="s">
        <v>79</v>
      </c>
      <c r="C36" s="12">
        <v>18</v>
      </c>
      <c r="D36" s="8">
        <v>2.69</v>
      </c>
      <c r="E36" s="12">
        <v>4</v>
      </c>
      <c r="F36" s="8">
        <v>0.91</v>
      </c>
      <c r="G36" s="12">
        <v>13</v>
      </c>
      <c r="H36" s="8">
        <v>6.05</v>
      </c>
      <c r="I36" s="12">
        <v>0</v>
      </c>
    </row>
    <row r="37" spans="2:9" ht="15" customHeight="1" x14ac:dyDescent="0.2">
      <c r="B37" t="s">
        <v>72</v>
      </c>
      <c r="C37" s="12">
        <v>16</v>
      </c>
      <c r="D37" s="8">
        <v>2.39</v>
      </c>
      <c r="E37" s="12">
        <v>11</v>
      </c>
      <c r="F37" s="8">
        <v>2.5099999999999998</v>
      </c>
      <c r="G37" s="12">
        <v>5</v>
      </c>
      <c r="H37" s="8">
        <v>2.33</v>
      </c>
      <c r="I37" s="12">
        <v>0</v>
      </c>
    </row>
    <row r="38" spans="2:9" ht="15" customHeight="1" x14ac:dyDescent="0.2">
      <c r="B38" t="s">
        <v>69</v>
      </c>
      <c r="C38" s="12">
        <v>15</v>
      </c>
      <c r="D38" s="8">
        <v>2.2400000000000002</v>
      </c>
      <c r="E38" s="12">
        <v>9</v>
      </c>
      <c r="F38" s="8">
        <v>2.0499999999999998</v>
      </c>
      <c r="G38" s="12">
        <v>6</v>
      </c>
      <c r="H38" s="8">
        <v>2.79</v>
      </c>
      <c r="I38" s="12">
        <v>0</v>
      </c>
    </row>
    <row r="39" spans="2:9" ht="15" customHeight="1" x14ac:dyDescent="0.2">
      <c r="B39" t="s">
        <v>70</v>
      </c>
      <c r="C39" s="12">
        <v>13</v>
      </c>
      <c r="D39" s="8">
        <v>1.94</v>
      </c>
      <c r="E39" s="12">
        <v>10</v>
      </c>
      <c r="F39" s="8">
        <v>2.2799999999999998</v>
      </c>
      <c r="G39" s="12">
        <v>3</v>
      </c>
      <c r="H39" s="8">
        <v>1.4</v>
      </c>
      <c r="I39" s="12">
        <v>0</v>
      </c>
    </row>
    <row r="40" spans="2:9" ht="15" customHeight="1" x14ac:dyDescent="0.2">
      <c r="B40" t="s">
        <v>84</v>
      </c>
      <c r="C40" s="12">
        <v>13</v>
      </c>
      <c r="D40" s="8">
        <v>1.94</v>
      </c>
      <c r="E40" s="12">
        <v>13</v>
      </c>
      <c r="F40" s="8">
        <v>2.97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78</v>
      </c>
      <c r="C41" s="12">
        <v>11</v>
      </c>
      <c r="D41" s="8">
        <v>1.64</v>
      </c>
      <c r="E41" s="12">
        <v>10</v>
      </c>
      <c r="F41" s="8">
        <v>2.2799999999999998</v>
      </c>
      <c r="G41" s="12">
        <v>1</v>
      </c>
      <c r="H41" s="8">
        <v>0.47</v>
      </c>
      <c r="I41" s="12">
        <v>0</v>
      </c>
    </row>
    <row r="42" spans="2:9" ht="15" customHeight="1" x14ac:dyDescent="0.2">
      <c r="B42" t="s">
        <v>85</v>
      </c>
      <c r="C42" s="12">
        <v>11</v>
      </c>
      <c r="D42" s="8">
        <v>1.64</v>
      </c>
      <c r="E42" s="12">
        <v>0</v>
      </c>
      <c r="F42" s="8">
        <v>0</v>
      </c>
      <c r="G42" s="12">
        <v>8</v>
      </c>
      <c r="H42" s="8">
        <v>3.72</v>
      </c>
      <c r="I42" s="12">
        <v>1</v>
      </c>
    </row>
    <row r="43" spans="2:9" ht="15" customHeight="1" x14ac:dyDescent="0.2">
      <c r="B43" t="s">
        <v>104</v>
      </c>
      <c r="C43" s="12">
        <v>10</v>
      </c>
      <c r="D43" s="8">
        <v>1.49</v>
      </c>
      <c r="E43" s="12">
        <v>4</v>
      </c>
      <c r="F43" s="8">
        <v>0.91</v>
      </c>
      <c r="G43" s="12">
        <v>6</v>
      </c>
      <c r="H43" s="8">
        <v>2.79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36</v>
      </c>
      <c r="D47" s="8">
        <v>5.37</v>
      </c>
      <c r="E47" s="12">
        <v>35</v>
      </c>
      <c r="F47" s="8">
        <v>7.99</v>
      </c>
      <c r="G47" s="12">
        <v>1</v>
      </c>
      <c r="H47" s="8">
        <v>0.47</v>
      </c>
      <c r="I47" s="12">
        <v>0</v>
      </c>
    </row>
    <row r="48" spans="2:9" ht="15" customHeight="1" x14ac:dyDescent="0.2">
      <c r="B48" t="s">
        <v>139</v>
      </c>
      <c r="C48" s="12">
        <v>29</v>
      </c>
      <c r="D48" s="8">
        <v>4.33</v>
      </c>
      <c r="E48" s="12">
        <v>29</v>
      </c>
      <c r="F48" s="8">
        <v>6.62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129</v>
      </c>
      <c r="C49" s="12">
        <v>23</v>
      </c>
      <c r="D49" s="8">
        <v>3.43</v>
      </c>
      <c r="E49" s="12">
        <v>17</v>
      </c>
      <c r="F49" s="8">
        <v>3.88</v>
      </c>
      <c r="G49" s="12">
        <v>6</v>
      </c>
      <c r="H49" s="8">
        <v>2.79</v>
      </c>
      <c r="I49" s="12">
        <v>0</v>
      </c>
    </row>
    <row r="50" spans="2:9" ht="15" customHeight="1" x14ac:dyDescent="0.2">
      <c r="B50" t="s">
        <v>130</v>
      </c>
      <c r="C50" s="12">
        <v>23</v>
      </c>
      <c r="D50" s="8">
        <v>3.43</v>
      </c>
      <c r="E50" s="12">
        <v>19</v>
      </c>
      <c r="F50" s="8">
        <v>4.34</v>
      </c>
      <c r="G50" s="12">
        <v>4</v>
      </c>
      <c r="H50" s="8">
        <v>1.86</v>
      </c>
      <c r="I50" s="12">
        <v>0</v>
      </c>
    </row>
    <row r="51" spans="2:9" ht="15" customHeight="1" x14ac:dyDescent="0.2">
      <c r="B51" t="s">
        <v>137</v>
      </c>
      <c r="C51" s="12">
        <v>20</v>
      </c>
      <c r="D51" s="8">
        <v>2.99</v>
      </c>
      <c r="E51" s="12">
        <v>19</v>
      </c>
      <c r="F51" s="8">
        <v>4.34</v>
      </c>
      <c r="G51" s="12">
        <v>1</v>
      </c>
      <c r="H51" s="8">
        <v>0.47</v>
      </c>
      <c r="I51" s="12">
        <v>0</v>
      </c>
    </row>
    <row r="52" spans="2:9" ht="15" customHeight="1" x14ac:dyDescent="0.2">
      <c r="B52" t="s">
        <v>143</v>
      </c>
      <c r="C52" s="12">
        <v>20</v>
      </c>
      <c r="D52" s="8">
        <v>2.99</v>
      </c>
      <c r="E52" s="12">
        <v>16</v>
      </c>
      <c r="F52" s="8">
        <v>3.65</v>
      </c>
      <c r="G52" s="12">
        <v>4</v>
      </c>
      <c r="H52" s="8">
        <v>1.86</v>
      </c>
      <c r="I52" s="12">
        <v>0</v>
      </c>
    </row>
    <row r="53" spans="2:9" ht="15" customHeight="1" x14ac:dyDescent="0.2">
      <c r="B53" t="s">
        <v>134</v>
      </c>
      <c r="C53" s="12">
        <v>19</v>
      </c>
      <c r="D53" s="8">
        <v>2.84</v>
      </c>
      <c r="E53" s="12">
        <v>14</v>
      </c>
      <c r="F53" s="8">
        <v>3.2</v>
      </c>
      <c r="G53" s="12">
        <v>5</v>
      </c>
      <c r="H53" s="8">
        <v>2.33</v>
      </c>
      <c r="I53" s="12">
        <v>0</v>
      </c>
    </row>
    <row r="54" spans="2:9" ht="15" customHeight="1" x14ac:dyDescent="0.2">
      <c r="B54" t="s">
        <v>150</v>
      </c>
      <c r="C54" s="12">
        <v>17</v>
      </c>
      <c r="D54" s="8">
        <v>2.54</v>
      </c>
      <c r="E54" s="12">
        <v>11</v>
      </c>
      <c r="F54" s="8">
        <v>2.5099999999999998</v>
      </c>
      <c r="G54" s="12">
        <v>6</v>
      </c>
      <c r="H54" s="8">
        <v>2.79</v>
      </c>
      <c r="I54" s="12">
        <v>0</v>
      </c>
    </row>
    <row r="55" spans="2:9" ht="15" customHeight="1" x14ac:dyDescent="0.2">
      <c r="B55" t="s">
        <v>132</v>
      </c>
      <c r="C55" s="12">
        <v>15</v>
      </c>
      <c r="D55" s="8">
        <v>2.2400000000000002</v>
      </c>
      <c r="E55" s="12">
        <v>5</v>
      </c>
      <c r="F55" s="8">
        <v>1.1399999999999999</v>
      </c>
      <c r="G55" s="12">
        <v>10</v>
      </c>
      <c r="H55" s="8">
        <v>4.6500000000000004</v>
      </c>
      <c r="I55" s="12">
        <v>0</v>
      </c>
    </row>
    <row r="56" spans="2:9" ht="15" customHeight="1" x14ac:dyDescent="0.2">
      <c r="B56" t="s">
        <v>157</v>
      </c>
      <c r="C56" s="12">
        <v>14</v>
      </c>
      <c r="D56" s="8">
        <v>2.09</v>
      </c>
      <c r="E56" s="12">
        <v>9</v>
      </c>
      <c r="F56" s="8">
        <v>2.0499999999999998</v>
      </c>
      <c r="G56" s="12">
        <v>5</v>
      </c>
      <c r="H56" s="8">
        <v>2.33</v>
      </c>
      <c r="I56" s="12">
        <v>0</v>
      </c>
    </row>
    <row r="57" spans="2:9" ht="15" customHeight="1" x14ac:dyDescent="0.2">
      <c r="B57" t="s">
        <v>136</v>
      </c>
      <c r="C57" s="12">
        <v>13</v>
      </c>
      <c r="D57" s="8">
        <v>1.94</v>
      </c>
      <c r="E57" s="12">
        <v>13</v>
      </c>
      <c r="F57" s="8">
        <v>2.97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141</v>
      </c>
      <c r="C58" s="12">
        <v>13</v>
      </c>
      <c r="D58" s="8">
        <v>1.94</v>
      </c>
      <c r="E58" s="12">
        <v>12</v>
      </c>
      <c r="F58" s="8">
        <v>2.74</v>
      </c>
      <c r="G58" s="12">
        <v>1</v>
      </c>
      <c r="H58" s="8">
        <v>0.47</v>
      </c>
      <c r="I58" s="12">
        <v>0</v>
      </c>
    </row>
    <row r="59" spans="2:9" ht="15" customHeight="1" x14ac:dyDescent="0.2">
      <c r="B59" t="s">
        <v>133</v>
      </c>
      <c r="C59" s="12">
        <v>12</v>
      </c>
      <c r="D59" s="8">
        <v>1.79</v>
      </c>
      <c r="E59" s="12">
        <v>8</v>
      </c>
      <c r="F59" s="8">
        <v>1.83</v>
      </c>
      <c r="G59" s="12">
        <v>3</v>
      </c>
      <c r="H59" s="8">
        <v>1.4</v>
      </c>
      <c r="I59" s="12">
        <v>1</v>
      </c>
    </row>
    <row r="60" spans="2:9" ht="15" customHeight="1" x14ac:dyDescent="0.2">
      <c r="B60" t="s">
        <v>138</v>
      </c>
      <c r="C60" s="12">
        <v>12</v>
      </c>
      <c r="D60" s="8">
        <v>1.79</v>
      </c>
      <c r="E60" s="12">
        <v>12</v>
      </c>
      <c r="F60" s="8">
        <v>2.74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124</v>
      </c>
      <c r="C61" s="12">
        <v>11</v>
      </c>
      <c r="D61" s="8">
        <v>1.64</v>
      </c>
      <c r="E61" s="12">
        <v>0</v>
      </c>
      <c r="F61" s="8">
        <v>0</v>
      </c>
      <c r="G61" s="12">
        <v>11</v>
      </c>
      <c r="H61" s="8">
        <v>5.12</v>
      </c>
      <c r="I61" s="12">
        <v>0</v>
      </c>
    </row>
    <row r="62" spans="2:9" ht="15" customHeight="1" x14ac:dyDescent="0.2">
      <c r="B62" t="s">
        <v>135</v>
      </c>
      <c r="C62" s="12">
        <v>11</v>
      </c>
      <c r="D62" s="8">
        <v>1.64</v>
      </c>
      <c r="E62" s="12">
        <v>3</v>
      </c>
      <c r="F62" s="8">
        <v>0.68</v>
      </c>
      <c r="G62" s="12">
        <v>7</v>
      </c>
      <c r="H62" s="8">
        <v>3.26</v>
      </c>
      <c r="I62" s="12">
        <v>0</v>
      </c>
    </row>
    <row r="63" spans="2:9" ht="15" customHeight="1" x14ac:dyDescent="0.2">
      <c r="B63" t="s">
        <v>156</v>
      </c>
      <c r="C63" s="12">
        <v>11</v>
      </c>
      <c r="D63" s="8">
        <v>1.64</v>
      </c>
      <c r="E63" s="12">
        <v>10</v>
      </c>
      <c r="F63" s="8">
        <v>2.2799999999999998</v>
      </c>
      <c r="G63" s="12">
        <v>1</v>
      </c>
      <c r="H63" s="8">
        <v>0.47</v>
      </c>
      <c r="I63" s="12">
        <v>0</v>
      </c>
    </row>
    <row r="64" spans="2:9" ht="15" customHeight="1" x14ac:dyDescent="0.2">
      <c r="B64" t="s">
        <v>148</v>
      </c>
      <c r="C64" s="12">
        <v>11</v>
      </c>
      <c r="D64" s="8">
        <v>1.64</v>
      </c>
      <c r="E64" s="12">
        <v>11</v>
      </c>
      <c r="F64" s="8">
        <v>2.5099999999999998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126</v>
      </c>
      <c r="C65" s="12">
        <v>10</v>
      </c>
      <c r="D65" s="8">
        <v>1.49</v>
      </c>
      <c r="E65" s="12">
        <v>6</v>
      </c>
      <c r="F65" s="8">
        <v>1.37</v>
      </c>
      <c r="G65" s="12">
        <v>4</v>
      </c>
      <c r="H65" s="8">
        <v>1.86</v>
      </c>
      <c r="I65" s="12">
        <v>0</v>
      </c>
    </row>
    <row r="66" spans="2:9" ht="15" customHeight="1" x14ac:dyDescent="0.2">
      <c r="B66" t="s">
        <v>142</v>
      </c>
      <c r="C66" s="12">
        <v>10</v>
      </c>
      <c r="D66" s="8">
        <v>1.49</v>
      </c>
      <c r="E66" s="12">
        <v>10</v>
      </c>
      <c r="F66" s="8">
        <v>2.2799999999999998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9E56-8C2A-4B8E-A4EB-12E150C5D405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49</v>
      </c>
      <c r="D6" s="8">
        <v>18.559999999999999</v>
      </c>
      <c r="E6" s="12">
        <v>19</v>
      </c>
      <c r="F6" s="8">
        <v>12.34</v>
      </c>
      <c r="G6" s="12">
        <v>30</v>
      </c>
      <c r="H6" s="8">
        <v>29.13</v>
      </c>
      <c r="I6" s="12">
        <v>0</v>
      </c>
    </row>
    <row r="7" spans="2:9" ht="15" customHeight="1" x14ac:dyDescent="0.2">
      <c r="B7" t="s">
        <v>46</v>
      </c>
      <c r="C7" s="12">
        <v>36</v>
      </c>
      <c r="D7" s="8">
        <v>13.64</v>
      </c>
      <c r="E7" s="12">
        <v>13</v>
      </c>
      <c r="F7" s="8">
        <v>8.44</v>
      </c>
      <c r="G7" s="12">
        <v>21</v>
      </c>
      <c r="H7" s="8">
        <v>20.39</v>
      </c>
      <c r="I7" s="12">
        <v>2</v>
      </c>
    </row>
    <row r="8" spans="2:9" ht="15" customHeight="1" x14ac:dyDescent="0.2">
      <c r="B8" t="s">
        <v>47</v>
      </c>
      <c r="C8" s="12">
        <v>2</v>
      </c>
      <c r="D8" s="8">
        <v>0.76</v>
      </c>
      <c r="E8" s="12">
        <v>0</v>
      </c>
      <c r="F8" s="8">
        <v>0</v>
      </c>
      <c r="G8" s="12">
        <v>2</v>
      </c>
      <c r="H8" s="8">
        <v>1.94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0.97</v>
      </c>
      <c r="I9" s="12">
        <v>0</v>
      </c>
    </row>
    <row r="10" spans="2:9" ht="15" customHeight="1" x14ac:dyDescent="0.2">
      <c r="B10" t="s">
        <v>49</v>
      </c>
      <c r="C10" s="12">
        <v>7</v>
      </c>
      <c r="D10" s="8">
        <v>2.65</v>
      </c>
      <c r="E10" s="12">
        <v>3</v>
      </c>
      <c r="F10" s="8">
        <v>1.95</v>
      </c>
      <c r="G10" s="12">
        <v>4</v>
      </c>
      <c r="H10" s="8">
        <v>3.88</v>
      </c>
      <c r="I10" s="12">
        <v>0</v>
      </c>
    </row>
    <row r="11" spans="2:9" ht="15" customHeight="1" x14ac:dyDescent="0.2">
      <c r="B11" t="s">
        <v>50</v>
      </c>
      <c r="C11" s="12">
        <v>76</v>
      </c>
      <c r="D11" s="8">
        <v>28.79</v>
      </c>
      <c r="E11" s="12">
        <v>50</v>
      </c>
      <c r="F11" s="8">
        <v>32.47</v>
      </c>
      <c r="G11" s="12">
        <v>26</v>
      </c>
      <c r="H11" s="8">
        <v>25.24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0.97</v>
      </c>
      <c r="I12" s="12">
        <v>0</v>
      </c>
    </row>
    <row r="13" spans="2:9" ht="15" customHeight="1" x14ac:dyDescent="0.2">
      <c r="B13" t="s">
        <v>52</v>
      </c>
      <c r="C13" s="12">
        <v>5</v>
      </c>
      <c r="D13" s="8">
        <v>1.89</v>
      </c>
      <c r="E13" s="12">
        <v>3</v>
      </c>
      <c r="F13" s="8">
        <v>1.95</v>
      </c>
      <c r="G13" s="12">
        <v>2</v>
      </c>
      <c r="H13" s="8">
        <v>1.94</v>
      </c>
      <c r="I13" s="12">
        <v>0</v>
      </c>
    </row>
    <row r="14" spans="2:9" ht="15" customHeight="1" x14ac:dyDescent="0.2">
      <c r="B14" t="s">
        <v>53</v>
      </c>
      <c r="C14" s="12">
        <v>8</v>
      </c>
      <c r="D14" s="8">
        <v>3.03</v>
      </c>
      <c r="E14" s="12">
        <v>6</v>
      </c>
      <c r="F14" s="8">
        <v>3.9</v>
      </c>
      <c r="G14" s="12">
        <v>2</v>
      </c>
      <c r="H14" s="8">
        <v>1.94</v>
      </c>
      <c r="I14" s="12">
        <v>0</v>
      </c>
    </row>
    <row r="15" spans="2:9" ht="15" customHeight="1" x14ac:dyDescent="0.2">
      <c r="B15" t="s">
        <v>54</v>
      </c>
      <c r="C15" s="12">
        <v>26</v>
      </c>
      <c r="D15" s="8">
        <v>9.85</v>
      </c>
      <c r="E15" s="12">
        <v>22</v>
      </c>
      <c r="F15" s="8">
        <v>14.29</v>
      </c>
      <c r="G15" s="12">
        <v>4</v>
      </c>
      <c r="H15" s="8">
        <v>3.88</v>
      </c>
      <c r="I15" s="12">
        <v>0</v>
      </c>
    </row>
    <row r="16" spans="2:9" ht="15" customHeight="1" x14ac:dyDescent="0.2">
      <c r="B16" t="s">
        <v>55</v>
      </c>
      <c r="C16" s="12">
        <v>27</v>
      </c>
      <c r="D16" s="8">
        <v>10.23</v>
      </c>
      <c r="E16" s="12">
        <v>26</v>
      </c>
      <c r="F16" s="8">
        <v>16.88</v>
      </c>
      <c r="G16" s="12">
        <v>1</v>
      </c>
      <c r="H16" s="8">
        <v>0.97</v>
      </c>
      <c r="I16" s="12">
        <v>0</v>
      </c>
    </row>
    <row r="17" spans="2:9" ht="15" customHeight="1" x14ac:dyDescent="0.2">
      <c r="B17" t="s">
        <v>56</v>
      </c>
      <c r="C17" s="12">
        <v>3</v>
      </c>
      <c r="D17" s="8">
        <v>1.1399999999999999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7</v>
      </c>
      <c r="D18" s="8">
        <v>2.65</v>
      </c>
      <c r="E18" s="12">
        <v>3</v>
      </c>
      <c r="F18" s="8">
        <v>1.95</v>
      </c>
      <c r="G18" s="12">
        <v>2</v>
      </c>
      <c r="H18" s="8">
        <v>1.94</v>
      </c>
      <c r="I18" s="12">
        <v>0</v>
      </c>
    </row>
    <row r="19" spans="2:9" ht="15" customHeight="1" x14ac:dyDescent="0.2">
      <c r="B19" t="s">
        <v>58</v>
      </c>
      <c r="C19" s="12">
        <v>16</v>
      </c>
      <c r="D19" s="8">
        <v>6.06</v>
      </c>
      <c r="E19" s="12">
        <v>9</v>
      </c>
      <c r="F19" s="8">
        <v>5.84</v>
      </c>
      <c r="G19" s="12">
        <v>7</v>
      </c>
      <c r="H19" s="8">
        <v>6.8</v>
      </c>
      <c r="I19" s="12">
        <v>0</v>
      </c>
    </row>
    <row r="20" spans="2:9" ht="15" customHeight="1" x14ac:dyDescent="0.2">
      <c r="B20" s="9" t="s">
        <v>241</v>
      </c>
      <c r="C20" s="12">
        <f>SUM(LTBL_46404[総数／事業所数])</f>
        <v>264</v>
      </c>
      <c r="E20" s="12">
        <f>SUBTOTAL(109,LTBL_46404[個人／事業所数])</f>
        <v>154</v>
      </c>
      <c r="G20" s="12">
        <f>SUBTOTAL(109,LTBL_46404[法人／事業所数])</f>
        <v>103</v>
      </c>
      <c r="I20" s="12">
        <f>SUBTOTAL(109,LTBL_46404[法人以外の団体／事業所数])</f>
        <v>2</v>
      </c>
    </row>
    <row r="21" spans="2:9" ht="15" customHeight="1" x14ac:dyDescent="0.2">
      <c r="E21" s="11">
        <f>LTBL_46404[[#Totals],[個人／事業所数]]/LTBL_46404[[#Totals],[総数／事業所数]]</f>
        <v>0.58333333333333337</v>
      </c>
      <c r="G21" s="11">
        <f>LTBL_46404[[#Totals],[法人／事業所数]]/LTBL_46404[[#Totals],[総数／事業所数]]</f>
        <v>0.39015151515151514</v>
      </c>
      <c r="I21" s="11">
        <f>LTBL_46404[[#Totals],[法人以外の団体／事業所数]]/LTBL_46404[[#Totals],[総数／事業所数]]</f>
        <v>7.575757575757576E-3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33</v>
      </c>
      <c r="D24" s="8">
        <v>12.5</v>
      </c>
      <c r="E24" s="12">
        <v>29</v>
      </c>
      <c r="F24" s="8">
        <v>18.829999999999998</v>
      </c>
      <c r="G24" s="12">
        <v>4</v>
      </c>
      <c r="H24" s="8">
        <v>3.88</v>
      </c>
      <c r="I24" s="12">
        <v>0</v>
      </c>
    </row>
    <row r="25" spans="2:9" ht="15" customHeight="1" x14ac:dyDescent="0.2">
      <c r="B25" t="s">
        <v>67</v>
      </c>
      <c r="C25" s="12">
        <v>29</v>
      </c>
      <c r="D25" s="8">
        <v>10.98</v>
      </c>
      <c r="E25" s="12">
        <v>6</v>
      </c>
      <c r="F25" s="8">
        <v>3.9</v>
      </c>
      <c r="G25" s="12">
        <v>23</v>
      </c>
      <c r="H25" s="8">
        <v>22.33</v>
      </c>
      <c r="I25" s="12">
        <v>0</v>
      </c>
    </row>
    <row r="26" spans="2:9" ht="15" customHeight="1" x14ac:dyDescent="0.2">
      <c r="B26" t="s">
        <v>82</v>
      </c>
      <c r="C26" s="12">
        <v>24</v>
      </c>
      <c r="D26" s="8">
        <v>9.09</v>
      </c>
      <c r="E26" s="12">
        <v>24</v>
      </c>
      <c r="F26" s="8">
        <v>15.58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75</v>
      </c>
      <c r="C27" s="12">
        <v>22</v>
      </c>
      <c r="D27" s="8">
        <v>8.33</v>
      </c>
      <c r="E27" s="12">
        <v>13</v>
      </c>
      <c r="F27" s="8">
        <v>8.44</v>
      </c>
      <c r="G27" s="12">
        <v>9</v>
      </c>
      <c r="H27" s="8">
        <v>8.74</v>
      </c>
      <c r="I27" s="12">
        <v>0</v>
      </c>
    </row>
    <row r="28" spans="2:9" ht="15" customHeight="1" x14ac:dyDescent="0.2">
      <c r="B28" t="s">
        <v>81</v>
      </c>
      <c r="C28" s="12">
        <v>17</v>
      </c>
      <c r="D28" s="8">
        <v>6.44</v>
      </c>
      <c r="E28" s="12">
        <v>15</v>
      </c>
      <c r="F28" s="8">
        <v>9.74</v>
      </c>
      <c r="G28" s="12">
        <v>2</v>
      </c>
      <c r="H28" s="8">
        <v>1.94</v>
      </c>
      <c r="I28" s="12">
        <v>0</v>
      </c>
    </row>
    <row r="29" spans="2:9" ht="15" customHeight="1" x14ac:dyDescent="0.2">
      <c r="B29" t="s">
        <v>68</v>
      </c>
      <c r="C29" s="12">
        <v>13</v>
      </c>
      <c r="D29" s="8">
        <v>4.92</v>
      </c>
      <c r="E29" s="12">
        <v>10</v>
      </c>
      <c r="F29" s="8">
        <v>6.49</v>
      </c>
      <c r="G29" s="12">
        <v>3</v>
      </c>
      <c r="H29" s="8">
        <v>2.91</v>
      </c>
      <c r="I29" s="12">
        <v>0</v>
      </c>
    </row>
    <row r="30" spans="2:9" ht="15" customHeight="1" x14ac:dyDescent="0.2">
      <c r="B30" t="s">
        <v>70</v>
      </c>
      <c r="C30" s="12">
        <v>13</v>
      </c>
      <c r="D30" s="8">
        <v>4.92</v>
      </c>
      <c r="E30" s="12">
        <v>6</v>
      </c>
      <c r="F30" s="8">
        <v>3.9</v>
      </c>
      <c r="G30" s="12">
        <v>5</v>
      </c>
      <c r="H30" s="8">
        <v>4.8499999999999996</v>
      </c>
      <c r="I30" s="12">
        <v>2</v>
      </c>
    </row>
    <row r="31" spans="2:9" ht="15" customHeight="1" x14ac:dyDescent="0.2">
      <c r="B31" t="s">
        <v>90</v>
      </c>
      <c r="C31" s="12">
        <v>9</v>
      </c>
      <c r="D31" s="8">
        <v>3.41</v>
      </c>
      <c r="E31" s="12">
        <v>0</v>
      </c>
      <c r="F31" s="8">
        <v>0</v>
      </c>
      <c r="G31" s="12">
        <v>9</v>
      </c>
      <c r="H31" s="8">
        <v>8.74</v>
      </c>
      <c r="I31" s="12">
        <v>0</v>
      </c>
    </row>
    <row r="32" spans="2:9" ht="15" customHeight="1" x14ac:dyDescent="0.2">
      <c r="B32" t="s">
        <v>74</v>
      </c>
      <c r="C32" s="12">
        <v>9</v>
      </c>
      <c r="D32" s="8">
        <v>3.41</v>
      </c>
      <c r="E32" s="12">
        <v>7</v>
      </c>
      <c r="F32" s="8">
        <v>4.55</v>
      </c>
      <c r="G32" s="12">
        <v>2</v>
      </c>
      <c r="H32" s="8">
        <v>1.94</v>
      </c>
      <c r="I32" s="12">
        <v>0</v>
      </c>
    </row>
    <row r="33" spans="2:9" ht="15" customHeight="1" x14ac:dyDescent="0.2">
      <c r="B33" t="s">
        <v>69</v>
      </c>
      <c r="C33" s="12">
        <v>7</v>
      </c>
      <c r="D33" s="8">
        <v>2.65</v>
      </c>
      <c r="E33" s="12">
        <v>3</v>
      </c>
      <c r="F33" s="8">
        <v>1.95</v>
      </c>
      <c r="G33" s="12">
        <v>4</v>
      </c>
      <c r="H33" s="8">
        <v>3.88</v>
      </c>
      <c r="I33" s="12">
        <v>0</v>
      </c>
    </row>
    <row r="34" spans="2:9" ht="15" customHeight="1" x14ac:dyDescent="0.2">
      <c r="B34" t="s">
        <v>80</v>
      </c>
      <c r="C34" s="12">
        <v>7</v>
      </c>
      <c r="D34" s="8">
        <v>2.65</v>
      </c>
      <c r="E34" s="12">
        <v>7</v>
      </c>
      <c r="F34" s="8">
        <v>4.55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86</v>
      </c>
      <c r="C35" s="12">
        <v>7</v>
      </c>
      <c r="D35" s="8">
        <v>2.65</v>
      </c>
      <c r="E35" s="12">
        <v>6</v>
      </c>
      <c r="F35" s="8">
        <v>3.9</v>
      </c>
      <c r="G35" s="12">
        <v>1</v>
      </c>
      <c r="H35" s="8">
        <v>0.97</v>
      </c>
      <c r="I35" s="12">
        <v>0</v>
      </c>
    </row>
    <row r="36" spans="2:9" ht="15" customHeight="1" x14ac:dyDescent="0.2">
      <c r="B36" t="s">
        <v>110</v>
      </c>
      <c r="C36" s="12">
        <v>6</v>
      </c>
      <c r="D36" s="8">
        <v>2.27</v>
      </c>
      <c r="E36" s="12">
        <v>2</v>
      </c>
      <c r="F36" s="8">
        <v>1.3</v>
      </c>
      <c r="G36" s="12">
        <v>4</v>
      </c>
      <c r="H36" s="8">
        <v>3.88</v>
      </c>
      <c r="I36" s="12">
        <v>0</v>
      </c>
    </row>
    <row r="37" spans="2:9" ht="15" customHeight="1" x14ac:dyDescent="0.2">
      <c r="B37" t="s">
        <v>78</v>
      </c>
      <c r="C37" s="12">
        <v>5</v>
      </c>
      <c r="D37" s="8">
        <v>1.89</v>
      </c>
      <c r="E37" s="12">
        <v>4</v>
      </c>
      <c r="F37" s="8">
        <v>2.6</v>
      </c>
      <c r="G37" s="12">
        <v>1</v>
      </c>
      <c r="H37" s="8">
        <v>0.97</v>
      </c>
      <c r="I37" s="12">
        <v>0</v>
      </c>
    </row>
    <row r="38" spans="2:9" ht="15" customHeight="1" x14ac:dyDescent="0.2">
      <c r="B38" t="s">
        <v>98</v>
      </c>
      <c r="C38" s="12">
        <v>4</v>
      </c>
      <c r="D38" s="8">
        <v>1.52</v>
      </c>
      <c r="E38" s="12">
        <v>0</v>
      </c>
      <c r="F38" s="8">
        <v>0</v>
      </c>
      <c r="G38" s="12">
        <v>4</v>
      </c>
      <c r="H38" s="8">
        <v>3.88</v>
      </c>
      <c r="I38" s="12">
        <v>0</v>
      </c>
    </row>
    <row r="39" spans="2:9" ht="15" customHeight="1" x14ac:dyDescent="0.2">
      <c r="B39" t="s">
        <v>84</v>
      </c>
      <c r="C39" s="12">
        <v>4</v>
      </c>
      <c r="D39" s="8">
        <v>1.52</v>
      </c>
      <c r="E39" s="12">
        <v>3</v>
      </c>
      <c r="F39" s="8">
        <v>1.95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109</v>
      </c>
      <c r="C40" s="12">
        <v>3</v>
      </c>
      <c r="D40" s="8">
        <v>1.1399999999999999</v>
      </c>
      <c r="E40" s="12">
        <v>2</v>
      </c>
      <c r="F40" s="8">
        <v>1.3</v>
      </c>
      <c r="G40" s="12">
        <v>1</v>
      </c>
      <c r="H40" s="8">
        <v>0.97</v>
      </c>
      <c r="I40" s="12">
        <v>0</v>
      </c>
    </row>
    <row r="41" spans="2:9" ht="15" customHeight="1" x14ac:dyDescent="0.2">
      <c r="B41" t="s">
        <v>89</v>
      </c>
      <c r="C41" s="12">
        <v>3</v>
      </c>
      <c r="D41" s="8">
        <v>1.1399999999999999</v>
      </c>
      <c r="E41" s="12">
        <v>0</v>
      </c>
      <c r="F41" s="8">
        <v>0</v>
      </c>
      <c r="G41" s="12">
        <v>3</v>
      </c>
      <c r="H41" s="8">
        <v>2.91</v>
      </c>
      <c r="I41" s="12">
        <v>0</v>
      </c>
    </row>
    <row r="42" spans="2:9" ht="15" customHeight="1" x14ac:dyDescent="0.2">
      <c r="B42" t="s">
        <v>77</v>
      </c>
      <c r="C42" s="12">
        <v>3</v>
      </c>
      <c r="D42" s="8">
        <v>1.1399999999999999</v>
      </c>
      <c r="E42" s="12">
        <v>3</v>
      </c>
      <c r="F42" s="8">
        <v>1.95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83</v>
      </c>
      <c r="C43" s="12">
        <v>3</v>
      </c>
      <c r="D43" s="8">
        <v>1.1399999999999999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85</v>
      </c>
      <c r="C44" s="12">
        <v>3</v>
      </c>
      <c r="D44" s="8">
        <v>1.1399999999999999</v>
      </c>
      <c r="E44" s="12">
        <v>0</v>
      </c>
      <c r="F44" s="8">
        <v>0</v>
      </c>
      <c r="G44" s="12">
        <v>2</v>
      </c>
      <c r="H44" s="8">
        <v>1.94</v>
      </c>
      <c r="I44" s="12">
        <v>0</v>
      </c>
    </row>
    <row r="45" spans="2:9" ht="15" customHeight="1" x14ac:dyDescent="0.2">
      <c r="B45" t="s">
        <v>111</v>
      </c>
      <c r="C45" s="12">
        <v>3</v>
      </c>
      <c r="D45" s="8">
        <v>1.1399999999999999</v>
      </c>
      <c r="E45" s="12">
        <v>0</v>
      </c>
      <c r="F45" s="8">
        <v>0</v>
      </c>
      <c r="G45" s="12">
        <v>3</v>
      </c>
      <c r="H45" s="8">
        <v>2.91</v>
      </c>
      <c r="I45" s="12">
        <v>0</v>
      </c>
    </row>
    <row r="46" spans="2:9" ht="15" customHeight="1" x14ac:dyDescent="0.2">
      <c r="B46" t="s">
        <v>99</v>
      </c>
      <c r="C46" s="12">
        <v>3</v>
      </c>
      <c r="D46" s="8">
        <v>1.1399999999999999</v>
      </c>
      <c r="E46" s="12">
        <v>3</v>
      </c>
      <c r="F46" s="8">
        <v>1.95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95</v>
      </c>
      <c r="C47" s="12">
        <v>3</v>
      </c>
      <c r="D47" s="8">
        <v>1.1399999999999999</v>
      </c>
      <c r="E47" s="12">
        <v>0</v>
      </c>
      <c r="F47" s="8">
        <v>0</v>
      </c>
      <c r="G47" s="12">
        <v>3</v>
      </c>
      <c r="H47" s="8">
        <v>2.91</v>
      </c>
      <c r="I47" s="12">
        <v>0</v>
      </c>
    </row>
    <row r="50" spans="2:9" ht="33" customHeight="1" x14ac:dyDescent="0.2">
      <c r="B50" t="s">
        <v>243</v>
      </c>
      <c r="C50" s="10" t="s">
        <v>60</v>
      </c>
      <c r="D50" s="10" t="s">
        <v>61</v>
      </c>
      <c r="E50" s="10" t="s">
        <v>62</v>
      </c>
      <c r="F50" s="10" t="s">
        <v>63</v>
      </c>
      <c r="G50" s="10" t="s">
        <v>64</v>
      </c>
      <c r="H50" s="10" t="s">
        <v>65</v>
      </c>
      <c r="I50" s="10" t="s">
        <v>66</v>
      </c>
    </row>
    <row r="51" spans="2:9" ht="15" customHeight="1" x14ac:dyDescent="0.2">
      <c r="B51" t="s">
        <v>124</v>
      </c>
      <c r="C51" s="12">
        <v>14</v>
      </c>
      <c r="D51" s="8">
        <v>5.3</v>
      </c>
      <c r="E51" s="12">
        <v>1</v>
      </c>
      <c r="F51" s="8">
        <v>0.65</v>
      </c>
      <c r="G51" s="12">
        <v>13</v>
      </c>
      <c r="H51" s="8">
        <v>12.62</v>
      </c>
      <c r="I51" s="12">
        <v>0</v>
      </c>
    </row>
    <row r="52" spans="2:9" ht="15" customHeight="1" x14ac:dyDescent="0.2">
      <c r="B52" t="s">
        <v>127</v>
      </c>
      <c r="C52" s="12">
        <v>14</v>
      </c>
      <c r="D52" s="8">
        <v>5.3</v>
      </c>
      <c r="E52" s="12">
        <v>12</v>
      </c>
      <c r="F52" s="8">
        <v>7.79</v>
      </c>
      <c r="G52" s="12">
        <v>2</v>
      </c>
      <c r="H52" s="8">
        <v>1.94</v>
      </c>
      <c r="I52" s="12">
        <v>0</v>
      </c>
    </row>
    <row r="53" spans="2:9" ht="15" customHeight="1" x14ac:dyDescent="0.2">
      <c r="B53" t="s">
        <v>140</v>
      </c>
      <c r="C53" s="12">
        <v>13</v>
      </c>
      <c r="D53" s="8">
        <v>4.92</v>
      </c>
      <c r="E53" s="12">
        <v>13</v>
      </c>
      <c r="F53" s="8">
        <v>8.44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129</v>
      </c>
      <c r="C54" s="12">
        <v>9</v>
      </c>
      <c r="D54" s="8">
        <v>3.41</v>
      </c>
      <c r="E54" s="12">
        <v>8</v>
      </c>
      <c r="F54" s="8">
        <v>5.19</v>
      </c>
      <c r="G54" s="12">
        <v>1</v>
      </c>
      <c r="H54" s="8">
        <v>0.97</v>
      </c>
      <c r="I54" s="12">
        <v>0</v>
      </c>
    </row>
    <row r="55" spans="2:9" ht="15" customHeight="1" x14ac:dyDescent="0.2">
      <c r="B55" t="s">
        <v>132</v>
      </c>
      <c r="C55" s="12">
        <v>9</v>
      </c>
      <c r="D55" s="8">
        <v>3.41</v>
      </c>
      <c r="E55" s="12">
        <v>5</v>
      </c>
      <c r="F55" s="8">
        <v>3.25</v>
      </c>
      <c r="G55" s="12">
        <v>4</v>
      </c>
      <c r="H55" s="8">
        <v>3.88</v>
      </c>
      <c r="I55" s="12">
        <v>0</v>
      </c>
    </row>
    <row r="56" spans="2:9" ht="15" customHeight="1" x14ac:dyDescent="0.2">
      <c r="B56" t="s">
        <v>139</v>
      </c>
      <c r="C56" s="12">
        <v>9</v>
      </c>
      <c r="D56" s="8">
        <v>3.41</v>
      </c>
      <c r="E56" s="12">
        <v>9</v>
      </c>
      <c r="F56" s="8">
        <v>5.84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157</v>
      </c>
      <c r="C57" s="12">
        <v>7</v>
      </c>
      <c r="D57" s="8">
        <v>2.65</v>
      </c>
      <c r="E57" s="12">
        <v>4</v>
      </c>
      <c r="F57" s="8">
        <v>2.6</v>
      </c>
      <c r="G57" s="12">
        <v>3</v>
      </c>
      <c r="H57" s="8">
        <v>2.91</v>
      </c>
      <c r="I57" s="12">
        <v>0</v>
      </c>
    </row>
    <row r="58" spans="2:9" ht="15" customHeight="1" x14ac:dyDescent="0.2">
      <c r="B58" t="s">
        <v>158</v>
      </c>
      <c r="C58" s="12">
        <v>7</v>
      </c>
      <c r="D58" s="8">
        <v>2.65</v>
      </c>
      <c r="E58" s="12">
        <v>7</v>
      </c>
      <c r="F58" s="8">
        <v>4.55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143</v>
      </c>
      <c r="C59" s="12">
        <v>7</v>
      </c>
      <c r="D59" s="8">
        <v>2.65</v>
      </c>
      <c r="E59" s="12">
        <v>6</v>
      </c>
      <c r="F59" s="8">
        <v>3.9</v>
      </c>
      <c r="G59" s="12">
        <v>1</v>
      </c>
      <c r="H59" s="8">
        <v>0.97</v>
      </c>
      <c r="I59" s="12">
        <v>0</v>
      </c>
    </row>
    <row r="60" spans="2:9" ht="15" customHeight="1" x14ac:dyDescent="0.2">
      <c r="B60" t="s">
        <v>125</v>
      </c>
      <c r="C60" s="12">
        <v>6</v>
      </c>
      <c r="D60" s="8">
        <v>2.27</v>
      </c>
      <c r="E60" s="12">
        <v>1</v>
      </c>
      <c r="F60" s="8">
        <v>0.65</v>
      </c>
      <c r="G60" s="12">
        <v>5</v>
      </c>
      <c r="H60" s="8">
        <v>4.8499999999999996</v>
      </c>
      <c r="I60" s="12">
        <v>0</v>
      </c>
    </row>
    <row r="61" spans="2:9" ht="15" customHeight="1" x14ac:dyDescent="0.2">
      <c r="B61" t="s">
        <v>130</v>
      </c>
      <c r="C61" s="12">
        <v>6</v>
      </c>
      <c r="D61" s="8">
        <v>2.27</v>
      </c>
      <c r="E61" s="12">
        <v>5</v>
      </c>
      <c r="F61" s="8">
        <v>3.25</v>
      </c>
      <c r="G61" s="12">
        <v>1</v>
      </c>
      <c r="H61" s="8">
        <v>0.97</v>
      </c>
      <c r="I61" s="12">
        <v>0</v>
      </c>
    </row>
    <row r="62" spans="2:9" ht="15" customHeight="1" x14ac:dyDescent="0.2">
      <c r="B62" t="s">
        <v>136</v>
      </c>
      <c r="C62" s="12">
        <v>6</v>
      </c>
      <c r="D62" s="8">
        <v>2.27</v>
      </c>
      <c r="E62" s="12">
        <v>5</v>
      </c>
      <c r="F62" s="8">
        <v>3.25</v>
      </c>
      <c r="G62" s="12">
        <v>1</v>
      </c>
      <c r="H62" s="8">
        <v>0.97</v>
      </c>
      <c r="I62" s="12">
        <v>0</v>
      </c>
    </row>
    <row r="63" spans="2:9" ht="15" customHeight="1" x14ac:dyDescent="0.2">
      <c r="B63" t="s">
        <v>192</v>
      </c>
      <c r="C63" s="12">
        <v>5</v>
      </c>
      <c r="D63" s="8">
        <v>1.89</v>
      </c>
      <c r="E63" s="12">
        <v>2</v>
      </c>
      <c r="F63" s="8">
        <v>1.3</v>
      </c>
      <c r="G63" s="12">
        <v>3</v>
      </c>
      <c r="H63" s="8">
        <v>2.91</v>
      </c>
      <c r="I63" s="12">
        <v>0</v>
      </c>
    </row>
    <row r="64" spans="2:9" ht="15" customHeight="1" x14ac:dyDescent="0.2">
      <c r="B64" t="s">
        <v>160</v>
      </c>
      <c r="C64" s="12">
        <v>5</v>
      </c>
      <c r="D64" s="8">
        <v>1.89</v>
      </c>
      <c r="E64" s="12">
        <v>5</v>
      </c>
      <c r="F64" s="8">
        <v>3.25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189</v>
      </c>
      <c r="C65" s="12">
        <v>4</v>
      </c>
      <c r="D65" s="8">
        <v>1.52</v>
      </c>
      <c r="E65" s="12">
        <v>3</v>
      </c>
      <c r="F65" s="8">
        <v>1.95</v>
      </c>
      <c r="G65" s="12">
        <v>1</v>
      </c>
      <c r="H65" s="8">
        <v>0.97</v>
      </c>
      <c r="I65" s="12">
        <v>0</v>
      </c>
    </row>
    <row r="66" spans="2:9" ht="15" customHeight="1" x14ac:dyDescent="0.2">
      <c r="B66" t="s">
        <v>126</v>
      </c>
      <c r="C66" s="12">
        <v>4</v>
      </c>
      <c r="D66" s="8">
        <v>1.52</v>
      </c>
      <c r="E66" s="12">
        <v>2</v>
      </c>
      <c r="F66" s="8">
        <v>1.3</v>
      </c>
      <c r="G66" s="12">
        <v>2</v>
      </c>
      <c r="H66" s="8">
        <v>1.94</v>
      </c>
      <c r="I66" s="12">
        <v>0</v>
      </c>
    </row>
    <row r="67" spans="2:9" ht="15" customHeight="1" x14ac:dyDescent="0.2">
      <c r="B67" t="s">
        <v>149</v>
      </c>
      <c r="C67" s="12">
        <v>4</v>
      </c>
      <c r="D67" s="8">
        <v>1.52</v>
      </c>
      <c r="E67" s="12">
        <v>1</v>
      </c>
      <c r="F67" s="8">
        <v>0.65</v>
      </c>
      <c r="G67" s="12">
        <v>2</v>
      </c>
      <c r="H67" s="8">
        <v>1.94</v>
      </c>
      <c r="I67" s="12">
        <v>1</v>
      </c>
    </row>
    <row r="68" spans="2:9" ht="15" customHeight="1" x14ac:dyDescent="0.2">
      <c r="B68" t="s">
        <v>190</v>
      </c>
      <c r="C68" s="12">
        <v>4</v>
      </c>
      <c r="D68" s="8">
        <v>1.52</v>
      </c>
      <c r="E68" s="12">
        <v>4</v>
      </c>
      <c r="F68" s="8">
        <v>2.6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179</v>
      </c>
      <c r="C69" s="12">
        <v>4</v>
      </c>
      <c r="D69" s="8">
        <v>1.52</v>
      </c>
      <c r="E69" s="12">
        <v>0</v>
      </c>
      <c r="F69" s="8">
        <v>0</v>
      </c>
      <c r="G69" s="12">
        <v>4</v>
      </c>
      <c r="H69" s="8">
        <v>3.88</v>
      </c>
      <c r="I69" s="12">
        <v>0</v>
      </c>
    </row>
    <row r="70" spans="2:9" ht="15" customHeight="1" x14ac:dyDescent="0.2">
      <c r="B70" t="s">
        <v>191</v>
      </c>
      <c r="C70" s="12">
        <v>4</v>
      </c>
      <c r="D70" s="8">
        <v>1.52</v>
      </c>
      <c r="E70" s="12">
        <v>0</v>
      </c>
      <c r="F70" s="8">
        <v>0</v>
      </c>
      <c r="G70" s="12">
        <v>4</v>
      </c>
      <c r="H70" s="8">
        <v>3.88</v>
      </c>
      <c r="I70" s="12">
        <v>0</v>
      </c>
    </row>
    <row r="71" spans="2:9" ht="15" customHeight="1" x14ac:dyDescent="0.2">
      <c r="B71" t="s">
        <v>133</v>
      </c>
      <c r="C71" s="12">
        <v>4</v>
      </c>
      <c r="D71" s="8">
        <v>1.52</v>
      </c>
      <c r="E71" s="12">
        <v>2</v>
      </c>
      <c r="F71" s="8">
        <v>1.3</v>
      </c>
      <c r="G71" s="12">
        <v>2</v>
      </c>
      <c r="H71" s="8">
        <v>1.94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B19A-6A6A-4C5B-BD7C-E14A0682F7FF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38</v>
      </c>
      <c r="D6" s="8">
        <v>13.29</v>
      </c>
      <c r="E6" s="12">
        <v>9</v>
      </c>
      <c r="F6" s="8">
        <v>5.08</v>
      </c>
      <c r="G6" s="12">
        <v>29</v>
      </c>
      <c r="H6" s="8">
        <v>27.62</v>
      </c>
      <c r="I6" s="12">
        <v>0</v>
      </c>
    </row>
    <row r="7" spans="2:9" ht="15" customHeight="1" x14ac:dyDescent="0.2">
      <c r="B7" t="s">
        <v>46</v>
      </c>
      <c r="C7" s="12">
        <v>29</v>
      </c>
      <c r="D7" s="8">
        <v>10.14</v>
      </c>
      <c r="E7" s="12">
        <v>17</v>
      </c>
      <c r="F7" s="8">
        <v>9.6</v>
      </c>
      <c r="G7" s="12">
        <v>12</v>
      </c>
      <c r="H7" s="8">
        <v>11.43</v>
      </c>
      <c r="I7" s="12">
        <v>0</v>
      </c>
    </row>
    <row r="8" spans="2:9" ht="15" customHeight="1" x14ac:dyDescent="0.2">
      <c r="B8" t="s">
        <v>47</v>
      </c>
      <c r="C8" s="12">
        <v>3</v>
      </c>
      <c r="D8" s="8">
        <v>1.05</v>
      </c>
      <c r="E8" s="12">
        <v>0</v>
      </c>
      <c r="F8" s="8">
        <v>0</v>
      </c>
      <c r="G8" s="12">
        <v>2</v>
      </c>
      <c r="H8" s="8">
        <v>1.9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1.4</v>
      </c>
      <c r="E10" s="12">
        <v>1</v>
      </c>
      <c r="F10" s="8">
        <v>0.56000000000000005</v>
      </c>
      <c r="G10" s="12">
        <v>2</v>
      </c>
      <c r="H10" s="8">
        <v>1.9</v>
      </c>
      <c r="I10" s="12">
        <v>1</v>
      </c>
    </row>
    <row r="11" spans="2:9" ht="15" customHeight="1" x14ac:dyDescent="0.2">
      <c r="B11" t="s">
        <v>50</v>
      </c>
      <c r="C11" s="12">
        <v>90</v>
      </c>
      <c r="D11" s="8">
        <v>31.47</v>
      </c>
      <c r="E11" s="12">
        <v>53</v>
      </c>
      <c r="F11" s="8">
        <v>29.94</v>
      </c>
      <c r="G11" s="12">
        <v>37</v>
      </c>
      <c r="H11" s="8">
        <v>35.24</v>
      </c>
      <c r="I11" s="12">
        <v>0</v>
      </c>
    </row>
    <row r="12" spans="2:9" ht="15" customHeight="1" x14ac:dyDescent="0.2">
      <c r="B12" t="s">
        <v>51</v>
      </c>
      <c r="C12" s="12">
        <v>2</v>
      </c>
      <c r="D12" s="8">
        <v>0.7</v>
      </c>
      <c r="E12" s="12">
        <v>1</v>
      </c>
      <c r="F12" s="8">
        <v>0.56000000000000005</v>
      </c>
      <c r="G12" s="12">
        <v>1</v>
      </c>
      <c r="H12" s="8">
        <v>0.95</v>
      </c>
      <c r="I12" s="12">
        <v>0</v>
      </c>
    </row>
    <row r="13" spans="2:9" ht="15" customHeight="1" x14ac:dyDescent="0.2">
      <c r="B13" t="s">
        <v>52</v>
      </c>
      <c r="C13" s="12">
        <v>8</v>
      </c>
      <c r="D13" s="8">
        <v>2.8</v>
      </c>
      <c r="E13" s="12">
        <v>6</v>
      </c>
      <c r="F13" s="8">
        <v>3.39</v>
      </c>
      <c r="G13" s="12">
        <v>2</v>
      </c>
      <c r="H13" s="8">
        <v>1.9</v>
      </c>
      <c r="I13" s="12">
        <v>0</v>
      </c>
    </row>
    <row r="14" spans="2:9" ht="15" customHeight="1" x14ac:dyDescent="0.2">
      <c r="B14" t="s">
        <v>53</v>
      </c>
      <c r="C14" s="12">
        <v>11</v>
      </c>
      <c r="D14" s="8">
        <v>3.85</v>
      </c>
      <c r="E14" s="12">
        <v>9</v>
      </c>
      <c r="F14" s="8">
        <v>5.08</v>
      </c>
      <c r="G14" s="12">
        <v>2</v>
      </c>
      <c r="H14" s="8">
        <v>1.9</v>
      </c>
      <c r="I14" s="12">
        <v>0</v>
      </c>
    </row>
    <row r="15" spans="2:9" ht="15" customHeight="1" x14ac:dyDescent="0.2">
      <c r="B15" t="s">
        <v>54</v>
      </c>
      <c r="C15" s="12">
        <v>29</v>
      </c>
      <c r="D15" s="8">
        <v>10.14</v>
      </c>
      <c r="E15" s="12">
        <v>22</v>
      </c>
      <c r="F15" s="8">
        <v>12.43</v>
      </c>
      <c r="G15" s="12">
        <v>6</v>
      </c>
      <c r="H15" s="8">
        <v>5.71</v>
      </c>
      <c r="I15" s="12">
        <v>0</v>
      </c>
    </row>
    <row r="16" spans="2:9" ht="15" customHeight="1" x14ac:dyDescent="0.2">
      <c r="B16" t="s">
        <v>55</v>
      </c>
      <c r="C16" s="12">
        <v>37</v>
      </c>
      <c r="D16" s="8">
        <v>12.94</v>
      </c>
      <c r="E16" s="12">
        <v>33</v>
      </c>
      <c r="F16" s="8">
        <v>18.64</v>
      </c>
      <c r="G16" s="12">
        <v>4</v>
      </c>
      <c r="H16" s="8">
        <v>3.81</v>
      </c>
      <c r="I16" s="12">
        <v>0</v>
      </c>
    </row>
    <row r="17" spans="2:9" ht="15" customHeight="1" x14ac:dyDescent="0.2">
      <c r="B17" t="s">
        <v>56</v>
      </c>
      <c r="C17" s="12">
        <v>14</v>
      </c>
      <c r="D17" s="8">
        <v>4.9000000000000004</v>
      </c>
      <c r="E17" s="12">
        <v>13</v>
      </c>
      <c r="F17" s="8">
        <v>7.34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13</v>
      </c>
      <c r="D18" s="8">
        <v>4.55</v>
      </c>
      <c r="E18" s="12">
        <v>8</v>
      </c>
      <c r="F18" s="8">
        <v>4.5199999999999996</v>
      </c>
      <c r="G18" s="12">
        <v>5</v>
      </c>
      <c r="H18" s="8">
        <v>4.76</v>
      </c>
      <c r="I18" s="12">
        <v>0</v>
      </c>
    </row>
    <row r="19" spans="2:9" ht="15" customHeight="1" x14ac:dyDescent="0.2">
      <c r="B19" t="s">
        <v>58</v>
      </c>
      <c r="C19" s="12">
        <v>8</v>
      </c>
      <c r="D19" s="8">
        <v>2.8</v>
      </c>
      <c r="E19" s="12">
        <v>5</v>
      </c>
      <c r="F19" s="8">
        <v>2.82</v>
      </c>
      <c r="G19" s="12">
        <v>3</v>
      </c>
      <c r="H19" s="8">
        <v>2.86</v>
      </c>
      <c r="I19" s="12">
        <v>0</v>
      </c>
    </row>
    <row r="20" spans="2:9" ht="15" customHeight="1" x14ac:dyDescent="0.2">
      <c r="B20" s="9" t="s">
        <v>241</v>
      </c>
      <c r="C20" s="12">
        <f>SUM(LTBL_46452[総数／事業所数])</f>
        <v>286</v>
      </c>
      <c r="E20" s="12">
        <f>SUBTOTAL(109,LTBL_46452[個人／事業所数])</f>
        <v>177</v>
      </c>
      <c r="G20" s="12">
        <f>SUBTOTAL(109,LTBL_46452[法人／事業所数])</f>
        <v>105</v>
      </c>
      <c r="I20" s="12">
        <f>SUBTOTAL(109,LTBL_46452[法人以外の団体／事業所数])</f>
        <v>1</v>
      </c>
    </row>
    <row r="21" spans="2:9" ht="15" customHeight="1" x14ac:dyDescent="0.2">
      <c r="E21" s="11">
        <f>LTBL_46452[[#Totals],[個人／事業所数]]/LTBL_46452[[#Totals],[総数／事業所数]]</f>
        <v>0.61888111888111885</v>
      </c>
      <c r="G21" s="11">
        <f>LTBL_46452[[#Totals],[法人／事業所数]]/LTBL_46452[[#Totals],[総数／事業所数]]</f>
        <v>0.36713286713286714</v>
      </c>
      <c r="I21" s="11">
        <f>LTBL_46452[[#Totals],[法人以外の団体／事業所数]]/LTBL_46452[[#Totals],[総数／事業所数]]</f>
        <v>3.4965034965034965E-3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75</v>
      </c>
      <c r="C24" s="12">
        <v>31</v>
      </c>
      <c r="D24" s="8">
        <v>10.84</v>
      </c>
      <c r="E24" s="12">
        <v>14</v>
      </c>
      <c r="F24" s="8">
        <v>7.91</v>
      </c>
      <c r="G24" s="12">
        <v>17</v>
      </c>
      <c r="H24" s="8">
        <v>16.190000000000001</v>
      </c>
      <c r="I24" s="12">
        <v>0</v>
      </c>
    </row>
    <row r="25" spans="2:9" ht="15" customHeight="1" x14ac:dyDescent="0.2">
      <c r="B25" t="s">
        <v>82</v>
      </c>
      <c r="C25" s="12">
        <v>29</v>
      </c>
      <c r="D25" s="8">
        <v>10.14</v>
      </c>
      <c r="E25" s="12">
        <v>28</v>
      </c>
      <c r="F25" s="8">
        <v>15.82</v>
      </c>
      <c r="G25" s="12">
        <v>1</v>
      </c>
      <c r="H25" s="8">
        <v>0.95</v>
      </c>
      <c r="I25" s="12">
        <v>0</v>
      </c>
    </row>
    <row r="26" spans="2:9" ht="15" customHeight="1" x14ac:dyDescent="0.2">
      <c r="B26" t="s">
        <v>81</v>
      </c>
      <c r="C26" s="12">
        <v>24</v>
      </c>
      <c r="D26" s="8">
        <v>8.39</v>
      </c>
      <c r="E26" s="12">
        <v>20</v>
      </c>
      <c r="F26" s="8">
        <v>11.3</v>
      </c>
      <c r="G26" s="12">
        <v>4</v>
      </c>
      <c r="H26" s="8">
        <v>3.81</v>
      </c>
      <c r="I26" s="12">
        <v>0</v>
      </c>
    </row>
    <row r="27" spans="2:9" ht="15" customHeight="1" x14ac:dyDescent="0.2">
      <c r="B27" t="s">
        <v>73</v>
      </c>
      <c r="C27" s="12">
        <v>23</v>
      </c>
      <c r="D27" s="8">
        <v>8.0399999999999991</v>
      </c>
      <c r="E27" s="12">
        <v>20</v>
      </c>
      <c r="F27" s="8">
        <v>11.3</v>
      </c>
      <c r="G27" s="12">
        <v>3</v>
      </c>
      <c r="H27" s="8">
        <v>2.86</v>
      </c>
      <c r="I27" s="12">
        <v>0</v>
      </c>
    </row>
    <row r="28" spans="2:9" ht="15" customHeight="1" x14ac:dyDescent="0.2">
      <c r="B28" t="s">
        <v>67</v>
      </c>
      <c r="C28" s="12">
        <v>21</v>
      </c>
      <c r="D28" s="8">
        <v>7.34</v>
      </c>
      <c r="E28" s="12">
        <v>0</v>
      </c>
      <c r="F28" s="8">
        <v>0</v>
      </c>
      <c r="G28" s="12">
        <v>21</v>
      </c>
      <c r="H28" s="8">
        <v>20</v>
      </c>
      <c r="I28" s="12">
        <v>0</v>
      </c>
    </row>
    <row r="29" spans="2:9" ht="15" customHeight="1" x14ac:dyDescent="0.2">
      <c r="B29" t="s">
        <v>74</v>
      </c>
      <c r="C29" s="12">
        <v>16</v>
      </c>
      <c r="D29" s="8">
        <v>5.59</v>
      </c>
      <c r="E29" s="12">
        <v>10</v>
      </c>
      <c r="F29" s="8">
        <v>5.65</v>
      </c>
      <c r="G29" s="12">
        <v>6</v>
      </c>
      <c r="H29" s="8">
        <v>5.71</v>
      </c>
      <c r="I29" s="12">
        <v>0</v>
      </c>
    </row>
    <row r="30" spans="2:9" ht="15" customHeight="1" x14ac:dyDescent="0.2">
      <c r="B30" t="s">
        <v>83</v>
      </c>
      <c r="C30" s="12">
        <v>14</v>
      </c>
      <c r="D30" s="8">
        <v>4.9000000000000004</v>
      </c>
      <c r="E30" s="12">
        <v>13</v>
      </c>
      <c r="F30" s="8">
        <v>7.34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68</v>
      </c>
      <c r="C31" s="12">
        <v>12</v>
      </c>
      <c r="D31" s="8">
        <v>4.2</v>
      </c>
      <c r="E31" s="12">
        <v>5</v>
      </c>
      <c r="F31" s="8">
        <v>2.82</v>
      </c>
      <c r="G31" s="12">
        <v>7</v>
      </c>
      <c r="H31" s="8">
        <v>6.67</v>
      </c>
      <c r="I31" s="12">
        <v>0</v>
      </c>
    </row>
    <row r="32" spans="2:9" ht="15" customHeight="1" x14ac:dyDescent="0.2">
      <c r="B32" t="s">
        <v>84</v>
      </c>
      <c r="C32" s="12">
        <v>8</v>
      </c>
      <c r="D32" s="8">
        <v>2.8</v>
      </c>
      <c r="E32" s="12">
        <v>8</v>
      </c>
      <c r="F32" s="8">
        <v>4.5199999999999996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70</v>
      </c>
      <c r="C33" s="12">
        <v>7</v>
      </c>
      <c r="D33" s="8">
        <v>2.4500000000000002</v>
      </c>
      <c r="E33" s="12">
        <v>5</v>
      </c>
      <c r="F33" s="8">
        <v>2.82</v>
      </c>
      <c r="G33" s="12">
        <v>2</v>
      </c>
      <c r="H33" s="8">
        <v>1.9</v>
      </c>
      <c r="I33" s="12">
        <v>0</v>
      </c>
    </row>
    <row r="34" spans="2:9" ht="15" customHeight="1" x14ac:dyDescent="0.2">
      <c r="B34" t="s">
        <v>104</v>
      </c>
      <c r="C34" s="12">
        <v>6</v>
      </c>
      <c r="D34" s="8">
        <v>2.1</v>
      </c>
      <c r="E34" s="12">
        <v>2</v>
      </c>
      <c r="F34" s="8">
        <v>1.1299999999999999</v>
      </c>
      <c r="G34" s="12">
        <v>4</v>
      </c>
      <c r="H34" s="8">
        <v>3.81</v>
      </c>
      <c r="I34" s="12">
        <v>0</v>
      </c>
    </row>
    <row r="35" spans="2:9" ht="15" customHeight="1" x14ac:dyDescent="0.2">
      <c r="B35" t="s">
        <v>79</v>
      </c>
      <c r="C35" s="12">
        <v>6</v>
      </c>
      <c r="D35" s="8">
        <v>2.1</v>
      </c>
      <c r="E35" s="12">
        <v>5</v>
      </c>
      <c r="F35" s="8">
        <v>2.82</v>
      </c>
      <c r="G35" s="12">
        <v>1</v>
      </c>
      <c r="H35" s="8">
        <v>0.95</v>
      </c>
      <c r="I35" s="12">
        <v>0</v>
      </c>
    </row>
    <row r="36" spans="2:9" ht="15" customHeight="1" x14ac:dyDescent="0.2">
      <c r="B36" t="s">
        <v>91</v>
      </c>
      <c r="C36" s="12">
        <v>6</v>
      </c>
      <c r="D36" s="8">
        <v>2.1</v>
      </c>
      <c r="E36" s="12">
        <v>4</v>
      </c>
      <c r="F36" s="8">
        <v>2.2599999999999998</v>
      </c>
      <c r="G36" s="12">
        <v>2</v>
      </c>
      <c r="H36" s="8">
        <v>1.9</v>
      </c>
      <c r="I36" s="12">
        <v>0</v>
      </c>
    </row>
    <row r="37" spans="2:9" ht="15" customHeight="1" x14ac:dyDescent="0.2">
      <c r="B37" t="s">
        <v>69</v>
      </c>
      <c r="C37" s="12">
        <v>5</v>
      </c>
      <c r="D37" s="8">
        <v>1.75</v>
      </c>
      <c r="E37" s="12">
        <v>4</v>
      </c>
      <c r="F37" s="8">
        <v>2.2599999999999998</v>
      </c>
      <c r="G37" s="12">
        <v>1</v>
      </c>
      <c r="H37" s="8">
        <v>0.95</v>
      </c>
      <c r="I37" s="12">
        <v>0</v>
      </c>
    </row>
    <row r="38" spans="2:9" ht="15" customHeight="1" x14ac:dyDescent="0.2">
      <c r="B38" t="s">
        <v>87</v>
      </c>
      <c r="C38" s="12">
        <v>5</v>
      </c>
      <c r="D38" s="8">
        <v>1.75</v>
      </c>
      <c r="E38" s="12">
        <v>2</v>
      </c>
      <c r="F38" s="8">
        <v>1.1299999999999999</v>
      </c>
      <c r="G38" s="12">
        <v>3</v>
      </c>
      <c r="H38" s="8">
        <v>2.86</v>
      </c>
      <c r="I38" s="12">
        <v>0</v>
      </c>
    </row>
    <row r="39" spans="2:9" ht="15" customHeight="1" x14ac:dyDescent="0.2">
      <c r="B39" t="s">
        <v>78</v>
      </c>
      <c r="C39" s="12">
        <v>5</v>
      </c>
      <c r="D39" s="8">
        <v>1.75</v>
      </c>
      <c r="E39" s="12">
        <v>4</v>
      </c>
      <c r="F39" s="8">
        <v>2.2599999999999998</v>
      </c>
      <c r="G39" s="12">
        <v>1</v>
      </c>
      <c r="H39" s="8">
        <v>0.95</v>
      </c>
      <c r="I39" s="12">
        <v>0</v>
      </c>
    </row>
    <row r="40" spans="2:9" ht="15" customHeight="1" x14ac:dyDescent="0.2">
      <c r="B40" t="s">
        <v>85</v>
      </c>
      <c r="C40" s="12">
        <v>5</v>
      </c>
      <c r="D40" s="8">
        <v>1.75</v>
      </c>
      <c r="E40" s="12">
        <v>0</v>
      </c>
      <c r="F40" s="8">
        <v>0</v>
      </c>
      <c r="G40" s="12">
        <v>5</v>
      </c>
      <c r="H40" s="8">
        <v>4.76</v>
      </c>
      <c r="I40" s="12">
        <v>0</v>
      </c>
    </row>
    <row r="41" spans="2:9" ht="15" customHeight="1" x14ac:dyDescent="0.2">
      <c r="B41" t="s">
        <v>90</v>
      </c>
      <c r="C41" s="12">
        <v>4</v>
      </c>
      <c r="D41" s="8">
        <v>1.4</v>
      </c>
      <c r="E41" s="12">
        <v>2</v>
      </c>
      <c r="F41" s="8">
        <v>1.1299999999999999</v>
      </c>
      <c r="G41" s="12">
        <v>2</v>
      </c>
      <c r="H41" s="8">
        <v>1.9</v>
      </c>
      <c r="I41" s="12">
        <v>0</v>
      </c>
    </row>
    <row r="42" spans="2:9" ht="15" customHeight="1" x14ac:dyDescent="0.2">
      <c r="B42" t="s">
        <v>102</v>
      </c>
      <c r="C42" s="12">
        <v>4</v>
      </c>
      <c r="D42" s="8">
        <v>1.4</v>
      </c>
      <c r="E42" s="12">
        <v>4</v>
      </c>
      <c r="F42" s="8">
        <v>2.2599999999999998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72</v>
      </c>
      <c r="C43" s="12">
        <v>4</v>
      </c>
      <c r="D43" s="8">
        <v>1.4</v>
      </c>
      <c r="E43" s="12">
        <v>3</v>
      </c>
      <c r="F43" s="8">
        <v>1.69</v>
      </c>
      <c r="G43" s="12">
        <v>1</v>
      </c>
      <c r="H43" s="8">
        <v>0.95</v>
      </c>
      <c r="I43" s="12">
        <v>0</v>
      </c>
    </row>
    <row r="44" spans="2:9" ht="15" customHeight="1" x14ac:dyDescent="0.2">
      <c r="B44" t="s">
        <v>105</v>
      </c>
      <c r="C44" s="12">
        <v>4</v>
      </c>
      <c r="D44" s="8">
        <v>1.4</v>
      </c>
      <c r="E44" s="12">
        <v>3</v>
      </c>
      <c r="F44" s="8">
        <v>1.69</v>
      </c>
      <c r="G44" s="12">
        <v>1</v>
      </c>
      <c r="H44" s="8">
        <v>0.95</v>
      </c>
      <c r="I44" s="12">
        <v>0</v>
      </c>
    </row>
    <row r="45" spans="2:9" ht="15" customHeight="1" x14ac:dyDescent="0.2">
      <c r="B45" t="s">
        <v>77</v>
      </c>
      <c r="C45" s="12">
        <v>4</v>
      </c>
      <c r="D45" s="8">
        <v>1.4</v>
      </c>
      <c r="E45" s="12">
        <v>3</v>
      </c>
      <c r="F45" s="8">
        <v>1.69</v>
      </c>
      <c r="G45" s="12">
        <v>1</v>
      </c>
      <c r="H45" s="8">
        <v>0.95</v>
      </c>
      <c r="I45" s="12">
        <v>0</v>
      </c>
    </row>
    <row r="46" spans="2:9" ht="15" customHeight="1" x14ac:dyDescent="0.2">
      <c r="B46" t="s">
        <v>80</v>
      </c>
      <c r="C46" s="12">
        <v>4</v>
      </c>
      <c r="D46" s="8">
        <v>1.4</v>
      </c>
      <c r="E46" s="12">
        <v>2</v>
      </c>
      <c r="F46" s="8">
        <v>1.1299999999999999</v>
      </c>
      <c r="G46" s="12">
        <v>2</v>
      </c>
      <c r="H46" s="8">
        <v>1.9</v>
      </c>
      <c r="I46" s="12">
        <v>0</v>
      </c>
    </row>
    <row r="49" spans="2:9" ht="33" customHeight="1" x14ac:dyDescent="0.2">
      <c r="B49" t="s">
        <v>243</v>
      </c>
      <c r="C49" s="10" t="s">
        <v>60</v>
      </c>
      <c r="D49" s="10" t="s">
        <v>61</v>
      </c>
      <c r="E49" s="10" t="s">
        <v>62</v>
      </c>
      <c r="F49" s="10" t="s">
        <v>63</v>
      </c>
      <c r="G49" s="10" t="s">
        <v>64</v>
      </c>
      <c r="H49" s="10" t="s">
        <v>65</v>
      </c>
      <c r="I49" s="10" t="s">
        <v>66</v>
      </c>
    </row>
    <row r="50" spans="2:9" ht="15" customHeight="1" x14ac:dyDescent="0.2">
      <c r="B50" t="s">
        <v>130</v>
      </c>
      <c r="C50" s="12">
        <v>11</v>
      </c>
      <c r="D50" s="8">
        <v>3.85</v>
      </c>
      <c r="E50" s="12">
        <v>7</v>
      </c>
      <c r="F50" s="8">
        <v>3.95</v>
      </c>
      <c r="G50" s="12">
        <v>4</v>
      </c>
      <c r="H50" s="8">
        <v>3.81</v>
      </c>
      <c r="I50" s="12">
        <v>0</v>
      </c>
    </row>
    <row r="51" spans="2:9" ht="15" customHeight="1" x14ac:dyDescent="0.2">
      <c r="B51" t="s">
        <v>140</v>
      </c>
      <c r="C51" s="12">
        <v>11</v>
      </c>
      <c r="D51" s="8">
        <v>3.85</v>
      </c>
      <c r="E51" s="12">
        <v>11</v>
      </c>
      <c r="F51" s="8">
        <v>6.21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10</v>
      </c>
      <c r="D52" s="8">
        <v>3.5</v>
      </c>
      <c r="E52" s="12">
        <v>9</v>
      </c>
      <c r="F52" s="8">
        <v>5.08</v>
      </c>
      <c r="G52" s="12">
        <v>1</v>
      </c>
      <c r="H52" s="8">
        <v>0.95</v>
      </c>
      <c r="I52" s="12">
        <v>0</v>
      </c>
    </row>
    <row r="53" spans="2:9" ht="15" customHeight="1" x14ac:dyDescent="0.2">
      <c r="B53" t="s">
        <v>124</v>
      </c>
      <c r="C53" s="12">
        <v>9</v>
      </c>
      <c r="D53" s="8">
        <v>3.15</v>
      </c>
      <c r="E53" s="12">
        <v>0</v>
      </c>
      <c r="F53" s="8">
        <v>0</v>
      </c>
      <c r="G53" s="12">
        <v>9</v>
      </c>
      <c r="H53" s="8">
        <v>8.57</v>
      </c>
      <c r="I53" s="12">
        <v>0</v>
      </c>
    </row>
    <row r="54" spans="2:9" ht="15" customHeight="1" x14ac:dyDescent="0.2">
      <c r="B54" t="s">
        <v>132</v>
      </c>
      <c r="C54" s="12">
        <v>9</v>
      </c>
      <c r="D54" s="8">
        <v>3.15</v>
      </c>
      <c r="E54" s="12">
        <v>2</v>
      </c>
      <c r="F54" s="8">
        <v>1.1299999999999999</v>
      </c>
      <c r="G54" s="12">
        <v>7</v>
      </c>
      <c r="H54" s="8">
        <v>6.67</v>
      </c>
      <c r="I54" s="12">
        <v>0</v>
      </c>
    </row>
    <row r="55" spans="2:9" ht="15" customHeight="1" x14ac:dyDescent="0.2">
      <c r="B55" t="s">
        <v>141</v>
      </c>
      <c r="C55" s="12">
        <v>9</v>
      </c>
      <c r="D55" s="8">
        <v>3.15</v>
      </c>
      <c r="E55" s="12">
        <v>9</v>
      </c>
      <c r="F55" s="8">
        <v>5.08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133</v>
      </c>
      <c r="C56" s="12">
        <v>8</v>
      </c>
      <c r="D56" s="8">
        <v>2.8</v>
      </c>
      <c r="E56" s="12">
        <v>6</v>
      </c>
      <c r="F56" s="8">
        <v>3.39</v>
      </c>
      <c r="G56" s="12">
        <v>2</v>
      </c>
      <c r="H56" s="8">
        <v>1.9</v>
      </c>
      <c r="I56" s="12">
        <v>0</v>
      </c>
    </row>
    <row r="57" spans="2:9" ht="15" customHeight="1" x14ac:dyDescent="0.2">
      <c r="B57" t="s">
        <v>136</v>
      </c>
      <c r="C57" s="12">
        <v>8</v>
      </c>
      <c r="D57" s="8">
        <v>2.8</v>
      </c>
      <c r="E57" s="12">
        <v>6</v>
      </c>
      <c r="F57" s="8">
        <v>3.39</v>
      </c>
      <c r="G57" s="12">
        <v>2</v>
      </c>
      <c r="H57" s="8">
        <v>1.9</v>
      </c>
      <c r="I57" s="12">
        <v>0</v>
      </c>
    </row>
    <row r="58" spans="2:9" ht="15" customHeight="1" x14ac:dyDescent="0.2">
      <c r="B58" t="s">
        <v>196</v>
      </c>
      <c r="C58" s="12">
        <v>8</v>
      </c>
      <c r="D58" s="8">
        <v>2.8</v>
      </c>
      <c r="E58" s="12">
        <v>7</v>
      </c>
      <c r="F58" s="8">
        <v>3.95</v>
      </c>
      <c r="G58" s="12">
        <v>1</v>
      </c>
      <c r="H58" s="8">
        <v>0.95</v>
      </c>
      <c r="I58" s="12">
        <v>0</v>
      </c>
    </row>
    <row r="59" spans="2:9" ht="15" customHeight="1" x14ac:dyDescent="0.2">
      <c r="B59" t="s">
        <v>125</v>
      </c>
      <c r="C59" s="12">
        <v>7</v>
      </c>
      <c r="D59" s="8">
        <v>2.4500000000000002</v>
      </c>
      <c r="E59" s="12">
        <v>0</v>
      </c>
      <c r="F59" s="8">
        <v>0</v>
      </c>
      <c r="G59" s="12">
        <v>7</v>
      </c>
      <c r="H59" s="8">
        <v>6.67</v>
      </c>
      <c r="I59" s="12">
        <v>0</v>
      </c>
    </row>
    <row r="60" spans="2:9" ht="15" customHeight="1" x14ac:dyDescent="0.2">
      <c r="B60" t="s">
        <v>131</v>
      </c>
      <c r="C60" s="12">
        <v>7</v>
      </c>
      <c r="D60" s="8">
        <v>2.4500000000000002</v>
      </c>
      <c r="E60" s="12">
        <v>3</v>
      </c>
      <c r="F60" s="8">
        <v>1.69</v>
      </c>
      <c r="G60" s="12">
        <v>4</v>
      </c>
      <c r="H60" s="8">
        <v>3.81</v>
      </c>
      <c r="I60" s="12">
        <v>0</v>
      </c>
    </row>
    <row r="61" spans="2:9" ht="15" customHeight="1" x14ac:dyDescent="0.2">
      <c r="B61" t="s">
        <v>139</v>
      </c>
      <c r="C61" s="12">
        <v>7</v>
      </c>
      <c r="D61" s="8">
        <v>2.4500000000000002</v>
      </c>
      <c r="E61" s="12">
        <v>7</v>
      </c>
      <c r="F61" s="8">
        <v>3.95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193</v>
      </c>
      <c r="C62" s="12">
        <v>6</v>
      </c>
      <c r="D62" s="8">
        <v>2.1</v>
      </c>
      <c r="E62" s="12">
        <v>3</v>
      </c>
      <c r="F62" s="8">
        <v>1.69</v>
      </c>
      <c r="G62" s="12">
        <v>3</v>
      </c>
      <c r="H62" s="8">
        <v>2.86</v>
      </c>
      <c r="I62" s="12">
        <v>0</v>
      </c>
    </row>
    <row r="63" spans="2:9" ht="15" customHeight="1" x14ac:dyDescent="0.2">
      <c r="B63" t="s">
        <v>142</v>
      </c>
      <c r="C63" s="12">
        <v>6</v>
      </c>
      <c r="D63" s="8">
        <v>2.1</v>
      </c>
      <c r="E63" s="12">
        <v>6</v>
      </c>
      <c r="F63" s="8">
        <v>3.39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128</v>
      </c>
      <c r="C64" s="12">
        <v>5</v>
      </c>
      <c r="D64" s="8">
        <v>1.75</v>
      </c>
      <c r="E64" s="12">
        <v>4</v>
      </c>
      <c r="F64" s="8">
        <v>2.2599999999999998</v>
      </c>
      <c r="G64" s="12">
        <v>1</v>
      </c>
      <c r="H64" s="8">
        <v>0.95</v>
      </c>
      <c r="I64" s="12">
        <v>0</v>
      </c>
    </row>
    <row r="65" spans="2:9" ht="15" customHeight="1" x14ac:dyDescent="0.2">
      <c r="B65" t="s">
        <v>194</v>
      </c>
      <c r="C65" s="12">
        <v>4</v>
      </c>
      <c r="D65" s="8">
        <v>1.4</v>
      </c>
      <c r="E65" s="12">
        <v>1</v>
      </c>
      <c r="F65" s="8">
        <v>0.56000000000000005</v>
      </c>
      <c r="G65" s="12">
        <v>3</v>
      </c>
      <c r="H65" s="8">
        <v>2.86</v>
      </c>
      <c r="I65" s="12">
        <v>0</v>
      </c>
    </row>
    <row r="66" spans="2:9" ht="15" customHeight="1" x14ac:dyDescent="0.2">
      <c r="B66" t="s">
        <v>150</v>
      </c>
      <c r="C66" s="12">
        <v>4</v>
      </c>
      <c r="D66" s="8">
        <v>1.4</v>
      </c>
      <c r="E66" s="12">
        <v>2</v>
      </c>
      <c r="F66" s="8">
        <v>1.1299999999999999</v>
      </c>
      <c r="G66" s="12">
        <v>2</v>
      </c>
      <c r="H66" s="8">
        <v>1.9</v>
      </c>
      <c r="I66" s="12">
        <v>0</v>
      </c>
    </row>
    <row r="67" spans="2:9" ht="15" customHeight="1" x14ac:dyDescent="0.2">
      <c r="B67" t="s">
        <v>175</v>
      </c>
      <c r="C67" s="12">
        <v>4</v>
      </c>
      <c r="D67" s="8">
        <v>1.4</v>
      </c>
      <c r="E67" s="12">
        <v>1</v>
      </c>
      <c r="F67" s="8">
        <v>0.56000000000000005</v>
      </c>
      <c r="G67" s="12">
        <v>3</v>
      </c>
      <c r="H67" s="8">
        <v>2.86</v>
      </c>
      <c r="I67" s="12">
        <v>0</v>
      </c>
    </row>
    <row r="68" spans="2:9" ht="15" customHeight="1" x14ac:dyDescent="0.2">
      <c r="B68" t="s">
        <v>195</v>
      </c>
      <c r="C68" s="12">
        <v>4</v>
      </c>
      <c r="D68" s="8">
        <v>1.4</v>
      </c>
      <c r="E68" s="12">
        <v>4</v>
      </c>
      <c r="F68" s="8">
        <v>2.2599999999999998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127</v>
      </c>
      <c r="C69" s="12">
        <v>4</v>
      </c>
      <c r="D69" s="8">
        <v>1.4</v>
      </c>
      <c r="E69" s="12">
        <v>3</v>
      </c>
      <c r="F69" s="8">
        <v>1.69</v>
      </c>
      <c r="G69" s="12">
        <v>1</v>
      </c>
      <c r="H69" s="8">
        <v>0.95</v>
      </c>
      <c r="I69" s="12">
        <v>0</v>
      </c>
    </row>
    <row r="70" spans="2:9" ht="15" customHeight="1" x14ac:dyDescent="0.2">
      <c r="B70" t="s">
        <v>147</v>
      </c>
      <c r="C70" s="12">
        <v>4</v>
      </c>
      <c r="D70" s="8">
        <v>1.4</v>
      </c>
      <c r="E70" s="12">
        <v>2</v>
      </c>
      <c r="F70" s="8">
        <v>1.1299999999999999</v>
      </c>
      <c r="G70" s="12">
        <v>2</v>
      </c>
      <c r="H70" s="8">
        <v>1.9</v>
      </c>
      <c r="I70" s="12">
        <v>0</v>
      </c>
    </row>
    <row r="71" spans="2:9" ht="15" customHeight="1" x14ac:dyDescent="0.2">
      <c r="B71" t="s">
        <v>168</v>
      </c>
      <c r="C71" s="12">
        <v>4</v>
      </c>
      <c r="D71" s="8">
        <v>1.4</v>
      </c>
      <c r="E71" s="12">
        <v>3</v>
      </c>
      <c r="F71" s="8">
        <v>1.69</v>
      </c>
      <c r="G71" s="12">
        <v>1</v>
      </c>
      <c r="H71" s="8">
        <v>0.95</v>
      </c>
      <c r="I71" s="12">
        <v>0</v>
      </c>
    </row>
    <row r="72" spans="2:9" ht="15" customHeight="1" x14ac:dyDescent="0.2">
      <c r="B72" t="s">
        <v>134</v>
      </c>
      <c r="C72" s="12">
        <v>4</v>
      </c>
      <c r="D72" s="8">
        <v>1.4</v>
      </c>
      <c r="E72" s="12">
        <v>3</v>
      </c>
      <c r="F72" s="8">
        <v>1.69</v>
      </c>
      <c r="G72" s="12">
        <v>1</v>
      </c>
      <c r="H72" s="8">
        <v>0.95</v>
      </c>
      <c r="I72" s="12">
        <v>0</v>
      </c>
    </row>
    <row r="73" spans="2:9" ht="15" customHeight="1" x14ac:dyDescent="0.2">
      <c r="B73" t="s">
        <v>158</v>
      </c>
      <c r="C73" s="12">
        <v>4</v>
      </c>
      <c r="D73" s="8">
        <v>1.4</v>
      </c>
      <c r="E73" s="12">
        <v>2</v>
      </c>
      <c r="F73" s="8">
        <v>1.1299999999999999</v>
      </c>
      <c r="G73" s="12">
        <v>2</v>
      </c>
      <c r="H73" s="8">
        <v>1.9</v>
      </c>
      <c r="I73" s="12">
        <v>0</v>
      </c>
    </row>
    <row r="74" spans="2:9" ht="15" customHeight="1" x14ac:dyDescent="0.2">
      <c r="B74" t="s">
        <v>156</v>
      </c>
      <c r="C74" s="12">
        <v>4</v>
      </c>
      <c r="D74" s="8">
        <v>1.4</v>
      </c>
      <c r="E74" s="12">
        <v>3</v>
      </c>
      <c r="F74" s="8">
        <v>1.69</v>
      </c>
      <c r="G74" s="12">
        <v>1</v>
      </c>
      <c r="H74" s="8">
        <v>0.95</v>
      </c>
      <c r="I74" s="12">
        <v>0</v>
      </c>
    </row>
    <row r="75" spans="2:9" ht="15" customHeight="1" x14ac:dyDescent="0.2">
      <c r="B75" t="s">
        <v>167</v>
      </c>
      <c r="C75" s="12">
        <v>4</v>
      </c>
      <c r="D75" s="8">
        <v>1.4</v>
      </c>
      <c r="E75" s="12">
        <v>4</v>
      </c>
      <c r="F75" s="8">
        <v>2.2599999999999998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166</v>
      </c>
      <c r="C76" s="12">
        <v>4</v>
      </c>
      <c r="D76" s="8">
        <v>1.4</v>
      </c>
      <c r="E76" s="12">
        <v>4</v>
      </c>
      <c r="F76" s="8">
        <v>2.2599999999999998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3CFA-32AC-467F-9385-8B1E1D5EE7FE}">
  <sheetPr>
    <pageSetUpPr fitToPage="1"/>
  </sheetPr>
  <dimension ref="A1:I100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122</v>
      </c>
      <c r="B1" s="3" t="s">
        <v>123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  <c r="I1" s="7" t="s">
        <v>66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81</v>
      </c>
      <c r="C3" s="4">
        <v>4648</v>
      </c>
      <c r="D3" s="8">
        <v>11.1</v>
      </c>
      <c r="E3" s="4">
        <v>4096</v>
      </c>
      <c r="F3" s="8">
        <v>17.78</v>
      </c>
      <c r="G3" s="4">
        <v>550</v>
      </c>
      <c r="H3" s="8">
        <v>3.02</v>
      </c>
      <c r="I3" s="4">
        <v>2</v>
      </c>
    </row>
    <row r="4" spans="1:9" x14ac:dyDescent="0.2">
      <c r="A4" s="2">
        <v>2</v>
      </c>
      <c r="B4" s="1" t="s">
        <v>82</v>
      </c>
      <c r="C4" s="4">
        <v>4522</v>
      </c>
      <c r="D4" s="8">
        <v>10.8</v>
      </c>
      <c r="E4" s="4">
        <v>4046</v>
      </c>
      <c r="F4" s="8">
        <v>17.57</v>
      </c>
      <c r="G4" s="4">
        <v>470</v>
      </c>
      <c r="H4" s="8">
        <v>2.58</v>
      </c>
      <c r="I4" s="4">
        <v>5</v>
      </c>
    </row>
    <row r="5" spans="1:9" x14ac:dyDescent="0.2">
      <c r="A5" s="2">
        <v>3</v>
      </c>
      <c r="B5" s="1" t="s">
        <v>75</v>
      </c>
      <c r="C5" s="4">
        <v>3424</v>
      </c>
      <c r="D5" s="8">
        <v>8.18</v>
      </c>
      <c r="E5" s="4">
        <v>1672</v>
      </c>
      <c r="F5" s="8">
        <v>7.26</v>
      </c>
      <c r="G5" s="4">
        <v>1718</v>
      </c>
      <c r="H5" s="8">
        <v>9.4499999999999993</v>
      </c>
      <c r="I5" s="4">
        <v>33</v>
      </c>
    </row>
    <row r="6" spans="1:9" x14ac:dyDescent="0.2">
      <c r="A6" s="2">
        <v>4</v>
      </c>
      <c r="B6" s="1" t="s">
        <v>73</v>
      </c>
      <c r="C6" s="4">
        <v>2869</v>
      </c>
      <c r="D6" s="8">
        <v>6.85</v>
      </c>
      <c r="E6" s="4">
        <v>2096</v>
      </c>
      <c r="F6" s="8">
        <v>9.1</v>
      </c>
      <c r="G6" s="4">
        <v>745</v>
      </c>
      <c r="H6" s="8">
        <v>4.0999999999999996</v>
      </c>
      <c r="I6" s="4">
        <v>27</v>
      </c>
    </row>
    <row r="7" spans="1:9" x14ac:dyDescent="0.2">
      <c r="A7" s="2">
        <v>5</v>
      </c>
      <c r="B7" s="1" t="s">
        <v>67</v>
      </c>
      <c r="C7" s="4">
        <v>2283</v>
      </c>
      <c r="D7" s="8">
        <v>5.45</v>
      </c>
      <c r="E7" s="4">
        <v>395</v>
      </c>
      <c r="F7" s="8">
        <v>1.71</v>
      </c>
      <c r="G7" s="4">
        <v>1888</v>
      </c>
      <c r="H7" s="8">
        <v>10.38</v>
      </c>
      <c r="I7" s="4">
        <v>0</v>
      </c>
    </row>
    <row r="8" spans="1:9" x14ac:dyDescent="0.2">
      <c r="A8" s="2">
        <v>6</v>
      </c>
      <c r="B8" s="1" t="s">
        <v>77</v>
      </c>
      <c r="C8" s="4">
        <v>1666</v>
      </c>
      <c r="D8" s="8">
        <v>3.98</v>
      </c>
      <c r="E8" s="4">
        <v>626</v>
      </c>
      <c r="F8" s="8">
        <v>2.72</v>
      </c>
      <c r="G8" s="4">
        <v>1030</v>
      </c>
      <c r="H8" s="8">
        <v>5.66</v>
      </c>
      <c r="I8" s="4">
        <v>0</v>
      </c>
    </row>
    <row r="9" spans="1:9" x14ac:dyDescent="0.2">
      <c r="A9" s="2">
        <v>7</v>
      </c>
      <c r="B9" s="1" t="s">
        <v>74</v>
      </c>
      <c r="C9" s="4">
        <v>1574</v>
      </c>
      <c r="D9" s="8">
        <v>3.76</v>
      </c>
      <c r="E9" s="4">
        <v>983</v>
      </c>
      <c r="F9" s="8">
        <v>4.2699999999999996</v>
      </c>
      <c r="G9" s="4">
        <v>591</v>
      </c>
      <c r="H9" s="8">
        <v>3.25</v>
      </c>
      <c r="I9" s="4">
        <v>0</v>
      </c>
    </row>
    <row r="10" spans="1:9" x14ac:dyDescent="0.2">
      <c r="A10" s="2">
        <v>8</v>
      </c>
      <c r="B10" s="1" t="s">
        <v>84</v>
      </c>
      <c r="C10" s="4">
        <v>1444</v>
      </c>
      <c r="D10" s="8">
        <v>3.45</v>
      </c>
      <c r="E10" s="4">
        <v>1271</v>
      </c>
      <c r="F10" s="8">
        <v>5.52</v>
      </c>
      <c r="G10" s="4">
        <v>170</v>
      </c>
      <c r="H10" s="8">
        <v>0.93</v>
      </c>
      <c r="I10" s="4">
        <v>0</v>
      </c>
    </row>
    <row r="11" spans="1:9" x14ac:dyDescent="0.2">
      <c r="A11" s="2">
        <v>9</v>
      </c>
      <c r="B11" s="1" t="s">
        <v>83</v>
      </c>
      <c r="C11" s="4">
        <v>1432</v>
      </c>
      <c r="D11" s="8">
        <v>3.42</v>
      </c>
      <c r="E11" s="4">
        <v>949</v>
      </c>
      <c r="F11" s="8">
        <v>4.12</v>
      </c>
      <c r="G11" s="4">
        <v>252</v>
      </c>
      <c r="H11" s="8">
        <v>1.39</v>
      </c>
      <c r="I11" s="4">
        <v>26</v>
      </c>
    </row>
    <row r="12" spans="1:9" x14ac:dyDescent="0.2">
      <c r="A12" s="2">
        <v>10</v>
      </c>
      <c r="B12" s="1" t="s">
        <v>68</v>
      </c>
      <c r="C12" s="4">
        <v>1431</v>
      </c>
      <c r="D12" s="8">
        <v>3.42</v>
      </c>
      <c r="E12" s="4">
        <v>611</v>
      </c>
      <c r="F12" s="8">
        <v>2.65</v>
      </c>
      <c r="G12" s="4">
        <v>820</v>
      </c>
      <c r="H12" s="8">
        <v>4.51</v>
      </c>
      <c r="I12" s="4">
        <v>0</v>
      </c>
    </row>
    <row r="13" spans="1:9" x14ac:dyDescent="0.2">
      <c r="A13" s="2">
        <v>11</v>
      </c>
      <c r="B13" s="1" t="s">
        <v>69</v>
      </c>
      <c r="C13" s="4">
        <v>1226</v>
      </c>
      <c r="D13" s="8">
        <v>2.93</v>
      </c>
      <c r="E13" s="4">
        <v>335</v>
      </c>
      <c r="F13" s="8">
        <v>1.45</v>
      </c>
      <c r="G13" s="4">
        <v>891</v>
      </c>
      <c r="H13" s="8">
        <v>4.9000000000000004</v>
      </c>
      <c r="I13" s="4">
        <v>0</v>
      </c>
    </row>
    <row r="14" spans="1:9" x14ac:dyDescent="0.2">
      <c r="A14" s="2">
        <v>12</v>
      </c>
      <c r="B14" s="1" t="s">
        <v>78</v>
      </c>
      <c r="C14" s="4">
        <v>1063</v>
      </c>
      <c r="D14" s="8">
        <v>2.54</v>
      </c>
      <c r="E14" s="4">
        <v>768</v>
      </c>
      <c r="F14" s="8">
        <v>3.33</v>
      </c>
      <c r="G14" s="4">
        <v>295</v>
      </c>
      <c r="H14" s="8">
        <v>1.62</v>
      </c>
      <c r="I14" s="4">
        <v>0</v>
      </c>
    </row>
    <row r="15" spans="1:9" x14ac:dyDescent="0.2">
      <c r="A15" s="2">
        <v>13</v>
      </c>
      <c r="B15" s="1" t="s">
        <v>79</v>
      </c>
      <c r="C15" s="4">
        <v>999</v>
      </c>
      <c r="D15" s="8">
        <v>2.39</v>
      </c>
      <c r="E15" s="4">
        <v>407</v>
      </c>
      <c r="F15" s="8">
        <v>1.77</v>
      </c>
      <c r="G15" s="4">
        <v>576</v>
      </c>
      <c r="H15" s="8">
        <v>3.17</v>
      </c>
      <c r="I15" s="4">
        <v>2</v>
      </c>
    </row>
    <row r="16" spans="1:9" x14ac:dyDescent="0.2">
      <c r="A16" s="2">
        <v>14</v>
      </c>
      <c r="B16" s="1" t="s">
        <v>72</v>
      </c>
      <c r="C16" s="4">
        <v>951</v>
      </c>
      <c r="D16" s="8">
        <v>2.27</v>
      </c>
      <c r="E16" s="4">
        <v>463</v>
      </c>
      <c r="F16" s="8">
        <v>2.0099999999999998</v>
      </c>
      <c r="G16" s="4">
        <v>478</v>
      </c>
      <c r="H16" s="8">
        <v>2.63</v>
      </c>
      <c r="I16" s="4">
        <v>10</v>
      </c>
    </row>
    <row r="17" spans="1:9" x14ac:dyDescent="0.2">
      <c r="A17" s="2">
        <v>15</v>
      </c>
      <c r="B17" s="1" t="s">
        <v>86</v>
      </c>
      <c r="C17" s="4">
        <v>847</v>
      </c>
      <c r="D17" s="8">
        <v>2.02</v>
      </c>
      <c r="E17" s="4">
        <v>691</v>
      </c>
      <c r="F17" s="8">
        <v>3</v>
      </c>
      <c r="G17" s="4">
        <v>155</v>
      </c>
      <c r="H17" s="8">
        <v>0.85</v>
      </c>
      <c r="I17" s="4">
        <v>0</v>
      </c>
    </row>
    <row r="18" spans="1:9" x14ac:dyDescent="0.2">
      <c r="A18" s="2">
        <v>16</v>
      </c>
      <c r="B18" s="1" t="s">
        <v>85</v>
      </c>
      <c r="C18" s="4">
        <v>723</v>
      </c>
      <c r="D18" s="8">
        <v>1.73</v>
      </c>
      <c r="E18" s="4">
        <v>14</v>
      </c>
      <c r="F18" s="8">
        <v>0.06</v>
      </c>
      <c r="G18" s="4">
        <v>627</v>
      </c>
      <c r="H18" s="8">
        <v>3.45</v>
      </c>
      <c r="I18" s="4">
        <v>26</v>
      </c>
    </row>
    <row r="19" spans="1:9" x14ac:dyDescent="0.2">
      <c r="A19" s="2">
        <v>17</v>
      </c>
      <c r="B19" s="1" t="s">
        <v>70</v>
      </c>
      <c r="C19" s="4">
        <v>670</v>
      </c>
      <c r="D19" s="8">
        <v>1.6</v>
      </c>
      <c r="E19" s="4">
        <v>292</v>
      </c>
      <c r="F19" s="8">
        <v>1.27</v>
      </c>
      <c r="G19" s="4">
        <v>370</v>
      </c>
      <c r="H19" s="8">
        <v>2.0299999999999998</v>
      </c>
      <c r="I19" s="4">
        <v>6</v>
      </c>
    </row>
    <row r="20" spans="1:9" x14ac:dyDescent="0.2">
      <c r="A20" s="2">
        <v>18</v>
      </c>
      <c r="B20" s="1" t="s">
        <v>76</v>
      </c>
      <c r="C20" s="4">
        <v>642</v>
      </c>
      <c r="D20" s="8">
        <v>1.53</v>
      </c>
      <c r="E20" s="4">
        <v>220</v>
      </c>
      <c r="F20" s="8">
        <v>0.96</v>
      </c>
      <c r="G20" s="4">
        <v>422</v>
      </c>
      <c r="H20" s="8">
        <v>2.3199999999999998</v>
      </c>
      <c r="I20" s="4">
        <v>0</v>
      </c>
    </row>
    <row r="21" spans="1:9" x14ac:dyDescent="0.2">
      <c r="A21" s="2">
        <v>19</v>
      </c>
      <c r="B21" s="1" t="s">
        <v>80</v>
      </c>
      <c r="C21" s="4">
        <v>636</v>
      </c>
      <c r="D21" s="8">
        <v>1.52</v>
      </c>
      <c r="E21" s="4">
        <v>434</v>
      </c>
      <c r="F21" s="8">
        <v>1.88</v>
      </c>
      <c r="G21" s="4">
        <v>182</v>
      </c>
      <c r="H21" s="8">
        <v>1</v>
      </c>
      <c r="I21" s="4">
        <v>1</v>
      </c>
    </row>
    <row r="22" spans="1:9" x14ac:dyDescent="0.2">
      <c r="A22" s="2">
        <v>20</v>
      </c>
      <c r="B22" s="1" t="s">
        <v>71</v>
      </c>
      <c r="C22" s="4">
        <v>596</v>
      </c>
      <c r="D22" s="8">
        <v>1.42</v>
      </c>
      <c r="E22" s="4">
        <v>152</v>
      </c>
      <c r="F22" s="8">
        <v>0.66</v>
      </c>
      <c r="G22" s="4">
        <v>443</v>
      </c>
      <c r="H22" s="8">
        <v>2.44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81</v>
      </c>
      <c r="C25" s="4">
        <v>1591</v>
      </c>
      <c r="D25" s="8">
        <v>10.85</v>
      </c>
      <c r="E25" s="4">
        <v>1297</v>
      </c>
      <c r="F25" s="8">
        <v>19.190000000000001</v>
      </c>
      <c r="G25" s="4">
        <v>294</v>
      </c>
      <c r="H25" s="8">
        <v>3.76</v>
      </c>
      <c r="I25" s="4">
        <v>0</v>
      </c>
    </row>
    <row r="26" spans="1:9" x14ac:dyDescent="0.2">
      <c r="A26" s="2">
        <v>2</v>
      </c>
      <c r="B26" s="1" t="s">
        <v>82</v>
      </c>
      <c r="C26" s="4">
        <v>1459</v>
      </c>
      <c r="D26" s="8">
        <v>9.9499999999999993</v>
      </c>
      <c r="E26" s="4">
        <v>1230</v>
      </c>
      <c r="F26" s="8">
        <v>18.2</v>
      </c>
      <c r="G26" s="4">
        <v>229</v>
      </c>
      <c r="H26" s="8">
        <v>2.93</v>
      </c>
      <c r="I26" s="4">
        <v>0</v>
      </c>
    </row>
    <row r="27" spans="1:9" x14ac:dyDescent="0.2">
      <c r="A27" s="2">
        <v>3</v>
      </c>
      <c r="B27" s="1" t="s">
        <v>77</v>
      </c>
      <c r="C27" s="4">
        <v>1059</v>
      </c>
      <c r="D27" s="8">
        <v>7.22</v>
      </c>
      <c r="E27" s="4">
        <v>377</v>
      </c>
      <c r="F27" s="8">
        <v>5.58</v>
      </c>
      <c r="G27" s="4">
        <v>682</v>
      </c>
      <c r="H27" s="8">
        <v>8.7200000000000006</v>
      </c>
      <c r="I27" s="4">
        <v>0</v>
      </c>
    </row>
    <row r="28" spans="1:9" x14ac:dyDescent="0.2">
      <c r="A28" s="2">
        <v>4</v>
      </c>
      <c r="B28" s="1" t="s">
        <v>75</v>
      </c>
      <c r="C28" s="4">
        <v>994</v>
      </c>
      <c r="D28" s="8">
        <v>6.78</v>
      </c>
      <c r="E28" s="4">
        <v>411</v>
      </c>
      <c r="F28" s="8">
        <v>6.08</v>
      </c>
      <c r="G28" s="4">
        <v>562</v>
      </c>
      <c r="H28" s="8">
        <v>7.18</v>
      </c>
      <c r="I28" s="4">
        <v>21</v>
      </c>
    </row>
    <row r="29" spans="1:9" x14ac:dyDescent="0.2">
      <c r="A29" s="2">
        <v>5</v>
      </c>
      <c r="B29" s="1" t="s">
        <v>67</v>
      </c>
      <c r="C29" s="4">
        <v>714</v>
      </c>
      <c r="D29" s="8">
        <v>4.87</v>
      </c>
      <c r="E29" s="4">
        <v>80</v>
      </c>
      <c r="F29" s="8">
        <v>1.18</v>
      </c>
      <c r="G29" s="4">
        <v>634</v>
      </c>
      <c r="H29" s="8">
        <v>8.1</v>
      </c>
      <c r="I29" s="4">
        <v>0</v>
      </c>
    </row>
    <row r="30" spans="1:9" x14ac:dyDescent="0.2">
      <c r="A30" s="2">
        <v>6</v>
      </c>
      <c r="B30" s="1" t="s">
        <v>73</v>
      </c>
      <c r="C30" s="4">
        <v>635</v>
      </c>
      <c r="D30" s="8">
        <v>4.33</v>
      </c>
      <c r="E30" s="4">
        <v>380</v>
      </c>
      <c r="F30" s="8">
        <v>5.62</v>
      </c>
      <c r="G30" s="4">
        <v>252</v>
      </c>
      <c r="H30" s="8">
        <v>3.22</v>
      </c>
      <c r="I30" s="4">
        <v>3</v>
      </c>
    </row>
    <row r="31" spans="1:9" x14ac:dyDescent="0.2">
      <c r="A31" s="2">
        <v>7</v>
      </c>
      <c r="B31" s="1" t="s">
        <v>84</v>
      </c>
      <c r="C31" s="4">
        <v>598</v>
      </c>
      <c r="D31" s="8">
        <v>4.08</v>
      </c>
      <c r="E31" s="4">
        <v>516</v>
      </c>
      <c r="F31" s="8">
        <v>7.63</v>
      </c>
      <c r="G31" s="4">
        <v>82</v>
      </c>
      <c r="H31" s="8">
        <v>1.05</v>
      </c>
      <c r="I31" s="4">
        <v>0</v>
      </c>
    </row>
    <row r="32" spans="1:9" x14ac:dyDescent="0.2">
      <c r="A32" s="2">
        <v>8</v>
      </c>
      <c r="B32" s="1" t="s">
        <v>78</v>
      </c>
      <c r="C32" s="4">
        <v>583</v>
      </c>
      <c r="D32" s="8">
        <v>3.98</v>
      </c>
      <c r="E32" s="4">
        <v>382</v>
      </c>
      <c r="F32" s="8">
        <v>5.65</v>
      </c>
      <c r="G32" s="4">
        <v>201</v>
      </c>
      <c r="H32" s="8">
        <v>2.57</v>
      </c>
      <c r="I32" s="4">
        <v>0</v>
      </c>
    </row>
    <row r="33" spans="1:9" x14ac:dyDescent="0.2">
      <c r="A33" s="2">
        <v>9</v>
      </c>
      <c r="B33" s="1" t="s">
        <v>68</v>
      </c>
      <c r="C33" s="4">
        <v>571</v>
      </c>
      <c r="D33" s="8">
        <v>3.89</v>
      </c>
      <c r="E33" s="4">
        <v>145</v>
      </c>
      <c r="F33" s="8">
        <v>2.14</v>
      </c>
      <c r="G33" s="4">
        <v>426</v>
      </c>
      <c r="H33" s="8">
        <v>5.45</v>
      </c>
      <c r="I33" s="4">
        <v>0</v>
      </c>
    </row>
    <row r="34" spans="1:9" x14ac:dyDescent="0.2">
      <c r="A34" s="2">
        <v>10</v>
      </c>
      <c r="B34" s="1" t="s">
        <v>83</v>
      </c>
      <c r="C34" s="4">
        <v>494</v>
      </c>
      <c r="D34" s="8">
        <v>3.37</v>
      </c>
      <c r="E34" s="4">
        <v>361</v>
      </c>
      <c r="F34" s="8">
        <v>5.34</v>
      </c>
      <c r="G34" s="4">
        <v>126</v>
      </c>
      <c r="H34" s="8">
        <v>1.61</v>
      </c>
      <c r="I34" s="4">
        <v>6</v>
      </c>
    </row>
    <row r="35" spans="1:9" x14ac:dyDescent="0.2">
      <c r="A35" s="2">
        <v>11</v>
      </c>
      <c r="B35" s="1" t="s">
        <v>69</v>
      </c>
      <c r="C35" s="4">
        <v>473</v>
      </c>
      <c r="D35" s="8">
        <v>3.23</v>
      </c>
      <c r="E35" s="4">
        <v>67</v>
      </c>
      <c r="F35" s="8">
        <v>0.99</v>
      </c>
      <c r="G35" s="4">
        <v>406</v>
      </c>
      <c r="H35" s="8">
        <v>5.19</v>
      </c>
      <c r="I35" s="4">
        <v>0</v>
      </c>
    </row>
    <row r="36" spans="1:9" x14ac:dyDescent="0.2">
      <c r="A36" s="2">
        <v>12</v>
      </c>
      <c r="B36" s="1" t="s">
        <v>74</v>
      </c>
      <c r="C36" s="4">
        <v>461</v>
      </c>
      <c r="D36" s="8">
        <v>3.14</v>
      </c>
      <c r="E36" s="4">
        <v>231</v>
      </c>
      <c r="F36" s="8">
        <v>3.42</v>
      </c>
      <c r="G36" s="4">
        <v>230</v>
      </c>
      <c r="H36" s="8">
        <v>2.94</v>
      </c>
      <c r="I36" s="4">
        <v>0</v>
      </c>
    </row>
    <row r="37" spans="1:9" x14ac:dyDescent="0.2">
      <c r="A37" s="2">
        <v>13</v>
      </c>
      <c r="B37" s="1" t="s">
        <v>79</v>
      </c>
      <c r="C37" s="4">
        <v>376</v>
      </c>
      <c r="D37" s="8">
        <v>2.56</v>
      </c>
      <c r="E37" s="4">
        <v>128</v>
      </c>
      <c r="F37" s="8">
        <v>1.89</v>
      </c>
      <c r="G37" s="4">
        <v>245</v>
      </c>
      <c r="H37" s="8">
        <v>3.13</v>
      </c>
      <c r="I37" s="4">
        <v>1</v>
      </c>
    </row>
    <row r="38" spans="1:9" x14ac:dyDescent="0.2">
      <c r="A38" s="2">
        <v>14</v>
      </c>
      <c r="B38" s="1" t="s">
        <v>72</v>
      </c>
      <c r="C38" s="4">
        <v>375</v>
      </c>
      <c r="D38" s="8">
        <v>2.56</v>
      </c>
      <c r="E38" s="4">
        <v>134</v>
      </c>
      <c r="F38" s="8">
        <v>1.98</v>
      </c>
      <c r="G38" s="4">
        <v>233</v>
      </c>
      <c r="H38" s="8">
        <v>2.98</v>
      </c>
      <c r="I38" s="4">
        <v>8</v>
      </c>
    </row>
    <row r="39" spans="1:9" x14ac:dyDescent="0.2">
      <c r="A39" s="2">
        <v>15</v>
      </c>
      <c r="B39" s="1" t="s">
        <v>76</v>
      </c>
      <c r="C39" s="4">
        <v>350</v>
      </c>
      <c r="D39" s="8">
        <v>2.39</v>
      </c>
      <c r="E39" s="4">
        <v>95</v>
      </c>
      <c r="F39" s="8">
        <v>1.41</v>
      </c>
      <c r="G39" s="4">
        <v>255</v>
      </c>
      <c r="H39" s="8">
        <v>3.26</v>
      </c>
      <c r="I39" s="4">
        <v>0</v>
      </c>
    </row>
    <row r="40" spans="1:9" x14ac:dyDescent="0.2">
      <c r="A40" s="2">
        <v>16</v>
      </c>
      <c r="B40" s="1" t="s">
        <v>88</v>
      </c>
      <c r="C40" s="4">
        <v>309</v>
      </c>
      <c r="D40" s="8">
        <v>2.11</v>
      </c>
      <c r="E40" s="4">
        <v>24</v>
      </c>
      <c r="F40" s="8">
        <v>0.36</v>
      </c>
      <c r="G40" s="4">
        <v>285</v>
      </c>
      <c r="H40" s="8">
        <v>3.64</v>
      </c>
      <c r="I40" s="4">
        <v>0</v>
      </c>
    </row>
    <row r="41" spans="1:9" x14ac:dyDescent="0.2">
      <c r="A41" s="2">
        <v>17</v>
      </c>
      <c r="B41" s="1" t="s">
        <v>89</v>
      </c>
      <c r="C41" s="4">
        <v>279</v>
      </c>
      <c r="D41" s="8">
        <v>1.9</v>
      </c>
      <c r="E41" s="4">
        <v>47</v>
      </c>
      <c r="F41" s="8">
        <v>0.7</v>
      </c>
      <c r="G41" s="4">
        <v>232</v>
      </c>
      <c r="H41" s="8">
        <v>2.97</v>
      </c>
      <c r="I41" s="4">
        <v>0</v>
      </c>
    </row>
    <row r="42" spans="1:9" x14ac:dyDescent="0.2">
      <c r="A42" s="2">
        <v>18</v>
      </c>
      <c r="B42" s="1" t="s">
        <v>85</v>
      </c>
      <c r="C42" s="4">
        <v>261</v>
      </c>
      <c r="D42" s="8">
        <v>1.78</v>
      </c>
      <c r="E42" s="4">
        <v>4</v>
      </c>
      <c r="F42" s="8">
        <v>0.06</v>
      </c>
      <c r="G42" s="4">
        <v>238</v>
      </c>
      <c r="H42" s="8">
        <v>3.04</v>
      </c>
      <c r="I42" s="4">
        <v>15</v>
      </c>
    </row>
    <row r="43" spans="1:9" x14ac:dyDescent="0.2">
      <c r="A43" s="2">
        <v>19</v>
      </c>
      <c r="B43" s="1" t="s">
        <v>71</v>
      </c>
      <c r="C43" s="4">
        <v>250</v>
      </c>
      <c r="D43" s="8">
        <v>1.71</v>
      </c>
      <c r="E43" s="4">
        <v>49</v>
      </c>
      <c r="F43" s="8">
        <v>0.72</v>
      </c>
      <c r="G43" s="4">
        <v>201</v>
      </c>
      <c r="H43" s="8">
        <v>2.57</v>
      </c>
      <c r="I43" s="4">
        <v>0</v>
      </c>
    </row>
    <row r="44" spans="1:9" x14ac:dyDescent="0.2">
      <c r="A44" s="2">
        <v>20</v>
      </c>
      <c r="B44" s="1" t="s">
        <v>87</v>
      </c>
      <c r="C44" s="4">
        <v>245</v>
      </c>
      <c r="D44" s="8">
        <v>1.67</v>
      </c>
      <c r="E44" s="4">
        <v>22</v>
      </c>
      <c r="F44" s="8">
        <v>0.33</v>
      </c>
      <c r="G44" s="4">
        <v>223</v>
      </c>
      <c r="H44" s="8">
        <v>2.85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81</v>
      </c>
      <c r="C47" s="4">
        <v>307</v>
      </c>
      <c r="D47" s="8">
        <v>12.75</v>
      </c>
      <c r="E47" s="4">
        <v>284</v>
      </c>
      <c r="F47" s="8">
        <v>20.23</v>
      </c>
      <c r="G47" s="4">
        <v>23</v>
      </c>
      <c r="H47" s="8">
        <v>2.39</v>
      </c>
      <c r="I47" s="4">
        <v>0</v>
      </c>
    </row>
    <row r="48" spans="1:9" x14ac:dyDescent="0.2">
      <c r="A48" s="2">
        <v>2</v>
      </c>
      <c r="B48" s="1" t="s">
        <v>82</v>
      </c>
      <c r="C48" s="4">
        <v>280</v>
      </c>
      <c r="D48" s="8">
        <v>11.63</v>
      </c>
      <c r="E48" s="4">
        <v>254</v>
      </c>
      <c r="F48" s="8">
        <v>18.09</v>
      </c>
      <c r="G48" s="4">
        <v>26</v>
      </c>
      <c r="H48" s="8">
        <v>2.71</v>
      </c>
      <c r="I48" s="4">
        <v>0</v>
      </c>
    </row>
    <row r="49" spans="1:9" x14ac:dyDescent="0.2">
      <c r="A49" s="2">
        <v>3</v>
      </c>
      <c r="B49" s="1" t="s">
        <v>75</v>
      </c>
      <c r="C49" s="4">
        <v>210</v>
      </c>
      <c r="D49" s="8">
        <v>8.7200000000000006</v>
      </c>
      <c r="E49" s="4">
        <v>121</v>
      </c>
      <c r="F49" s="8">
        <v>8.6199999999999992</v>
      </c>
      <c r="G49" s="4">
        <v>89</v>
      </c>
      <c r="H49" s="8">
        <v>9.26</v>
      </c>
      <c r="I49" s="4">
        <v>0</v>
      </c>
    </row>
    <row r="50" spans="1:9" x14ac:dyDescent="0.2">
      <c r="A50" s="2">
        <v>4</v>
      </c>
      <c r="B50" s="1" t="s">
        <v>73</v>
      </c>
      <c r="C50" s="4">
        <v>143</v>
      </c>
      <c r="D50" s="8">
        <v>5.94</v>
      </c>
      <c r="E50" s="4">
        <v>92</v>
      </c>
      <c r="F50" s="8">
        <v>6.55</v>
      </c>
      <c r="G50" s="4">
        <v>49</v>
      </c>
      <c r="H50" s="8">
        <v>5.0999999999999996</v>
      </c>
      <c r="I50" s="4">
        <v>2</v>
      </c>
    </row>
    <row r="51" spans="1:9" x14ac:dyDescent="0.2">
      <c r="A51" s="2">
        <v>5</v>
      </c>
      <c r="B51" s="1" t="s">
        <v>67</v>
      </c>
      <c r="C51" s="4">
        <v>122</v>
      </c>
      <c r="D51" s="8">
        <v>5.07</v>
      </c>
      <c r="E51" s="4">
        <v>17</v>
      </c>
      <c r="F51" s="8">
        <v>1.21</v>
      </c>
      <c r="G51" s="4">
        <v>105</v>
      </c>
      <c r="H51" s="8">
        <v>10.93</v>
      </c>
      <c r="I51" s="4">
        <v>0</v>
      </c>
    </row>
    <row r="52" spans="1:9" x14ac:dyDescent="0.2">
      <c r="A52" s="2">
        <v>6</v>
      </c>
      <c r="B52" s="1" t="s">
        <v>74</v>
      </c>
      <c r="C52" s="4">
        <v>120</v>
      </c>
      <c r="D52" s="8">
        <v>4.9800000000000004</v>
      </c>
      <c r="E52" s="4">
        <v>86</v>
      </c>
      <c r="F52" s="8">
        <v>6.13</v>
      </c>
      <c r="G52" s="4">
        <v>34</v>
      </c>
      <c r="H52" s="8">
        <v>3.54</v>
      </c>
      <c r="I52" s="4">
        <v>0</v>
      </c>
    </row>
    <row r="53" spans="1:9" x14ac:dyDescent="0.2">
      <c r="A53" s="2">
        <v>7</v>
      </c>
      <c r="B53" s="1" t="s">
        <v>84</v>
      </c>
      <c r="C53" s="4">
        <v>81</v>
      </c>
      <c r="D53" s="8">
        <v>3.36</v>
      </c>
      <c r="E53" s="4">
        <v>71</v>
      </c>
      <c r="F53" s="8">
        <v>5.0599999999999996</v>
      </c>
      <c r="G53" s="4">
        <v>10</v>
      </c>
      <c r="H53" s="8">
        <v>1.04</v>
      </c>
      <c r="I53" s="4">
        <v>0</v>
      </c>
    </row>
    <row r="54" spans="1:9" x14ac:dyDescent="0.2">
      <c r="A54" s="2">
        <v>8</v>
      </c>
      <c r="B54" s="1" t="s">
        <v>79</v>
      </c>
      <c r="C54" s="4">
        <v>77</v>
      </c>
      <c r="D54" s="8">
        <v>3.2</v>
      </c>
      <c r="E54" s="4">
        <v>41</v>
      </c>
      <c r="F54" s="8">
        <v>2.92</v>
      </c>
      <c r="G54" s="4">
        <v>34</v>
      </c>
      <c r="H54" s="8">
        <v>3.54</v>
      </c>
      <c r="I54" s="4">
        <v>1</v>
      </c>
    </row>
    <row r="55" spans="1:9" x14ac:dyDescent="0.2">
      <c r="A55" s="2">
        <v>9</v>
      </c>
      <c r="B55" s="1" t="s">
        <v>68</v>
      </c>
      <c r="C55" s="4">
        <v>76</v>
      </c>
      <c r="D55" s="8">
        <v>3.16</v>
      </c>
      <c r="E55" s="4">
        <v>31</v>
      </c>
      <c r="F55" s="8">
        <v>2.21</v>
      </c>
      <c r="G55" s="4">
        <v>45</v>
      </c>
      <c r="H55" s="8">
        <v>4.68</v>
      </c>
      <c r="I55" s="4">
        <v>0</v>
      </c>
    </row>
    <row r="56" spans="1:9" x14ac:dyDescent="0.2">
      <c r="A56" s="2">
        <v>9</v>
      </c>
      <c r="B56" s="1" t="s">
        <v>83</v>
      </c>
      <c r="C56" s="4">
        <v>76</v>
      </c>
      <c r="D56" s="8">
        <v>3.16</v>
      </c>
      <c r="E56" s="4">
        <v>49</v>
      </c>
      <c r="F56" s="8">
        <v>3.49</v>
      </c>
      <c r="G56" s="4">
        <v>18</v>
      </c>
      <c r="H56" s="8">
        <v>1.87</v>
      </c>
      <c r="I56" s="4">
        <v>2</v>
      </c>
    </row>
    <row r="57" spans="1:9" x14ac:dyDescent="0.2">
      <c r="A57" s="2">
        <v>9</v>
      </c>
      <c r="B57" s="1" t="s">
        <v>86</v>
      </c>
      <c r="C57" s="4">
        <v>76</v>
      </c>
      <c r="D57" s="8">
        <v>3.16</v>
      </c>
      <c r="E57" s="4">
        <v>64</v>
      </c>
      <c r="F57" s="8">
        <v>4.5599999999999996</v>
      </c>
      <c r="G57" s="4">
        <v>12</v>
      </c>
      <c r="H57" s="8">
        <v>1.25</v>
      </c>
      <c r="I57" s="4">
        <v>0</v>
      </c>
    </row>
    <row r="58" spans="1:9" x14ac:dyDescent="0.2">
      <c r="A58" s="2">
        <v>12</v>
      </c>
      <c r="B58" s="1" t="s">
        <v>69</v>
      </c>
      <c r="C58" s="4">
        <v>65</v>
      </c>
      <c r="D58" s="8">
        <v>2.7</v>
      </c>
      <c r="E58" s="4">
        <v>16</v>
      </c>
      <c r="F58" s="8">
        <v>1.1399999999999999</v>
      </c>
      <c r="G58" s="4">
        <v>49</v>
      </c>
      <c r="H58" s="8">
        <v>5.0999999999999996</v>
      </c>
      <c r="I58" s="4">
        <v>0</v>
      </c>
    </row>
    <row r="59" spans="1:9" x14ac:dyDescent="0.2">
      <c r="A59" s="2">
        <v>13</v>
      </c>
      <c r="B59" s="1" t="s">
        <v>91</v>
      </c>
      <c r="C59" s="4">
        <v>56</v>
      </c>
      <c r="D59" s="8">
        <v>2.33</v>
      </c>
      <c r="E59" s="4">
        <v>32</v>
      </c>
      <c r="F59" s="8">
        <v>2.2799999999999998</v>
      </c>
      <c r="G59" s="4">
        <v>23</v>
      </c>
      <c r="H59" s="8">
        <v>2.39</v>
      </c>
      <c r="I59" s="4">
        <v>1</v>
      </c>
    </row>
    <row r="60" spans="1:9" x14ac:dyDescent="0.2">
      <c r="A60" s="2">
        <v>14</v>
      </c>
      <c r="B60" s="1" t="s">
        <v>72</v>
      </c>
      <c r="C60" s="4">
        <v>52</v>
      </c>
      <c r="D60" s="8">
        <v>2.16</v>
      </c>
      <c r="E60" s="4">
        <v>24</v>
      </c>
      <c r="F60" s="8">
        <v>1.71</v>
      </c>
      <c r="G60" s="4">
        <v>28</v>
      </c>
      <c r="H60" s="8">
        <v>2.91</v>
      </c>
      <c r="I60" s="4">
        <v>0</v>
      </c>
    </row>
    <row r="61" spans="1:9" x14ac:dyDescent="0.2">
      <c r="A61" s="2">
        <v>15</v>
      </c>
      <c r="B61" s="1" t="s">
        <v>77</v>
      </c>
      <c r="C61" s="4">
        <v>50</v>
      </c>
      <c r="D61" s="8">
        <v>2.08</v>
      </c>
      <c r="E61" s="4">
        <v>13</v>
      </c>
      <c r="F61" s="8">
        <v>0.93</v>
      </c>
      <c r="G61" s="4">
        <v>36</v>
      </c>
      <c r="H61" s="8">
        <v>3.75</v>
      </c>
      <c r="I61" s="4">
        <v>0</v>
      </c>
    </row>
    <row r="62" spans="1:9" x14ac:dyDescent="0.2">
      <c r="A62" s="2">
        <v>16</v>
      </c>
      <c r="B62" s="1" t="s">
        <v>78</v>
      </c>
      <c r="C62" s="4">
        <v>46</v>
      </c>
      <c r="D62" s="8">
        <v>1.91</v>
      </c>
      <c r="E62" s="4">
        <v>37</v>
      </c>
      <c r="F62" s="8">
        <v>2.64</v>
      </c>
      <c r="G62" s="4">
        <v>9</v>
      </c>
      <c r="H62" s="8">
        <v>0.94</v>
      </c>
      <c r="I62" s="4">
        <v>0</v>
      </c>
    </row>
    <row r="63" spans="1:9" x14ac:dyDescent="0.2">
      <c r="A63" s="2">
        <v>17</v>
      </c>
      <c r="B63" s="1" t="s">
        <v>70</v>
      </c>
      <c r="C63" s="4">
        <v>44</v>
      </c>
      <c r="D63" s="8">
        <v>1.83</v>
      </c>
      <c r="E63" s="4">
        <v>20</v>
      </c>
      <c r="F63" s="8">
        <v>1.42</v>
      </c>
      <c r="G63" s="4">
        <v>23</v>
      </c>
      <c r="H63" s="8">
        <v>2.39</v>
      </c>
      <c r="I63" s="4">
        <v>1</v>
      </c>
    </row>
    <row r="64" spans="1:9" x14ac:dyDescent="0.2">
      <c r="A64" s="2">
        <v>18</v>
      </c>
      <c r="B64" s="1" t="s">
        <v>87</v>
      </c>
      <c r="C64" s="4">
        <v>42</v>
      </c>
      <c r="D64" s="8">
        <v>1.74</v>
      </c>
      <c r="E64" s="4">
        <v>11</v>
      </c>
      <c r="F64" s="8">
        <v>0.78</v>
      </c>
      <c r="G64" s="4">
        <v>31</v>
      </c>
      <c r="H64" s="8">
        <v>3.23</v>
      </c>
      <c r="I64" s="4">
        <v>0</v>
      </c>
    </row>
    <row r="65" spans="1:9" x14ac:dyDescent="0.2">
      <c r="A65" s="2">
        <v>19</v>
      </c>
      <c r="B65" s="1" t="s">
        <v>90</v>
      </c>
      <c r="C65" s="4">
        <v>34</v>
      </c>
      <c r="D65" s="8">
        <v>1.41</v>
      </c>
      <c r="E65" s="4">
        <v>15</v>
      </c>
      <c r="F65" s="8">
        <v>1.07</v>
      </c>
      <c r="G65" s="4">
        <v>18</v>
      </c>
      <c r="H65" s="8">
        <v>1.87</v>
      </c>
      <c r="I65" s="4">
        <v>1</v>
      </c>
    </row>
    <row r="66" spans="1:9" x14ac:dyDescent="0.2">
      <c r="A66" s="2">
        <v>19</v>
      </c>
      <c r="B66" s="1" t="s">
        <v>85</v>
      </c>
      <c r="C66" s="4">
        <v>34</v>
      </c>
      <c r="D66" s="8">
        <v>1.41</v>
      </c>
      <c r="E66" s="4">
        <v>0</v>
      </c>
      <c r="F66" s="8">
        <v>0</v>
      </c>
      <c r="G66" s="4">
        <v>34</v>
      </c>
      <c r="H66" s="8">
        <v>3.54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81</v>
      </c>
      <c r="C69" s="4">
        <v>77</v>
      </c>
      <c r="D69" s="8">
        <v>11.58</v>
      </c>
      <c r="E69" s="4">
        <v>75</v>
      </c>
      <c r="F69" s="8">
        <v>17.52</v>
      </c>
      <c r="G69" s="4">
        <v>2</v>
      </c>
      <c r="H69" s="8">
        <v>0.91</v>
      </c>
      <c r="I69" s="4">
        <v>0</v>
      </c>
    </row>
    <row r="70" spans="1:9" x14ac:dyDescent="0.2">
      <c r="A70" s="2">
        <v>2</v>
      </c>
      <c r="B70" s="1" t="s">
        <v>82</v>
      </c>
      <c r="C70" s="4">
        <v>70</v>
      </c>
      <c r="D70" s="8">
        <v>10.53</v>
      </c>
      <c r="E70" s="4">
        <v>63</v>
      </c>
      <c r="F70" s="8">
        <v>14.72</v>
      </c>
      <c r="G70" s="4">
        <v>7</v>
      </c>
      <c r="H70" s="8">
        <v>3.2</v>
      </c>
      <c r="I70" s="4">
        <v>0</v>
      </c>
    </row>
    <row r="71" spans="1:9" x14ac:dyDescent="0.2">
      <c r="A71" s="2">
        <v>3</v>
      </c>
      <c r="B71" s="1" t="s">
        <v>75</v>
      </c>
      <c r="C71" s="4">
        <v>66</v>
      </c>
      <c r="D71" s="8">
        <v>9.92</v>
      </c>
      <c r="E71" s="4">
        <v>38</v>
      </c>
      <c r="F71" s="8">
        <v>8.8800000000000008</v>
      </c>
      <c r="G71" s="4">
        <v>27</v>
      </c>
      <c r="H71" s="8">
        <v>12.33</v>
      </c>
      <c r="I71" s="4">
        <v>1</v>
      </c>
    </row>
    <row r="72" spans="1:9" x14ac:dyDescent="0.2">
      <c r="A72" s="2">
        <v>4</v>
      </c>
      <c r="B72" s="1" t="s">
        <v>73</v>
      </c>
      <c r="C72" s="4">
        <v>52</v>
      </c>
      <c r="D72" s="8">
        <v>7.82</v>
      </c>
      <c r="E72" s="4">
        <v>46</v>
      </c>
      <c r="F72" s="8">
        <v>10.75</v>
      </c>
      <c r="G72" s="4">
        <v>6</v>
      </c>
      <c r="H72" s="8">
        <v>2.74</v>
      </c>
      <c r="I72" s="4">
        <v>0</v>
      </c>
    </row>
    <row r="73" spans="1:9" x14ac:dyDescent="0.2">
      <c r="A73" s="2">
        <v>5</v>
      </c>
      <c r="B73" s="1" t="s">
        <v>90</v>
      </c>
      <c r="C73" s="4">
        <v>36</v>
      </c>
      <c r="D73" s="8">
        <v>5.41</v>
      </c>
      <c r="E73" s="4">
        <v>7</v>
      </c>
      <c r="F73" s="8">
        <v>1.64</v>
      </c>
      <c r="G73" s="4">
        <v>29</v>
      </c>
      <c r="H73" s="8">
        <v>13.24</v>
      </c>
      <c r="I73" s="4">
        <v>0</v>
      </c>
    </row>
    <row r="74" spans="1:9" x14ac:dyDescent="0.2">
      <c r="A74" s="2">
        <v>6</v>
      </c>
      <c r="B74" s="1" t="s">
        <v>74</v>
      </c>
      <c r="C74" s="4">
        <v>35</v>
      </c>
      <c r="D74" s="8">
        <v>5.26</v>
      </c>
      <c r="E74" s="4">
        <v>25</v>
      </c>
      <c r="F74" s="8">
        <v>5.84</v>
      </c>
      <c r="G74" s="4">
        <v>10</v>
      </c>
      <c r="H74" s="8">
        <v>4.57</v>
      </c>
      <c r="I74" s="4">
        <v>0</v>
      </c>
    </row>
    <row r="75" spans="1:9" x14ac:dyDescent="0.2">
      <c r="A75" s="2">
        <v>7</v>
      </c>
      <c r="B75" s="1" t="s">
        <v>70</v>
      </c>
      <c r="C75" s="4">
        <v>34</v>
      </c>
      <c r="D75" s="8">
        <v>5.1100000000000003</v>
      </c>
      <c r="E75" s="4">
        <v>13</v>
      </c>
      <c r="F75" s="8">
        <v>3.04</v>
      </c>
      <c r="G75" s="4">
        <v>21</v>
      </c>
      <c r="H75" s="8">
        <v>9.59</v>
      </c>
      <c r="I75" s="4">
        <v>0</v>
      </c>
    </row>
    <row r="76" spans="1:9" x14ac:dyDescent="0.2">
      <c r="A76" s="2">
        <v>8</v>
      </c>
      <c r="B76" s="1" t="s">
        <v>84</v>
      </c>
      <c r="C76" s="4">
        <v>25</v>
      </c>
      <c r="D76" s="8">
        <v>3.76</v>
      </c>
      <c r="E76" s="4">
        <v>22</v>
      </c>
      <c r="F76" s="8">
        <v>5.14</v>
      </c>
      <c r="G76" s="4">
        <v>3</v>
      </c>
      <c r="H76" s="8">
        <v>1.37</v>
      </c>
      <c r="I76" s="4">
        <v>0</v>
      </c>
    </row>
    <row r="77" spans="1:9" x14ac:dyDescent="0.2">
      <c r="A77" s="2">
        <v>9</v>
      </c>
      <c r="B77" s="1" t="s">
        <v>83</v>
      </c>
      <c r="C77" s="4">
        <v>21</v>
      </c>
      <c r="D77" s="8">
        <v>3.16</v>
      </c>
      <c r="E77" s="4">
        <v>10</v>
      </c>
      <c r="F77" s="8">
        <v>2.34</v>
      </c>
      <c r="G77" s="4">
        <v>4</v>
      </c>
      <c r="H77" s="8">
        <v>1.83</v>
      </c>
      <c r="I77" s="4">
        <v>2</v>
      </c>
    </row>
    <row r="78" spans="1:9" x14ac:dyDescent="0.2">
      <c r="A78" s="2">
        <v>10</v>
      </c>
      <c r="B78" s="1" t="s">
        <v>86</v>
      </c>
      <c r="C78" s="4">
        <v>18</v>
      </c>
      <c r="D78" s="8">
        <v>2.71</v>
      </c>
      <c r="E78" s="4">
        <v>16</v>
      </c>
      <c r="F78" s="8">
        <v>3.74</v>
      </c>
      <c r="G78" s="4">
        <v>2</v>
      </c>
      <c r="H78" s="8">
        <v>0.91</v>
      </c>
      <c r="I78" s="4">
        <v>0</v>
      </c>
    </row>
    <row r="79" spans="1:9" x14ac:dyDescent="0.2">
      <c r="A79" s="2">
        <v>11</v>
      </c>
      <c r="B79" s="1" t="s">
        <v>67</v>
      </c>
      <c r="C79" s="4">
        <v>17</v>
      </c>
      <c r="D79" s="8">
        <v>2.56</v>
      </c>
      <c r="E79" s="4">
        <v>4</v>
      </c>
      <c r="F79" s="8">
        <v>0.93</v>
      </c>
      <c r="G79" s="4">
        <v>13</v>
      </c>
      <c r="H79" s="8">
        <v>5.94</v>
      </c>
      <c r="I79" s="4">
        <v>0</v>
      </c>
    </row>
    <row r="80" spans="1:9" x14ac:dyDescent="0.2">
      <c r="A80" s="2">
        <v>12</v>
      </c>
      <c r="B80" s="1" t="s">
        <v>68</v>
      </c>
      <c r="C80" s="4">
        <v>16</v>
      </c>
      <c r="D80" s="8">
        <v>2.41</v>
      </c>
      <c r="E80" s="4">
        <v>13</v>
      </c>
      <c r="F80" s="8">
        <v>3.04</v>
      </c>
      <c r="G80" s="4">
        <v>3</v>
      </c>
      <c r="H80" s="8">
        <v>1.37</v>
      </c>
      <c r="I80" s="4">
        <v>0</v>
      </c>
    </row>
    <row r="81" spans="1:9" x14ac:dyDescent="0.2">
      <c r="A81" s="2">
        <v>12</v>
      </c>
      <c r="B81" s="1" t="s">
        <v>72</v>
      </c>
      <c r="C81" s="4">
        <v>16</v>
      </c>
      <c r="D81" s="8">
        <v>2.41</v>
      </c>
      <c r="E81" s="4">
        <v>13</v>
      </c>
      <c r="F81" s="8">
        <v>3.04</v>
      </c>
      <c r="G81" s="4">
        <v>3</v>
      </c>
      <c r="H81" s="8">
        <v>1.37</v>
      </c>
      <c r="I81" s="4">
        <v>0</v>
      </c>
    </row>
    <row r="82" spans="1:9" x14ac:dyDescent="0.2">
      <c r="A82" s="2">
        <v>14</v>
      </c>
      <c r="B82" s="1" t="s">
        <v>92</v>
      </c>
      <c r="C82" s="4">
        <v>12</v>
      </c>
      <c r="D82" s="8">
        <v>1.8</v>
      </c>
      <c r="E82" s="4">
        <v>0</v>
      </c>
      <c r="F82" s="8">
        <v>0</v>
      </c>
      <c r="G82" s="4">
        <v>12</v>
      </c>
      <c r="H82" s="8">
        <v>5.48</v>
      </c>
      <c r="I82" s="4">
        <v>0</v>
      </c>
    </row>
    <row r="83" spans="1:9" x14ac:dyDescent="0.2">
      <c r="A83" s="2">
        <v>14</v>
      </c>
      <c r="B83" s="1" t="s">
        <v>85</v>
      </c>
      <c r="C83" s="4">
        <v>12</v>
      </c>
      <c r="D83" s="8">
        <v>1.8</v>
      </c>
      <c r="E83" s="4">
        <v>0</v>
      </c>
      <c r="F83" s="8">
        <v>0</v>
      </c>
      <c r="G83" s="4">
        <v>10</v>
      </c>
      <c r="H83" s="8">
        <v>4.57</v>
      </c>
      <c r="I83" s="4">
        <v>0</v>
      </c>
    </row>
    <row r="84" spans="1:9" x14ac:dyDescent="0.2">
      <c r="A84" s="2">
        <v>16</v>
      </c>
      <c r="B84" s="1" t="s">
        <v>69</v>
      </c>
      <c r="C84" s="4">
        <v>11</v>
      </c>
      <c r="D84" s="8">
        <v>1.65</v>
      </c>
      <c r="E84" s="4">
        <v>6</v>
      </c>
      <c r="F84" s="8">
        <v>1.4</v>
      </c>
      <c r="G84" s="4">
        <v>5</v>
      </c>
      <c r="H84" s="8">
        <v>2.2799999999999998</v>
      </c>
      <c r="I84" s="4">
        <v>0</v>
      </c>
    </row>
    <row r="85" spans="1:9" x14ac:dyDescent="0.2">
      <c r="A85" s="2">
        <v>16</v>
      </c>
      <c r="B85" s="1" t="s">
        <v>87</v>
      </c>
      <c r="C85" s="4">
        <v>11</v>
      </c>
      <c r="D85" s="8">
        <v>1.65</v>
      </c>
      <c r="E85" s="4">
        <v>5</v>
      </c>
      <c r="F85" s="8">
        <v>1.17</v>
      </c>
      <c r="G85" s="4">
        <v>5</v>
      </c>
      <c r="H85" s="8">
        <v>2.2799999999999998</v>
      </c>
      <c r="I85" s="4">
        <v>1</v>
      </c>
    </row>
    <row r="86" spans="1:9" x14ac:dyDescent="0.2">
      <c r="A86" s="2">
        <v>16</v>
      </c>
      <c r="B86" s="1" t="s">
        <v>79</v>
      </c>
      <c r="C86" s="4">
        <v>11</v>
      </c>
      <c r="D86" s="8">
        <v>1.65</v>
      </c>
      <c r="E86" s="4">
        <v>9</v>
      </c>
      <c r="F86" s="8">
        <v>2.1</v>
      </c>
      <c r="G86" s="4">
        <v>2</v>
      </c>
      <c r="H86" s="8">
        <v>0.91</v>
      </c>
      <c r="I86" s="4">
        <v>0</v>
      </c>
    </row>
    <row r="87" spans="1:9" x14ac:dyDescent="0.2">
      <c r="A87" s="2">
        <v>19</v>
      </c>
      <c r="B87" s="1" t="s">
        <v>71</v>
      </c>
      <c r="C87" s="4">
        <v>9</v>
      </c>
      <c r="D87" s="8">
        <v>1.35</v>
      </c>
      <c r="E87" s="4">
        <v>4</v>
      </c>
      <c r="F87" s="8">
        <v>0.93</v>
      </c>
      <c r="G87" s="4">
        <v>5</v>
      </c>
      <c r="H87" s="8">
        <v>2.2799999999999998</v>
      </c>
      <c r="I87" s="4">
        <v>0</v>
      </c>
    </row>
    <row r="88" spans="1:9" x14ac:dyDescent="0.2">
      <c r="A88" s="2">
        <v>19</v>
      </c>
      <c r="B88" s="1" t="s">
        <v>78</v>
      </c>
      <c r="C88" s="4">
        <v>9</v>
      </c>
      <c r="D88" s="8">
        <v>1.35</v>
      </c>
      <c r="E88" s="4">
        <v>9</v>
      </c>
      <c r="F88" s="8">
        <v>2.1</v>
      </c>
      <c r="G88" s="4">
        <v>0</v>
      </c>
      <c r="H88" s="8">
        <v>0</v>
      </c>
      <c r="I88" s="4">
        <v>0</v>
      </c>
    </row>
    <row r="89" spans="1:9" x14ac:dyDescent="0.2">
      <c r="A89" s="2">
        <v>19</v>
      </c>
      <c r="B89" s="1" t="s">
        <v>91</v>
      </c>
      <c r="C89" s="4">
        <v>9</v>
      </c>
      <c r="D89" s="8">
        <v>1.35</v>
      </c>
      <c r="E89" s="4">
        <v>7</v>
      </c>
      <c r="F89" s="8">
        <v>1.64</v>
      </c>
      <c r="G89" s="4">
        <v>2</v>
      </c>
      <c r="H89" s="8">
        <v>0.91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81</v>
      </c>
      <c r="C92" s="4">
        <v>66</v>
      </c>
      <c r="D92" s="8">
        <v>11.85</v>
      </c>
      <c r="E92" s="4">
        <v>60</v>
      </c>
      <c r="F92" s="8">
        <v>16.57</v>
      </c>
      <c r="G92" s="4">
        <v>6</v>
      </c>
      <c r="H92" s="8">
        <v>3.13</v>
      </c>
      <c r="I92" s="4">
        <v>0</v>
      </c>
    </row>
    <row r="93" spans="1:9" x14ac:dyDescent="0.2">
      <c r="A93" s="2">
        <v>2</v>
      </c>
      <c r="B93" s="1" t="s">
        <v>82</v>
      </c>
      <c r="C93" s="4">
        <v>58</v>
      </c>
      <c r="D93" s="8">
        <v>10.41</v>
      </c>
      <c r="E93" s="4">
        <v>53</v>
      </c>
      <c r="F93" s="8">
        <v>14.64</v>
      </c>
      <c r="G93" s="4">
        <v>5</v>
      </c>
      <c r="H93" s="8">
        <v>2.6</v>
      </c>
      <c r="I93" s="4">
        <v>0</v>
      </c>
    </row>
    <row r="94" spans="1:9" x14ac:dyDescent="0.2">
      <c r="A94" s="2">
        <v>3</v>
      </c>
      <c r="B94" s="1" t="s">
        <v>75</v>
      </c>
      <c r="C94" s="4">
        <v>56</v>
      </c>
      <c r="D94" s="8">
        <v>10.050000000000001</v>
      </c>
      <c r="E94" s="4">
        <v>32</v>
      </c>
      <c r="F94" s="8">
        <v>8.84</v>
      </c>
      <c r="G94" s="4">
        <v>24</v>
      </c>
      <c r="H94" s="8">
        <v>12.5</v>
      </c>
      <c r="I94" s="4">
        <v>0</v>
      </c>
    </row>
    <row r="95" spans="1:9" x14ac:dyDescent="0.2">
      <c r="A95" s="2">
        <v>4</v>
      </c>
      <c r="B95" s="1" t="s">
        <v>73</v>
      </c>
      <c r="C95" s="4">
        <v>48</v>
      </c>
      <c r="D95" s="8">
        <v>8.6199999999999992</v>
      </c>
      <c r="E95" s="4">
        <v>44</v>
      </c>
      <c r="F95" s="8">
        <v>12.15</v>
      </c>
      <c r="G95" s="4">
        <v>4</v>
      </c>
      <c r="H95" s="8">
        <v>2.08</v>
      </c>
      <c r="I95" s="4">
        <v>0</v>
      </c>
    </row>
    <row r="96" spans="1:9" x14ac:dyDescent="0.2">
      <c r="A96" s="2">
        <v>5</v>
      </c>
      <c r="B96" s="1" t="s">
        <v>74</v>
      </c>
      <c r="C96" s="4">
        <v>31</v>
      </c>
      <c r="D96" s="8">
        <v>5.57</v>
      </c>
      <c r="E96" s="4">
        <v>24</v>
      </c>
      <c r="F96" s="8">
        <v>6.63</v>
      </c>
      <c r="G96" s="4">
        <v>7</v>
      </c>
      <c r="H96" s="8">
        <v>3.65</v>
      </c>
      <c r="I96" s="4">
        <v>0</v>
      </c>
    </row>
    <row r="97" spans="1:9" x14ac:dyDescent="0.2">
      <c r="A97" s="2">
        <v>6</v>
      </c>
      <c r="B97" s="1" t="s">
        <v>67</v>
      </c>
      <c r="C97" s="4">
        <v>25</v>
      </c>
      <c r="D97" s="8">
        <v>4.49</v>
      </c>
      <c r="E97" s="4">
        <v>3</v>
      </c>
      <c r="F97" s="8">
        <v>0.83</v>
      </c>
      <c r="G97" s="4">
        <v>22</v>
      </c>
      <c r="H97" s="8">
        <v>11.46</v>
      </c>
      <c r="I97" s="4">
        <v>0</v>
      </c>
    </row>
    <row r="98" spans="1:9" x14ac:dyDescent="0.2">
      <c r="A98" s="2">
        <v>7</v>
      </c>
      <c r="B98" s="1" t="s">
        <v>71</v>
      </c>
      <c r="C98" s="4">
        <v>23</v>
      </c>
      <c r="D98" s="8">
        <v>4.13</v>
      </c>
      <c r="E98" s="4">
        <v>12</v>
      </c>
      <c r="F98" s="8">
        <v>3.31</v>
      </c>
      <c r="G98" s="4">
        <v>11</v>
      </c>
      <c r="H98" s="8">
        <v>5.73</v>
      </c>
      <c r="I98" s="4">
        <v>0</v>
      </c>
    </row>
    <row r="99" spans="1:9" x14ac:dyDescent="0.2">
      <c r="A99" s="2">
        <v>8</v>
      </c>
      <c r="B99" s="1" t="s">
        <v>84</v>
      </c>
      <c r="C99" s="4">
        <v>21</v>
      </c>
      <c r="D99" s="8">
        <v>3.77</v>
      </c>
      <c r="E99" s="4">
        <v>19</v>
      </c>
      <c r="F99" s="8">
        <v>5.25</v>
      </c>
      <c r="G99" s="4">
        <v>2</v>
      </c>
      <c r="H99" s="8">
        <v>1.04</v>
      </c>
      <c r="I99" s="4">
        <v>0</v>
      </c>
    </row>
    <row r="100" spans="1:9" x14ac:dyDescent="0.2">
      <c r="A100" s="2">
        <v>9</v>
      </c>
      <c r="B100" s="1" t="s">
        <v>68</v>
      </c>
      <c r="C100" s="4">
        <v>19</v>
      </c>
      <c r="D100" s="8">
        <v>3.41</v>
      </c>
      <c r="E100" s="4">
        <v>11</v>
      </c>
      <c r="F100" s="8">
        <v>3.04</v>
      </c>
      <c r="G100" s="4">
        <v>8</v>
      </c>
      <c r="H100" s="8">
        <v>4.17</v>
      </c>
      <c r="I100" s="4">
        <v>0</v>
      </c>
    </row>
    <row r="101" spans="1:9" x14ac:dyDescent="0.2">
      <c r="A101" s="2">
        <v>10</v>
      </c>
      <c r="B101" s="1" t="s">
        <v>78</v>
      </c>
      <c r="C101" s="4">
        <v>15</v>
      </c>
      <c r="D101" s="8">
        <v>2.69</v>
      </c>
      <c r="E101" s="4">
        <v>14</v>
      </c>
      <c r="F101" s="8">
        <v>3.87</v>
      </c>
      <c r="G101" s="4">
        <v>1</v>
      </c>
      <c r="H101" s="8">
        <v>0.52</v>
      </c>
      <c r="I101" s="4">
        <v>0</v>
      </c>
    </row>
    <row r="102" spans="1:9" x14ac:dyDescent="0.2">
      <c r="A102" s="2">
        <v>11</v>
      </c>
      <c r="B102" s="1" t="s">
        <v>69</v>
      </c>
      <c r="C102" s="4">
        <v>13</v>
      </c>
      <c r="D102" s="8">
        <v>2.33</v>
      </c>
      <c r="E102" s="4">
        <v>6</v>
      </c>
      <c r="F102" s="8">
        <v>1.66</v>
      </c>
      <c r="G102" s="4">
        <v>7</v>
      </c>
      <c r="H102" s="8">
        <v>3.65</v>
      </c>
      <c r="I102" s="4">
        <v>0</v>
      </c>
    </row>
    <row r="103" spans="1:9" x14ac:dyDescent="0.2">
      <c r="A103" s="2">
        <v>11</v>
      </c>
      <c r="B103" s="1" t="s">
        <v>77</v>
      </c>
      <c r="C103" s="4">
        <v>13</v>
      </c>
      <c r="D103" s="8">
        <v>2.33</v>
      </c>
      <c r="E103" s="4">
        <v>9</v>
      </c>
      <c r="F103" s="8">
        <v>2.4900000000000002</v>
      </c>
      <c r="G103" s="4">
        <v>4</v>
      </c>
      <c r="H103" s="8">
        <v>2.08</v>
      </c>
      <c r="I103" s="4">
        <v>0</v>
      </c>
    </row>
    <row r="104" spans="1:9" x14ac:dyDescent="0.2">
      <c r="A104" s="2">
        <v>13</v>
      </c>
      <c r="B104" s="1" t="s">
        <v>79</v>
      </c>
      <c r="C104" s="4">
        <v>11</v>
      </c>
      <c r="D104" s="8">
        <v>1.97</v>
      </c>
      <c r="E104" s="4">
        <v>7</v>
      </c>
      <c r="F104" s="8">
        <v>1.93</v>
      </c>
      <c r="G104" s="4">
        <v>3</v>
      </c>
      <c r="H104" s="8">
        <v>1.56</v>
      </c>
      <c r="I104" s="4">
        <v>0</v>
      </c>
    </row>
    <row r="105" spans="1:9" x14ac:dyDescent="0.2">
      <c r="A105" s="2">
        <v>13</v>
      </c>
      <c r="B105" s="1" t="s">
        <v>83</v>
      </c>
      <c r="C105" s="4">
        <v>11</v>
      </c>
      <c r="D105" s="8">
        <v>1.97</v>
      </c>
      <c r="E105" s="4">
        <v>9</v>
      </c>
      <c r="F105" s="8">
        <v>2.4900000000000002</v>
      </c>
      <c r="G105" s="4">
        <v>1</v>
      </c>
      <c r="H105" s="8">
        <v>0.52</v>
      </c>
      <c r="I105" s="4">
        <v>0</v>
      </c>
    </row>
    <row r="106" spans="1:9" x14ac:dyDescent="0.2">
      <c r="A106" s="2">
        <v>13</v>
      </c>
      <c r="B106" s="1" t="s">
        <v>86</v>
      </c>
      <c r="C106" s="4">
        <v>11</v>
      </c>
      <c r="D106" s="8">
        <v>1.97</v>
      </c>
      <c r="E106" s="4">
        <v>11</v>
      </c>
      <c r="F106" s="8">
        <v>3.04</v>
      </c>
      <c r="G106" s="4">
        <v>0</v>
      </c>
      <c r="H106" s="8">
        <v>0</v>
      </c>
      <c r="I106" s="4">
        <v>0</v>
      </c>
    </row>
    <row r="107" spans="1:9" x14ac:dyDescent="0.2">
      <c r="A107" s="2">
        <v>16</v>
      </c>
      <c r="B107" s="1" t="s">
        <v>70</v>
      </c>
      <c r="C107" s="4">
        <v>10</v>
      </c>
      <c r="D107" s="8">
        <v>1.8</v>
      </c>
      <c r="E107" s="4">
        <v>4</v>
      </c>
      <c r="F107" s="8">
        <v>1.1000000000000001</v>
      </c>
      <c r="G107" s="4">
        <v>6</v>
      </c>
      <c r="H107" s="8">
        <v>3.13</v>
      </c>
      <c r="I107" s="4">
        <v>0</v>
      </c>
    </row>
    <row r="108" spans="1:9" x14ac:dyDescent="0.2">
      <c r="A108" s="2">
        <v>17</v>
      </c>
      <c r="B108" s="1" t="s">
        <v>76</v>
      </c>
      <c r="C108" s="4">
        <v>9</v>
      </c>
      <c r="D108" s="8">
        <v>1.62</v>
      </c>
      <c r="E108" s="4">
        <v>6</v>
      </c>
      <c r="F108" s="8">
        <v>1.66</v>
      </c>
      <c r="G108" s="4">
        <v>3</v>
      </c>
      <c r="H108" s="8">
        <v>1.56</v>
      </c>
      <c r="I108" s="4">
        <v>0</v>
      </c>
    </row>
    <row r="109" spans="1:9" x14ac:dyDescent="0.2">
      <c r="A109" s="2">
        <v>17</v>
      </c>
      <c r="B109" s="1" t="s">
        <v>93</v>
      </c>
      <c r="C109" s="4">
        <v>9</v>
      </c>
      <c r="D109" s="8">
        <v>1.62</v>
      </c>
      <c r="E109" s="4">
        <v>4</v>
      </c>
      <c r="F109" s="8">
        <v>1.1000000000000001</v>
      </c>
      <c r="G109" s="4">
        <v>4</v>
      </c>
      <c r="H109" s="8">
        <v>2.08</v>
      </c>
      <c r="I109" s="4">
        <v>0</v>
      </c>
    </row>
    <row r="110" spans="1:9" x14ac:dyDescent="0.2">
      <c r="A110" s="2">
        <v>19</v>
      </c>
      <c r="B110" s="1" t="s">
        <v>94</v>
      </c>
      <c r="C110" s="4">
        <v>8</v>
      </c>
      <c r="D110" s="8">
        <v>1.44</v>
      </c>
      <c r="E110" s="4">
        <v>3</v>
      </c>
      <c r="F110" s="8">
        <v>0.83</v>
      </c>
      <c r="G110" s="4">
        <v>5</v>
      </c>
      <c r="H110" s="8">
        <v>2.6</v>
      </c>
      <c r="I110" s="4">
        <v>0</v>
      </c>
    </row>
    <row r="111" spans="1:9" x14ac:dyDescent="0.2">
      <c r="A111" s="2">
        <v>20</v>
      </c>
      <c r="B111" s="1" t="s">
        <v>72</v>
      </c>
      <c r="C111" s="4">
        <v>7</v>
      </c>
      <c r="D111" s="8">
        <v>1.26</v>
      </c>
      <c r="E111" s="4">
        <v>3</v>
      </c>
      <c r="F111" s="8">
        <v>0.83</v>
      </c>
      <c r="G111" s="4">
        <v>4</v>
      </c>
      <c r="H111" s="8">
        <v>2.08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82</v>
      </c>
      <c r="C114" s="4">
        <v>171</v>
      </c>
      <c r="D114" s="8">
        <v>12.75</v>
      </c>
      <c r="E114" s="4">
        <v>159</v>
      </c>
      <c r="F114" s="8">
        <v>19.920000000000002</v>
      </c>
      <c r="G114" s="4">
        <v>12</v>
      </c>
      <c r="H114" s="8">
        <v>2.2599999999999998</v>
      </c>
      <c r="I114" s="4">
        <v>0</v>
      </c>
    </row>
    <row r="115" spans="1:9" x14ac:dyDescent="0.2">
      <c r="A115" s="2">
        <v>2</v>
      </c>
      <c r="B115" s="1" t="s">
        <v>81</v>
      </c>
      <c r="C115" s="4">
        <v>165</v>
      </c>
      <c r="D115" s="8">
        <v>12.3</v>
      </c>
      <c r="E115" s="4">
        <v>153</v>
      </c>
      <c r="F115" s="8">
        <v>19.170000000000002</v>
      </c>
      <c r="G115" s="4">
        <v>12</v>
      </c>
      <c r="H115" s="8">
        <v>2.2599999999999998</v>
      </c>
      <c r="I115" s="4">
        <v>0</v>
      </c>
    </row>
    <row r="116" spans="1:9" x14ac:dyDescent="0.2">
      <c r="A116" s="2">
        <v>3</v>
      </c>
      <c r="B116" s="1" t="s">
        <v>75</v>
      </c>
      <c r="C116" s="4">
        <v>112</v>
      </c>
      <c r="D116" s="8">
        <v>8.35</v>
      </c>
      <c r="E116" s="4">
        <v>44</v>
      </c>
      <c r="F116" s="8">
        <v>5.51</v>
      </c>
      <c r="G116" s="4">
        <v>65</v>
      </c>
      <c r="H116" s="8">
        <v>12.26</v>
      </c>
      <c r="I116" s="4">
        <v>3</v>
      </c>
    </row>
    <row r="117" spans="1:9" x14ac:dyDescent="0.2">
      <c r="A117" s="2">
        <v>4</v>
      </c>
      <c r="B117" s="1" t="s">
        <v>73</v>
      </c>
      <c r="C117" s="4">
        <v>84</v>
      </c>
      <c r="D117" s="8">
        <v>6.26</v>
      </c>
      <c r="E117" s="4">
        <v>67</v>
      </c>
      <c r="F117" s="8">
        <v>8.4</v>
      </c>
      <c r="G117" s="4">
        <v>17</v>
      </c>
      <c r="H117" s="8">
        <v>3.21</v>
      </c>
      <c r="I117" s="4">
        <v>0</v>
      </c>
    </row>
    <row r="118" spans="1:9" x14ac:dyDescent="0.2">
      <c r="A118" s="2">
        <v>5</v>
      </c>
      <c r="B118" s="1" t="s">
        <v>67</v>
      </c>
      <c r="C118" s="4">
        <v>67</v>
      </c>
      <c r="D118" s="8">
        <v>5</v>
      </c>
      <c r="E118" s="4">
        <v>17</v>
      </c>
      <c r="F118" s="8">
        <v>2.13</v>
      </c>
      <c r="G118" s="4">
        <v>50</v>
      </c>
      <c r="H118" s="8">
        <v>9.43</v>
      </c>
      <c r="I118" s="4">
        <v>0</v>
      </c>
    </row>
    <row r="119" spans="1:9" x14ac:dyDescent="0.2">
      <c r="A119" s="2">
        <v>5</v>
      </c>
      <c r="B119" s="1" t="s">
        <v>84</v>
      </c>
      <c r="C119" s="4">
        <v>67</v>
      </c>
      <c r="D119" s="8">
        <v>5</v>
      </c>
      <c r="E119" s="4">
        <v>66</v>
      </c>
      <c r="F119" s="8">
        <v>8.27</v>
      </c>
      <c r="G119" s="4">
        <v>1</v>
      </c>
      <c r="H119" s="8">
        <v>0.19</v>
      </c>
      <c r="I119" s="4">
        <v>0</v>
      </c>
    </row>
    <row r="120" spans="1:9" x14ac:dyDescent="0.2">
      <c r="A120" s="2">
        <v>7</v>
      </c>
      <c r="B120" s="1" t="s">
        <v>74</v>
      </c>
      <c r="C120" s="4">
        <v>48</v>
      </c>
      <c r="D120" s="8">
        <v>3.58</v>
      </c>
      <c r="E120" s="4">
        <v>29</v>
      </c>
      <c r="F120" s="8">
        <v>3.63</v>
      </c>
      <c r="G120" s="4">
        <v>19</v>
      </c>
      <c r="H120" s="8">
        <v>3.58</v>
      </c>
      <c r="I120" s="4">
        <v>0</v>
      </c>
    </row>
    <row r="121" spans="1:9" x14ac:dyDescent="0.2">
      <c r="A121" s="2">
        <v>7</v>
      </c>
      <c r="B121" s="1" t="s">
        <v>83</v>
      </c>
      <c r="C121" s="4">
        <v>48</v>
      </c>
      <c r="D121" s="8">
        <v>3.58</v>
      </c>
      <c r="E121" s="4">
        <v>38</v>
      </c>
      <c r="F121" s="8">
        <v>4.76</v>
      </c>
      <c r="G121" s="4">
        <v>9</v>
      </c>
      <c r="H121" s="8">
        <v>1.7</v>
      </c>
      <c r="I121" s="4">
        <v>0</v>
      </c>
    </row>
    <row r="122" spans="1:9" x14ac:dyDescent="0.2">
      <c r="A122" s="2">
        <v>9</v>
      </c>
      <c r="B122" s="1" t="s">
        <v>68</v>
      </c>
      <c r="C122" s="4">
        <v>44</v>
      </c>
      <c r="D122" s="8">
        <v>3.28</v>
      </c>
      <c r="E122" s="4">
        <v>21</v>
      </c>
      <c r="F122" s="8">
        <v>2.63</v>
      </c>
      <c r="G122" s="4">
        <v>23</v>
      </c>
      <c r="H122" s="8">
        <v>4.34</v>
      </c>
      <c r="I122" s="4">
        <v>0</v>
      </c>
    </row>
    <row r="123" spans="1:9" x14ac:dyDescent="0.2">
      <c r="A123" s="2">
        <v>10</v>
      </c>
      <c r="B123" s="1" t="s">
        <v>78</v>
      </c>
      <c r="C123" s="4">
        <v>37</v>
      </c>
      <c r="D123" s="8">
        <v>2.76</v>
      </c>
      <c r="E123" s="4">
        <v>30</v>
      </c>
      <c r="F123" s="8">
        <v>3.76</v>
      </c>
      <c r="G123" s="4">
        <v>7</v>
      </c>
      <c r="H123" s="8">
        <v>1.32</v>
      </c>
      <c r="I123" s="4">
        <v>0</v>
      </c>
    </row>
    <row r="124" spans="1:9" x14ac:dyDescent="0.2">
      <c r="A124" s="2">
        <v>11</v>
      </c>
      <c r="B124" s="1" t="s">
        <v>77</v>
      </c>
      <c r="C124" s="4">
        <v>36</v>
      </c>
      <c r="D124" s="8">
        <v>2.68</v>
      </c>
      <c r="E124" s="4">
        <v>10</v>
      </c>
      <c r="F124" s="8">
        <v>1.25</v>
      </c>
      <c r="G124" s="4">
        <v>26</v>
      </c>
      <c r="H124" s="8">
        <v>4.91</v>
      </c>
      <c r="I124" s="4">
        <v>0</v>
      </c>
    </row>
    <row r="125" spans="1:9" x14ac:dyDescent="0.2">
      <c r="A125" s="2">
        <v>12</v>
      </c>
      <c r="B125" s="1" t="s">
        <v>86</v>
      </c>
      <c r="C125" s="4">
        <v>31</v>
      </c>
      <c r="D125" s="8">
        <v>2.31</v>
      </c>
      <c r="E125" s="4">
        <v>31</v>
      </c>
      <c r="F125" s="8">
        <v>3.88</v>
      </c>
      <c r="G125" s="4">
        <v>0</v>
      </c>
      <c r="H125" s="8">
        <v>0</v>
      </c>
      <c r="I125" s="4">
        <v>0</v>
      </c>
    </row>
    <row r="126" spans="1:9" x14ac:dyDescent="0.2">
      <c r="A126" s="2">
        <v>13</v>
      </c>
      <c r="B126" s="1" t="s">
        <v>72</v>
      </c>
      <c r="C126" s="4">
        <v>29</v>
      </c>
      <c r="D126" s="8">
        <v>2.16</v>
      </c>
      <c r="E126" s="4">
        <v>12</v>
      </c>
      <c r="F126" s="8">
        <v>1.5</v>
      </c>
      <c r="G126" s="4">
        <v>17</v>
      </c>
      <c r="H126" s="8">
        <v>3.21</v>
      </c>
      <c r="I126" s="4">
        <v>0</v>
      </c>
    </row>
    <row r="127" spans="1:9" x14ac:dyDescent="0.2">
      <c r="A127" s="2">
        <v>13</v>
      </c>
      <c r="B127" s="1" t="s">
        <v>85</v>
      </c>
      <c r="C127" s="4">
        <v>29</v>
      </c>
      <c r="D127" s="8">
        <v>2.16</v>
      </c>
      <c r="E127" s="4">
        <v>0</v>
      </c>
      <c r="F127" s="8">
        <v>0</v>
      </c>
      <c r="G127" s="4">
        <v>29</v>
      </c>
      <c r="H127" s="8">
        <v>5.47</v>
      </c>
      <c r="I127" s="4">
        <v>0</v>
      </c>
    </row>
    <row r="128" spans="1:9" x14ac:dyDescent="0.2">
      <c r="A128" s="2">
        <v>15</v>
      </c>
      <c r="B128" s="1" t="s">
        <v>69</v>
      </c>
      <c r="C128" s="4">
        <v>27</v>
      </c>
      <c r="D128" s="8">
        <v>2.0099999999999998</v>
      </c>
      <c r="E128" s="4">
        <v>5</v>
      </c>
      <c r="F128" s="8">
        <v>0.63</v>
      </c>
      <c r="G128" s="4">
        <v>22</v>
      </c>
      <c r="H128" s="8">
        <v>4.1500000000000004</v>
      </c>
      <c r="I128" s="4">
        <v>0</v>
      </c>
    </row>
    <row r="129" spans="1:9" x14ac:dyDescent="0.2">
      <c r="A129" s="2">
        <v>16</v>
      </c>
      <c r="B129" s="1" t="s">
        <v>79</v>
      </c>
      <c r="C129" s="4">
        <v>24</v>
      </c>
      <c r="D129" s="8">
        <v>1.79</v>
      </c>
      <c r="E129" s="4">
        <v>14</v>
      </c>
      <c r="F129" s="8">
        <v>1.75</v>
      </c>
      <c r="G129" s="4">
        <v>10</v>
      </c>
      <c r="H129" s="8">
        <v>1.89</v>
      </c>
      <c r="I129" s="4">
        <v>0</v>
      </c>
    </row>
    <row r="130" spans="1:9" x14ac:dyDescent="0.2">
      <c r="A130" s="2">
        <v>17</v>
      </c>
      <c r="B130" s="1" t="s">
        <v>70</v>
      </c>
      <c r="C130" s="4">
        <v>22</v>
      </c>
      <c r="D130" s="8">
        <v>1.64</v>
      </c>
      <c r="E130" s="4">
        <v>8</v>
      </c>
      <c r="F130" s="8">
        <v>1</v>
      </c>
      <c r="G130" s="4">
        <v>14</v>
      </c>
      <c r="H130" s="8">
        <v>2.64</v>
      </c>
      <c r="I130" s="4">
        <v>0</v>
      </c>
    </row>
    <row r="131" spans="1:9" x14ac:dyDescent="0.2">
      <c r="A131" s="2">
        <v>18</v>
      </c>
      <c r="B131" s="1" t="s">
        <v>89</v>
      </c>
      <c r="C131" s="4">
        <v>20</v>
      </c>
      <c r="D131" s="8">
        <v>1.49</v>
      </c>
      <c r="E131" s="4">
        <v>11</v>
      </c>
      <c r="F131" s="8">
        <v>1.38</v>
      </c>
      <c r="G131" s="4">
        <v>8</v>
      </c>
      <c r="H131" s="8">
        <v>1.51</v>
      </c>
      <c r="I131" s="4">
        <v>1</v>
      </c>
    </row>
    <row r="132" spans="1:9" x14ac:dyDescent="0.2">
      <c r="A132" s="2">
        <v>18</v>
      </c>
      <c r="B132" s="1" t="s">
        <v>76</v>
      </c>
      <c r="C132" s="4">
        <v>20</v>
      </c>
      <c r="D132" s="8">
        <v>1.49</v>
      </c>
      <c r="E132" s="4">
        <v>14</v>
      </c>
      <c r="F132" s="8">
        <v>1.75</v>
      </c>
      <c r="G132" s="4">
        <v>6</v>
      </c>
      <c r="H132" s="8">
        <v>1.1299999999999999</v>
      </c>
      <c r="I132" s="4">
        <v>0</v>
      </c>
    </row>
    <row r="133" spans="1:9" x14ac:dyDescent="0.2">
      <c r="A133" s="2">
        <v>20</v>
      </c>
      <c r="B133" s="1" t="s">
        <v>87</v>
      </c>
      <c r="C133" s="4">
        <v>18</v>
      </c>
      <c r="D133" s="8">
        <v>1.34</v>
      </c>
      <c r="E133" s="4">
        <v>4</v>
      </c>
      <c r="F133" s="8">
        <v>0.5</v>
      </c>
      <c r="G133" s="4">
        <v>14</v>
      </c>
      <c r="H133" s="8">
        <v>2.64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82</v>
      </c>
      <c r="C136" s="4">
        <v>141</v>
      </c>
      <c r="D136" s="8">
        <v>11.34</v>
      </c>
      <c r="E136" s="4">
        <v>129</v>
      </c>
      <c r="F136" s="8">
        <v>16.02</v>
      </c>
      <c r="G136" s="4">
        <v>11</v>
      </c>
      <c r="H136" s="8">
        <v>2.57</v>
      </c>
      <c r="I136" s="4">
        <v>1</v>
      </c>
    </row>
    <row r="137" spans="1:9" x14ac:dyDescent="0.2">
      <c r="A137" s="2">
        <v>2</v>
      </c>
      <c r="B137" s="1" t="s">
        <v>81</v>
      </c>
      <c r="C137" s="4">
        <v>132</v>
      </c>
      <c r="D137" s="8">
        <v>10.62</v>
      </c>
      <c r="E137" s="4">
        <v>121</v>
      </c>
      <c r="F137" s="8">
        <v>15.03</v>
      </c>
      <c r="G137" s="4">
        <v>11</v>
      </c>
      <c r="H137" s="8">
        <v>2.57</v>
      </c>
      <c r="I137" s="4">
        <v>0</v>
      </c>
    </row>
    <row r="138" spans="1:9" x14ac:dyDescent="0.2">
      <c r="A138" s="2">
        <v>3</v>
      </c>
      <c r="B138" s="1" t="s">
        <v>75</v>
      </c>
      <c r="C138" s="4">
        <v>120</v>
      </c>
      <c r="D138" s="8">
        <v>9.65</v>
      </c>
      <c r="E138" s="4">
        <v>63</v>
      </c>
      <c r="F138" s="8">
        <v>7.83</v>
      </c>
      <c r="G138" s="4">
        <v>57</v>
      </c>
      <c r="H138" s="8">
        <v>13.32</v>
      </c>
      <c r="I138" s="4">
        <v>0</v>
      </c>
    </row>
    <row r="139" spans="1:9" x14ac:dyDescent="0.2">
      <c r="A139" s="2">
        <v>4</v>
      </c>
      <c r="B139" s="1" t="s">
        <v>73</v>
      </c>
      <c r="C139" s="4">
        <v>113</v>
      </c>
      <c r="D139" s="8">
        <v>9.09</v>
      </c>
      <c r="E139" s="4">
        <v>83</v>
      </c>
      <c r="F139" s="8">
        <v>10.31</v>
      </c>
      <c r="G139" s="4">
        <v>29</v>
      </c>
      <c r="H139" s="8">
        <v>6.78</v>
      </c>
      <c r="I139" s="4">
        <v>1</v>
      </c>
    </row>
    <row r="140" spans="1:9" x14ac:dyDescent="0.2">
      <c r="A140" s="2">
        <v>5</v>
      </c>
      <c r="B140" s="1" t="s">
        <v>67</v>
      </c>
      <c r="C140" s="4">
        <v>63</v>
      </c>
      <c r="D140" s="8">
        <v>5.07</v>
      </c>
      <c r="E140" s="4">
        <v>21</v>
      </c>
      <c r="F140" s="8">
        <v>2.61</v>
      </c>
      <c r="G140" s="4">
        <v>42</v>
      </c>
      <c r="H140" s="8">
        <v>9.81</v>
      </c>
      <c r="I140" s="4">
        <v>0</v>
      </c>
    </row>
    <row r="141" spans="1:9" x14ac:dyDescent="0.2">
      <c r="A141" s="2">
        <v>6</v>
      </c>
      <c r="B141" s="1" t="s">
        <v>68</v>
      </c>
      <c r="C141" s="4">
        <v>55</v>
      </c>
      <c r="D141" s="8">
        <v>4.42</v>
      </c>
      <c r="E141" s="4">
        <v>39</v>
      </c>
      <c r="F141" s="8">
        <v>4.84</v>
      </c>
      <c r="G141" s="4">
        <v>16</v>
      </c>
      <c r="H141" s="8">
        <v>3.74</v>
      </c>
      <c r="I141" s="4">
        <v>0</v>
      </c>
    </row>
    <row r="142" spans="1:9" x14ac:dyDescent="0.2">
      <c r="A142" s="2">
        <v>7</v>
      </c>
      <c r="B142" s="1" t="s">
        <v>74</v>
      </c>
      <c r="C142" s="4">
        <v>52</v>
      </c>
      <c r="D142" s="8">
        <v>4.18</v>
      </c>
      <c r="E142" s="4">
        <v>38</v>
      </c>
      <c r="F142" s="8">
        <v>4.72</v>
      </c>
      <c r="G142" s="4">
        <v>14</v>
      </c>
      <c r="H142" s="8">
        <v>3.27</v>
      </c>
      <c r="I142" s="4">
        <v>0</v>
      </c>
    </row>
    <row r="143" spans="1:9" x14ac:dyDescent="0.2">
      <c r="A143" s="2">
        <v>8</v>
      </c>
      <c r="B143" s="1" t="s">
        <v>83</v>
      </c>
      <c r="C143" s="4">
        <v>42</v>
      </c>
      <c r="D143" s="8">
        <v>3.38</v>
      </c>
      <c r="E143" s="4">
        <v>37</v>
      </c>
      <c r="F143" s="8">
        <v>4.5999999999999996</v>
      </c>
      <c r="G143" s="4">
        <v>4</v>
      </c>
      <c r="H143" s="8">
        <v>0.93</v>
      </c>
      <c r="I143" s="4">
        <v>1</v>
      </c>
    </row>
    <row r="144" spans="1:9" x14ac:dyDescent="0.2">
      <c r="A144" s="2">
        <v>9</v>
      </c>
      <c r="B144" s="1" t="s">
        <v>84</v>
      </c>
      <c r="C144" s="4">
        <v>40</v>
      </c>
      <c r="D144" s="8">
        <v>3.22</v>
      </c>
      <c r="E144" s="4">
        <v>37</v>
      </c>
      <c r="F144" s="8">
        <v>4.5999999999999996</v>
      </c>
      <c r="G144" s="4">
        <v>3</v>
      </c>
      <c r="H144" s="8">
        <v>0.7</v>
      </c>
      <c r="I144" s="4">
        <v>0</v>
      </c>
    </row>
    <row r="145" spans="1:9" x14ac:dyDescent="0.2">
      <c r="A145" s="2">
        <v>10</v>
      </c>
      <c r="B145" s="1" t="s">
        <v>69</v>
      </c>
      <c r="C145" s="4">
        <v>36</v>
      </c>
      <c r="D145" s="8">
        <v>2.9</v>
      </c>
      <c r="E145" s="4">
        <v>14</v>
      </c>
      <c r="F145" s="8">
        <v>1.74</v>
      </c>
      <c r="G145" s="4">
        <v>22</v>
      </c>
      <c r="H145" s="8">
        <v>5.14</v>
      </c>
      <c r="I145" s="4">
        <v>0</v>
      </c>
    </row>
    <row r="146" spans="1:9" x14ac:dyDescent="0.2">
      <c r="A146" s="2">
        <v>10</v>
      </c>
      <c r="B146" s="1" t="s">
        <v>70</v>
      </c>
      <c r="C146" s="4">
        <v>36</v>
      </c>
      <c r="D146" s="8">
        <v>2.9</v>
      </c>
      <c r="E146" s="4">
        <v>10</v>
      </c>
      <c r="F146" s="8">
        <v>1.24</v>
      </c>
      <c r="G146" s="4">
        <v>26</v>
      </c>
      <c r="H146" s="8">
        <v>6.07</v>
      </c>
      <c r="I146" s="4">
        <v>0</v>
      </c>
    </row>
    <row r="147" spans="1:9" x14ac:dyDescent="0.2">
      <c r="A147" s="2">
        <v>12</v>
      </c>
      <c r="B147" s="1" t="s">
        <v>80</v>
      </c>
      <c r="C147" s="4">
        <v>29</v>
      </c>
      <c r="D147" s="8">
        <v>2.33</v>
      </c>
      <c r="E147" s="4">
        <v>19</v>
      </c>
      <c r="F147" s="8">
        <v>2.36</v>
      </c>
      <c r="G147" s="4">
        <v>10</v>
      </c>
      <c r="H147" s="8">
        <v>2.34</v>
      </c>
      <c r="I147" s="4">
        <v>0</v>
      </c>
    </row>
    <row r="148" spans="1:9" x14ac:dyDescent="0.2">
      <c r="A148" s="2">
        <v>13</v>
      </c>
      <c r="B148" s="1" t="s">
        <v>79</v>
      </c>
      <c r="C148" s="4">
        <v>28</v>
      </c>
      <c r="D148" s="8">
        <v>2.25</v>
      </c>
      <c r="E148" s="4">
        <v>14</v>
      </c>
      <c r="F148" s="8">
        <v>1.74</v>
      </c>
      <c r="G148" s="4">
        <v>13</v>
      </c>
      <c r="H148" s="8">
        <v>3.04</v>
      </c>
      <c r="I148" s="4">
        <v>0</v>
      </c>
    </row>
    <row r="149" spans="1:9" x14ac:dyDescent="0.2">
      <c r="A149" s="2">
        <v>13</v>
      </c>
      <c r="B149" s="1" t="s">
        <v>86</v>
      </c>
      <c r="C149" s="4">
        <v>28</v>
      </c>
      <c r="D149" s="8">
        <v>2.25</v>
      </c>
      <c r="E149" s="4">
        <v>27</v>
      </c>
      <c r="F149" s="8">
        <v>3.35</v>
      </c>
      <c r="G149" s="4">
        <v>1</v>
      </c>
      <c r="H149" s="8">
        <v>0.23</v>
      </c>
      <c r="I149" s="4">
        <v>0</v>
      </c>
    </row>
    <row r="150" spans="1:9" x14ac:dyDescent="0.2">
      <c r="A150" s="2">
        <v>15</v>
      </c>
      <c r="B150" s="1" t="s">
        <v>71</v>
      </c>
      <c r="C150" s="4">
        <v>26</v>
      </c>
      <c r="D150" s="8">
        <v>2.09</v>
      </c>
      <c r="E150" s="4">
        <v>11</v>
      </c>
      <c r="F150" s="8">
        <v>1.37</v>
      </c>
      <c r="G150" s="4">
        <v>15</v>
      </c>
      <c r="H150" s="8">
        <v>3.5</v>
      </c>
      <c r="I150" s="4">
        <v>0</v>
      </c>
    </row>
    <row r="151" spans="1:9" x14ac:dyDescent="0.2">
      <c r="A151" s="2">
        <v>16</v>
      </c>
      <c r="B151" s="1" t="s">
        <v>72</v>
      </c>
      <c r="C151" s="4">
        <v>25</v>
      </c>
      <c r="D151" s="8">
        <v>2.0099999999999998</v>
      </c>
      <c r="E151" s="4">
        <v>10</v>
      </c>
      <c r="F151" s="8">
        <v>1.24</v>
      </c>
      <c r="G151" s="4">
        <v>15</v>
      </c>
      <c r="H151" s="8">
        <v>3.5</v>
      </c>
      <c r="I151" s="4">
        <v>0</v>
      </c>
    </row>
    <row r="152" spans="1:9" x14ac:dyDescent="0.2">
      <c r="A152" s="2">
        <v>17</v>
      </c>
      <c r="B152" s="1" t="s">
        <v>77</v>
      </c>
      <c r="C152" s="4">
        <v>24</v>
      </c>
      <c r="D152" s="8">
        <v>1.93</v>
      </c>
      <c r="E152" s="4">
        <v>11</v>
      </c>
      <c r="F152" s="8">
        <v>1.37</v>
      </c>
      <c r="G152" s="4">
        <v>13</v>
      </c>
      <c r="H152" s="8">
        <v>3.04</v>
      </c>
      <c r="I152" s="4">
        <v>0</v>
      </c>
    </row>
    <row r="153" spans="1:9" x14ac:dyDescent="0.2">
      <c r="A153" s="2">
        <v>18</v>
      </c>
      <c r="B153" s="1" t="s">
        <v>78</v>
      </c>
      <c r="C153" s="4">
        <v>19</v>
      </c>
      <c r="D153" s="8">
        <v>1.53</v>
      </c>
      <c r="E153" s="4">
        <v>17</v>
      </c>
      <c r="F153" s="8">
        <v>2.11</v>
      </c>
      <c r="G153" s="4">
        <v>2</v>
      </c>
      <c r="H153" s="8">
        <v>0.47</v>
      </c>
      <c r="I153" s="4">
        <v>0</v>
      </c>
    </row>
    <row r="154" spans="1:9" x14ac:dyDescent="0.2">
      <c r="A154" s="2">
        <v>19</v>
      </c>
      <c r="B154" s="1" t="s">
        <v>95</v>
      </c>
      <c r="C154" s="4">
        <v>18</v>
      </c>
      <c r="D154" s="8">
        <v>1.45</v>
      </c>
      <c r="E154" s="4">
        <v>9</v>
      </c>
      <c r="F154" s="8">
        <v>1.1200000000000001</v>
      </c>
      <c r="G154" s="4">
        <v>9</v>
      </c>
      <c r="H154" s="8">
        <v>2.1</v>
      </c>
      <c r="I154" s="4">
        <v>0</v>
      </c>
    </row>
    <row r="155" spans="1:9" x14ac:dyDescent="0.2">
      <c r="A155" s="2">
        <v>20</v>
      </c>
      <c r="B155" s="1" t="s">
        <v>94</v>
      </c>
      <c r="C155" s="4">
        <v>14</v>
      </c>
      <c r="D155" s="8">
        <v>1.1299999999999999</v>
      </c>
      <c r="E155" s="4">
        <v>5</v>
      </c>
      <c r="F155" s="8">
        <v>0.62</v>
      </c>
      <c r="G155" s="4">
        <v>8</v>
      </c>
      <c r="H155" s="8">
        <v>1.87</v>
      </c>
      <c r="I155" s="4">
        <v>1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81</v>
      </c>
      <c r="C158" s="4">
        <v>70</v>
      </c>
      <c r="D158" s="8">
        <v>13.41</v>
      </c>
      <c r="E158" s="4">
        <v>65</v>
      </c>
      <c r="F158" s="8">
        <v>19.579999999999998</v>
      </c>
      <c r="G158" s="4">
        <v>5</v>
      </c>
      <c r="H158" s="8">
        <v>2.72</v>
      </c>
      <c r="I158" s="4">
        <v>0</v>
      </c>
    </row>
    <row r="159" spans="1:9" x14ac:dyDescent="0.2">
      <c r="A159" s="2">
        <v>2</v>
      </c>
      <c r="B159" s="1" t="s">
        <v>82</v>
      </c>
      <c r="C159" s="4">
        <v>61</v>
      </c>
      <c r="D159" s="8">
        <v>11.69</v>
      </c>
      <c r="E159" s="4">
        <v>60</v>
      </c>
      <c r="F159" s="8">
        <v>18.07</v>
      </c>
      <c r="G159" s="4">
        <v>1</v>
      </c>
      <c r="H159" s="8">
        <v>0.54</v>
      </c>
      <c r="I159" s="4">
        <v>0</v>
      </c>
    </row>
    <row r="160" spans="1:9" x14ac:dyDescent="0.2">
      <c r="A160" s="2">
        <v>3</v>
      </c>
      <c r="B160" s="1" t="s">
        <v>75</v>
      </c>
      <c r="C160" s="4">
        <v>51</v>
      </c>
      <c r="D160" s="8">
        <v>9.77</v>
      </c>
      <c r="E160" s="4">
        <v>30</v>
      </c>
      <c r="F160" s="8">
        <v>9.0399999999999991</v>
      </c>
      <c r="G160" s="4">
        <v>21</v>
      </c>
      <c r="H160" s="8">
        <v>11.41</v>
      </c>
      <c r="I160" s="4">
        <v>0</v>
      </c>
    </row>
    <row r="161" spans="1:9" x14ac:dyDescent="0.2">
      <c r="A161" s="2">
        <v>4</v>
      </c>
      <c r="B161" s="1" t="s">
        <v>73</v>
      </c>
      <c r="C161" s="4">
        <v>48</v>
      </c>
      <c r="D161" s="8">
        <v>9.1999999999999993</v>
      </c>
      <c r="E161" s="4">
        <v>33</v>
      </c>
      <c r="F161" s="8">
        <v>9.94</v>
      </c>
      <c r="G161" s="4">
        <v>15</v>
      </c>
      <c r="H161" s="8">
        <v>8.15</v>
      </c>
      <c r="I161" s="4">
        <v>0</v>
      </c>
    </row>
    <row r="162" spans="1:9" x14ac:dyDescent="0.2">
      <c r="A162" s="2">
        <v>5</v>
      </c>
      <c r="B162" s="1" t="s">
        <v>67</v>
      </c>
      <c r="C162" s="4">
        <v>26</v>
      </c>
      <c r="D162" s="8">
        <v>4.9800000000000004</v>
      </c>
      <c r="E162" s="4">
        <v>4</v>
      </c>
      <c r="F162" s="8">
        <v>1.2</v>
      </c>
      <c r="G162" s="4">
        <v>22</v>
      </c>
      <c r="H162" s="8">
        <v>11.96</v>
      </c>
      <c r="I162" s="4">
        <v>0</v>
      </c>
    </row>
    <row r="163" spans="1:9" x14ac:dyDescent="0.2">
      <c r="A163" s="2">
        <v>6</v>
      </c>
      <c r="B163" s="1" t="s">
        <v>74</v>
      </c>
      <c r="C163" s="4">
        <v>24</v>
      </c>
      <c r="D163" s="8">
        <v>4.5999999999999996</v>
      </c>
      <c r="E163" s="4">
        <v>16</v>
      </c>
      <c r="F163" s="8">
        <v>4.82</v>
      </c>
      <c r="G163" s="4">
        <v>8</v>
      </c>
      <c r="H163" s="8">
        <v>4.3499999999999996</v>
      </c>
      <c r="I163" s="4">
        <v>0</v>
      </c>
    </row>
    <row r="164" spans="1:9" x14ac:dyDescent="0.2">
      <c r="A164" s="2">
        <v>7</v>
      </c>
      <c r="B164" s="1" t="s">
        <v>80</v>
      </c>
      <c r="C164" s="4">
        <v>20</v>
      </c>
      <c r="D164" s="8">
        <v>3.83</v>
      </c>
      <c r="E164" s="4">
        <v>16</v>
      </c>
      <c r="F164" s="8">
        <v>4.82</v>
      </c>
      <c r="G164" s="4">
        <v>4</v>
      </c>
      <c r="H164" s="8">
        <v>2.17</v>
      </c>
      <c r="I164" s="4">
        <v>0</v>
      </c>
    </row>
    <row r="165" spans="1:9" x14ac:dyDescent="0.2">
      <c r="A165" s="2">
        <v>8</v>
      </c>
      <c r="B165" s="1" t="s">
        <v>70</v>
      </c>
      <c r="C165" s="4">
        <v>19</v>
      </c>
      <c r="D165" s="8">
        <v>3.64</v>
      </c>
      <c r="E165" s="4">
        <v>11</v>
      </c>
      <c r="F165" s="8">
        <v>3.31</v>
      </c>
      <c r="G165" s="4">
        <v>8</v>
      </c>
      <c r="H165" s="8">
        <v>4.3499999999999996</v>
      </c>
      <c r="I165" s="4">
        <v>0</v>
      </c>
    </row>
    <row r="166" spans="1:9" x14ac:dyDescent="0.2">
      <c r="A166" s="2">
        <v>9</v>
      </c>
      <c r="B166" s="1" t="s">
        <v>79</v>
      </c>
      <c r="C166" s="4">
        <v>15</v>
      </c>
      <c r="D166" s="8">
        <v>2.87</v>
      </c>
      <c r="E166" s="4">
        <v>3</v>
      </c>
      <c r="F166" s="8">
        <v>0.9</v>
      </c>
      <c r="G166" s="4">
        <v>12</v>
      </c>
      <c r="H166" s="8">
        <v>6.52</v>
      </c>
      <c r="I166" s="4">
        <v>0</v>
      </c>
    </row>
    <row r="167" spans="1:9" x14ac:dyDescent="0.2">
      <c r="A167" s="2">
        <v>10</v>
      </c>
      <c r="B167" s="1" t="s">
        <v>84</v>
      </c>
      <c r="C167" s="4">
        <v>14</v>
      </c>
      <c r="D167" s="8">
        <v>2.68</v>
      </c>
      <c r="E167" s="4">
        <v>12</v>
      </c>
      <c r="F167" s="8">
        <v>3.61</v>
      </c>
      <c r="G167" s="4">
        <v>2</v>
      </c>
      <c r="H167" s="8">
        <v>1.0900000000000001</v>
      </c>
      <c r="I167" s="4">
        <v>0</v>
      </c>
    </row>
    <row r="168" spans="1:9" x14ac:dyDescent="0.2">
      <c r="A168" s="2">
        <v>11</v>
      </c>
      <c r="B168" s="1" t="s">
        <v>69</v>
      </c>
      <c r="C168" s="4">
        <v>12</v>
      </c>
      <c r="D168" s="8">
        <v>2.2999999999999998</v>
      </c>
      <c r="E168" s="4">
        <v>6</v>
      </c>
      <c r="F168" s="8">
        <v>1.81</v>
      </c>
      <c r="G168" s="4">
        <v>6</v>
      </c>
      <c r="H168" s="8">
        <v>3.26</v>
      </c>
      <c r="I168" s="4">
        <v>0</v>
      </c>
    </row>
    <row r="169" spans="1:9" x14ac:dyDescent="0.2">
      <c r="A169" s="2">
        <v>11</v>
      </c>
      <c r="B169" s="1" t="s">
        <v>77</v>
      </c>
      <c r="C169" s="4">
        <v>12</v>
      </c>
      <c r="D169" s="8">
        <v>2.2999999999999998</v>
      </c>
      <c r="E169" s="4">
        <v>7</v>
      </c>
      <c r="F169" s="8">
        <v>2.11</v>
      </c>
      <c r="G169" s="4">
        <v>5</v>
      </c>
      <c r="H169" s="8">
        <v>2.72</v>
      </c>
      <c r="I169" s="4">
        <v>0</v>
      </c>
    </row>
    <row r="170" spans="1:9" x14ac:dyDescent="0.2">
      <c r="A170" s="2">
        <v>11</v>
      </c>
      <c r="B170" s="1" t="s">
        <v>85</v>
      </c>
      <c r="C170" s="4">
        <v>12</v>
      </c>
      <c r="D170" s="8">
        <v>2.2999999999999998</v>
      </c>
      <c r="E170" s="4">
        <v>0</v>
      </c>
      <c r="F170" s="8">
        <v>0</v>
      </c>
      <c r="G170" s="4">
        <v>11</v>
      </c>
      <c r="H170" s="8">
        <v>5.98</v>
      </c>
      <c r="I170" s="4">
        <v>0</v>
      </c>
    </row>
    <row r="171" spans="1:9" x14ac:dyDescent="0.2">
      <c r="A171" s="2">
        <v>14</v>
      </c>
      <c r="B171" s="1" t="s">
        <v>68</v>
      </c>
      <c r="C171" s="4">
        <v>11</v>
      </c>
      <c r="D171" s="8">
        <v>2.11</v>
      </c>
      <c r="E171" s="4">
        <v>5</v>
      </c>
      <c r="F171" s="8">
        <v>1.51</v>
      </c>
      <c r="G171" s="4">
        <v>6</v>
      </c>
      <c r="H171" s="8">
        <v>3.26</v>
      </c>
      <c r="I171" s="4">
        <v>0</v>
      </c>
    </row>
    <row r="172" spans="1:9" x14ac:dyDescent="0.2">
      <c r="A172" s="2">
        <v>14</v>
      </c>
      <c r="B172" s="1" t="s">
        <v>86</v>
      </c>
      <c r="C172" s="4">
        <v>11</v>
      </c>
      <c r="D172" s="8">
        <v>2.11</v>
      </c>
      <c r="E172" s="4">
        <v>9</v>
      </c>
      <c r="F172" s="8">
        <v>2.71</v>
      </c>
      <c r="G172" s="4">
        <v>2</v>
      </c>
      <c r="H172" s="8">
        <v>1.0900000000000001</v>
      </c>
      <c r="I172" s="4">
        <v>0</v>
      </c>
    </row>
    <row r="173" spans="1:9" x14ac:dyDescent="0.2">
      <c r="A173" s="2">
        <v>16</v>
      </c>
      <c r="B173" s="1" t="s">
        <v>78</v>
      </c>
      <c r="C173" s="4">
        <v>9</v>
      </c>
      <c r="D173" s="8">
        <v>1.72</v>
      </c>
      <c r="E173" s="4">
        <v>8</v>
      </c>
      <c r="F173" s="8">
        <v>2.41</v>
      </c>
      <c r="G173" s="4">
        <v>1</v>
      </c>
      <c r="H173" s="8">
        <v>0.54</v>
      </c>
      <c r="I173" s="4">
        <v>0</v>
      </c>
    </row>
    <row r="174" spans="1:9" x14ac:dyDescent="0.2">
      <c r="A174" s="2">
        <v>16</v>
      </c>
      <c r="B174" s="1" t="s">
        <v>83</v>
      </c>
      <c r="C174" s="4">
        <v>9</v>
      </c>
      <c r="D174" s="8">
        <v>1.72</v>
      </c>
      <c r="E174" s="4">
        <v>6</v>
      </c>
      <c r="F174" s="8">
        <v>1.81</v>
      </c>
      <c r="G174" s="4">
        <v>3</v>
      </c>
      <c r="H174" s="8">
        <v>1.63</v>
      </c>
      <c r="I174" s="4">
        <v>0</v>
      </c>
    </row>
    <row r="175" spans="1:9" x14ac:dyDescent="0.2">
      <c r="A175" s="2">
        <v>18</v>
      </c>
      <c r="B175" s="1" t="s">
        <v>71</v>
      </c>
      <c r="C175" s="4">
        <v>8</v>
      </c>
      <c r="D175" s="8">
        <v>1.53</v>
      </c>
      <c r="E175" s="4">
        <v>3</v>
      </c>
      <c r="F175" s="8">
        <v>0.9</v>
      </c>
      <c r="G175" s="4">
        <v>5</v>
      </c>
      <c r="H175" s="8">
        <v>2.72</v>
      </c>
      <c r="I175" s="4">
        <v>0</v>
      </c>
    </row>
    <row r="176" spans="1:9" x14ac:dyDescent="0.2">
      <c r="A176" s="2">
        <v>19</v>
      </c>
      <c r="B176" s="1" t="s">
        <v>90</v>
      </c>
      <c r="C176" s="4">
        <v>7</v>
      </c>
      <c r="D176" s="8">
        <v>1.34</v>
      </c>
      <c r="E176" s="4">
        <v>4</v>
      </c>
      <c r="F176" s="8">
        <v>1.2</v>
      </c>
      <c r="G176" s="4">
        <v>3</v>
      </c>
      <c r="H176" s="8">
        <v>1.63</v>
      </c>
      <c r="I176" s="4">
        <v>0</v>
      </c>
    </row>
    <row r="177" spans="1:9" x14ac:dyDescent="0.2">
      <c r="A177" s="2">
        <v>19</v>
      </c>
      <c r="B177" s="1" t="s">
        <v>87</v>
      </c>
      <c r="C177" s="4">
        <v>7</v>
      </c>
      <c r="D177" s="8">
        <v>1.34</v>
      </c>
      <c r="E177" s="4">
        <v>5</v>
      </c>
      <c r="F177" s="8">
        <v>1.51</v>
      </c>
      <c r="G177" s="4">
        <v>2</v>
      </c>
      <c r="H177" s="8">
        <v>1.0900000000000001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73</v>
      </c>
      <c r="C180" s="4">
        <v>53</v>
      </c>
      <c r="D180" s="8">
        <v>13.84</v>
      </c>
      <c r="E180" s="4">
        <v>46</v>
      </c>
      <c r="F180" s="8">
        <v>20.81</v>
      </c>
      <c r="G180" s="4">
        <v>7</v>
      </c>
      <c r="H180" s="8">
        <v>4.79</v>
      </c>
      <c r="I180" s="4">
        <v>0</v>
      </c>
    </row>
    <row r="181" spans="1:9" x14ac:dyDescent="0.2">
      <c r="A181" s="2">
        <v>2</v>
      </c>
      <c r="B181" s="1" t="s">
        <v>82</v>
      </c>
      <c r="C181" s="4">
        <v>42</v>
      </c>
      <c r="D181" s="8">
        <v>10.97</v>
      </c>
      <c r="E181" s="4">
        <v>37</v>
      </c>
      <c r="F181" s="8">
        <v>16.739999999999998</v>
      </c>
      <c r="G181" s="4">
        <v>5</v>
      </c>
      <c r="H181" s="8">
        <v>3.42</v>
      </c>
      <c r="I181" s="4">
        <v>0</v>
      </c>
    </row>
    <row r="182" spans="1:9" x14ac:dyDescent="0.2">
      <c r="A182" s="2">
        <v>3</v>
      </c>
      <c r="B182" s="1" t="s">
        <v>81</v>
      </c>
      <c r="C182" s="4">
        <v>34</v>
      </c>
      <c r="D182" s="8">
        <v>8.8800000000000008</v>
      </c>
      <c r="E182" s="4">
        <v>28</v>
      </c>
      <c r="F182" s="8">
        <v>12.67</v>
      </c>
      <c r="G182" s="4">
        <v>6</v>
      </c>
      <c r="H182" s="8">
        <v>4.1100000000000003</v>
      </c>
      <c r="I182" s="4">
        <v>0</v>
      </c>
    </row>
    <row r="183" spans="1:9" x14ac:dyDescent="0.2">
      <c r="A183" s="2">
        <v>4</v>
      </c>
      <c r="B183" s="1" t="s">
        <v>75</v>
      </c>
      <c r="C183" s="4">
        <v>33</v>
      </c>
      <c r="D183" s="8">
        <v>8.6199999999999992</v>
      </c>
      <c r="E183" s="4">
        <v>15</v>
      </c>
      <c r="F183" s="8">
        <v>6.79</v>
      </c>
      <c r="G183" s="4">
        <v>18</v>
      </c>
      <c r="H183" s="8">
        <v>12.33</v>
      </c>
      <c r="I183" s="4">
        <v>0</v>
      </c>
    </row>
    <row r="184" spans="1:9" x14ac:dyDescent="0.2">
      <c r="A184" s="2">
        <v>5</v>
      </c>
      <c r="B184" s="1" t="s">
        <v>67</v>
      </c>
      <c r="C184" s="4">
        <v>27</v>
      </c>
      <c r="D184" s="8">
        <v>7.05</v>
      </c>
      <c r="E184" s="4">
        <v>6</v>
      </c>
      <c r="F184" s="8">
        <v>2.71</v>
      </c>
      <c r="G184" s="4">
        <v>21</v>
      </c>
      <c r="H184" s="8">
        <v>14.38</v>
      </c>
      <c r="I184" s="4">
        <v>0</v>
      </c>
    </row>
    <row r="185" spans="1:9" x14ac:dyDescent="0.2">
      <c r="A185" s="2">
        <v>6</v>
      </c>
      <c r="B185" s="1" t="s">
        <v>83</v>
      </c>
      <c r="C185" s="4">
        <v>17</v>
      </c>
      <c r="D185" s="8">
        <v>4.4400000000000004</v>
      </c>
      <c r="E185" s="4">
        <v>7</v>
      </c>
      <c r="F185" s="8">
        <v>3.17</v>
      </c>
      <c r="G185" s="4">
        <v>0</v>
      </c>
      <c r="H185" s="8">
        <v>0</v>
      </c>
      <c r="I185" s="4">
        <v>0</v>
      </c>
    </row>
    <row r="186" spans="1:9" x14ac:dyDescent="0.2">
      <c r="A186" s="2">
        <v>7</v>
      </c>
      <c r="B186" s="1" t="s">
        <v>84</v>
      </c>
      <c r="C186" s="4">
        <v>15</v>
      </c>
      <c r="D186" s="8">
        <v>3.92</v>
      </c>
      <c r="E186" s="4">
        <v>12</v>
      </c>
      <c r="F186" s="8">
        <v>5.43</v>
      </c>
      <c r="G186" s="4">
        <v>3</v>
      </c>
      <c r="H186" s="8">
        <v>2.0499999999999998</v>
      </c>
      <c r="I186" s="4">
        <v>0</v>
      </c>
    </row>
    <row r="187" spans="1:9" x14ac:dyDescent="0.2">
      <c r="A187" s="2">
        <v>8</v>
      </c>
      <c r="B187" s="1" t="s">
        <v>71</v>
      </c>
      <c r="C187" s="4">
        <v>13</v>
      </c>
      <c r="D187" s="8">
        <v>3.39</v>
      </c>
      <c r="E187" s="4">
        <v>3</v>
      </c>
      <c r="F187" s="8">
        <v>1.36</v>
      </c>
      <c r="G187" s="4">
        <v>10</v>
      </c>
      <c r="H187" s="8">
        <v>6.85</v>
      </c>
      <c r="I187" s="4">
        <v>0</v>
      </c>
    </row>
    <row r="188" spans="1:9" x14ac:dyDescent="0.2">
      <c r="A188" s="2">
        <v>9</v>
      </c>
      <c r="B188" s="1" t="s">
        <v>74</v>
      </c>
      <c r="C188" s="4">
        <v>12</v>
      </c>
      <c r="D188" s="8">
        <v>3.13</v>
      </c>
      <c r="E188" s="4">
        <v>9</v>
      </c>
      <c r="F188" s="8">
        <v>4.07</v>
      </c>
      <c r="G188" s="4">
        <v>3</v>
      </c>
      <c r="H188" s="8">
        <v>2.0499999999999998</v>
      </c>
      <c r="I188" s="4">
        <v>0</v>
      </c>
    </row>
    <row r="189" spans="1:9" x14ac:dyDescent="0.2">
      <c r="A189" s="2">
        <v>10</v>
      </c>
      <c r="B189" s="1" t="s">
        <v>70</v>
      </c>
      <c r="C189" s="4">
        <v>11</v>
      </c>
      <c r="D189" s="8">
        <v>2.87</v>
      </c>
      <c r="E189" s="4">
        <v>5</v>
      </c>
      <c r="F189" s="8">
        <v>2.2599999999999998</v>
      </c>
      <c r="G189" s="4">
        <v>6</v>
      </c>
      <c r="H189" s="8">
        <v>4.1100000000000003</v>
      </c>
      <c r="I189" s="4">
        <v>0</v>
      </c>
    </row>
    <row r="190" spans="1:9" x14ac:dyDescent="0.2">
      <c r="A190" s="2">
        <v>11</v>
      </c>
      <c r="B190" s="1" t="s">
        <v>90</v>
      </c>
      <c r="C190" s="4">
        <v>9</v>
      </c>
      <c r="D190" s="8">
        <v>2.35</v>
      </c>
      <c r="E190" s="4">
        <v>1</v>
      </c>
      <c r="F190" s="8">
        <v>0.45</v>
      </c>
      <c r="G190" s="4">
        <v>7</v>
      </c>
      <c r="H190" s="8">
        <v>4.79</v>
      </c>
      <c r="I190" s="4">
        <v>0</v>
      </c>
    </row>
    <row r="191" spans="1:9" x14ac:dyDescent="0.2">
      <c r="A191" s="2">
        <v>12</v>
      </c>
      <c r="B191" s="1" t="s">
        <v>69</v>
      </c>
      <c r="C191" s="4">
        <v>8</v>
      </c>
      <c r="D191" s="8">
        <v>2.09</v>
      </c>
      <c r="E191" s="4">
        <v>2</v>
      </c>
      <c r="F191" s="8">
        <v>0.9</v>
      </c>
      <c r="G191" s="4">
        <v>6</v>
      </c>
      <c r="H191" s="8">
        <v>4.1100000000000003</v>
      </c>
      <c r="I191" s="4">
        <v>0</v>
      </c>
    </row>
    <row r="192" spans="1:9" x14ac:dyDescent="0.2">
      <c r="A192" s="2">
        <v>13</v>
      </c>
      <c r="B192" s="1" t="s">
        <v>68</v>
      </c>
      <c r="C192" s="4">
        <v>7</v>
      </c>
      <c r="D192" s="8">
        <v>1.83</v>
      </c>
      <c r="E192" s="4">
        <v>5</v>
      </c>
      <c r="F192" s="8">
        <v>2.2599999999999998</v>
      </c>
      <c r="G192" s="4">
        <v>2</v>
      </c>
      <c r="H192" s="8">
        <v>1.37</v>
      </c>
      <c r="I192" s="4">
        <v>0</v>
      </c>
    </row>
    <row r="193" spans="1:9" x14ac:dyDescent="0.2">
      <c r="A193" s="2">
        <v>13</v>
      </c>
      <c r="B193" s="1" t="s">
        <v>80</v>
      </c>
      <c r="C193" s="4">
        <v>7</v>
      </c>
      <c r="D193" s="8">
        <v>1.83</v>
      </c>
      <c r="E193" s="4">
        <v>2</v>
      </c>
      <c r="F193" s="8">
        <v>0.9</v>
      </c>
      <c r="G193" s="4">
        <v>5</v>
      </c>
      <c r="H193" s="8">
        <v>3.42</v>
      </c>
      <c r="I193" s="4">
        <v>0</v>
      </c>
    </row>
    <row r="194" spans="1:9" x14ac:dyDescent="0.2">
      <c r="A194" s="2">
        <v>13</v>
      </c>
      <c r="B194" s="1" t="s">
        <v>86</v>
      </c>
      <c r="C194" s="4">
        <v>7</v>
      </c>
      <c r="D194" s="8">
        <v>1.83</v>
      </c>
      <c r="E194" s="4">
        <v>7</v>
      </c>
      <c r="F194" s="8">
        <v>3.17</v>
      </c>
      <c r="G194" s="4">
        <v>0</v>
      </c>
      <c r="H194" s="8">
        <v>0</v>
      </c>
      <c r="I194" s="4">
        <v>0</v>
      </c>
    </row>
    <row r="195" spans="1:9" x14ac:dyDescent="0.2">
      <c r="A195" s="2">
        <v>16</v>
      </c>
      <c r="B195" s="1" t="s">
        <v>96</v>
      </c>
      <c r="C195" s="4">
        <v>6</v>
      </c>
      <c r="D195" s="8">
        <v>1.57</v>
      </c>
      <c r="E195" s="4">
        <v>3</v>
      </c>
      <c r="F195" s="8">
        <v>1.36</v>
      </c>
      <c r="G195" s="4">
        <v>3</v>
      </c>
      <c r="H195" s="8">
        <v>2.0499999999999998</v>
      </c>
      <c r="I195" s="4">
        <v>0</v>
      </c>
    </row>
    <row r="196" spans="1:9" x14ac:dyDescent="0.2">
      <c r="A196" s="2">
        <v>16</v>
      </c>
      <c r="B196" s="1" t="s">
        <v>89</v>
      </c>
      <c r="C196" s="4">
        <v>6</v>
      </c>
      <c r="D196" s="8">
        <v>1.57</v>
      </c>
      <c r="E196" s="4">
        <v>2</v>
      </c>
      <c r="F196" s="8">
        <v>0.9</v>
      </c>
      <c r="G196" s="4">
        <v>4</v>
      </c>
      <c r="H196" s="8">
        <v>2.74</v>
      </c>
      <c r="I196" s="4">
        <v>0</v>
      </c>
    </row>
    <row r="197" spans="1:9" x14ac:dyDescent="0.2">
      <c r="A197" s="2">
        <v>16</v>
      </c>
      <c r="B197" s="1" t="s">
        <v>72</v>
      </c>
      <c r="C197" s="4">
        <v>6</v>
      </c>
      <c r="D197" s="8">
        <v>1.57</v>
      </c>
      <c r="E197" s="4">
        <v>5</v>
      </c>
      <c r="F197" s="8">
        <v>2.2599999999999998</v>
      </c>
      <c r="G197" s="4">
        <v>1</v>
      </c>
      <c r="H197" s="8">
        <v>0.68</v>
      </c>
      <c r="I197" s="4">
        <v>0</v>
      </c>
    </row>
    <row r="198" spans="1:9" x14ac:dyDescent="0.2">
      <c r="A198" s="2">
        <v>16</v>
      </c>
      <c r="B198" s="1" t="s">
        <v>97</v>
      </c>
      <c r="C198" s="4">
        <v>6</v>
      </c>
      <c r="D198" s="8">
        <v>1.57</v>
      </c>
      <c r="E198" s="4">
        <v>3</v>
      </c>
      <c r="F198" s="8">
        <v>1.36</v>
      </c>
      <c r="G198" s="4">
        <v>3</v>
      </c>
      <c r="H198" s="8">
        <v>2.0499999999999998</v>
      </c>
      <c r="I198" s="4">
        <v>0</v>
      </c>
    </row>
    <row r="199" spans="1:9" x14ac:dyDescent="0.2">
      <c r="A199" s="2">
        <v>16</v>
      </c>
      <c r="B199" s="1" t="s">
        <v>85</v>
      </c>
      <c r="C199" s="4">
        <v>6</v>
      </c>
      <c r="D199" s="8">
        <v>1.57</v>
      </c>
      <c r="E199" s="4">
        <v>0</v>
      </c>
      <c r="F199" s="8">
        <v>0</v>
      </c>
      <c r="G199" s="4">
        <v>6</v>
      </c>
      <c r="H199" s="8">
        <v>4.1100000000000003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81</v>
      </c>
      <c r="C202" s="4">
        <v>252</v>
      </c>
      <c r="D202" s="8">
        <v>11.9</v>
      </c>
      <c r="E202" s="4">
        <v>228</v>
      </c>
      <c r="F202" s="8">
        <v>20.07</v>
      </c>
      <c r="G202" s="4">
        <v>23</v>
      </c>
      <c r="H202" s="8">
        <v>2.42</v>
      </c>
      <c r="I202" s="4">
        <v>1</v>
      </c>
    </row>
    <row r="203" spans="1:9" x14ac:dyDescent="0.2">
      <c r="A203" s="2">
        <v>2</v>
      </c>
      <c r="B203" s="1" t="s">
        <v>82</v>
      </c>
      <c r="C203" s="4">
        <v>241</v>
      </c>
      <c r="D203" s="8">
        <v>11.38</v>
      </c>
      <c r="E203" s="4">
        <v>217</v>
      </c>
      <c r="F203" s="8">
        <v>19.100000000000001</v>
      </c>
      <c r="G203" s="4">
        <v>24</v>
      </c>
      <c r="H203" s="8">
        <v>2.5299999999999998</v>
      </c>
      <c r="I203" s="4">
        <v>0</v>
      </c>
    </row>
    <row r="204" spans="1:9" x14ac:dyDescent="0.2">
      <c r="A204" s="2">
        <v>3</v>
      </c>
      <c r="B204" s="1" t="s">
        <v>75</v>
      </c>
      <c r="C204" s="4">
        <v>190</v>
      </c>
      <c r="D204" s="8">
        <v>8.9700000000000006</v>
      </c>
      <c r="E204" s="4">
        <v>87</v>
      </c>
      <c r="F204" s="8">
        <v>7.66</v>
      </c>
      <c r="G204" s="4">
        <v>103</v>
      </c>
      <c r="H204" s="8">
        <v>10.84</v>
      </c>
      <c r="I204" s="4">
        <v>0</v>
      </c>
    </row>
    <row r="205" spans="1:9" x14ac:dyDescent="0.2">
      <c r="A205" s="2">
        <v>4</v>
      </c>
      <c r="B205" s="1" t="s">
        <v>73</v>
      </c>
      <c r="C205" s="4">
        <v>151</v>
      </c>
      <c r="D205" s="8">
        <v>7.13</v>
      </c>
      <c r="E205" s="4">
        <v>107</v>
      </c>
      <c r="F205" s="8">
        <v>9.42</v>
      </c>
      <c r="G205" s="4">
        <v>42</v>
      </c>
      <c r="H205" s="8">
        <v>4.42</v>
      </c>
      <c r="I205" s="4">
        <v>2</v>
      </c>
    </row>
    <row r="206" spans="1:9" x14ac:dyDescent="0.2">
      <c r="A206" s="2">
        <v>5</v>
      </c>
      <c r="B206" s="1" t="s">
        <v>67</v>
      </c>
      <c r="C206" s="4">
        <v>141</v>
      </c>
      <c r="D206" s="8">
        <v>6.66</v>
      </c>
      <c r="E206" s="4">
        <v>27</v>
      </c>
      <c r="F206" s="8">
        <v>2.38</v>
      </c>
      <c r="G206" s="4">
        <v>114</v>
      </c>
      <c r="H206" s="8">
        <v>12</v>
      </c>
      <c r="I206" s="4">
        <v>0</v>
      </c>
    </row>
    <row r="207" spans="1:9" x14ac:dyDescent="0.2">
      <c r="A207" s="2">
        <v>6</v>
      </c>
      <c r="B207" s="1" t="s">
        <v>74</v>
      </c>
      <c r="C207" s="4">
        <v>85</v>
      </c>
      <c r="D207" s="8">
        <v>4.0199999999999996</v>
      </c>
      <c r="E207" s="4">
        <v>54</v>
      </c>
      <c r="F207" s="8">
        <v>4.75</v>
      </c>
      <c r="G207" s="4">
        <v>31</v>
      </c>
      <c r="H207" s="8">
        <v>3.26</v>
      </c>
      <c r="I207" s="4">
        <v>0</v>
      </c>
    </row>
    <row r="208" spans="1:9" x14ac:dyDescent="0.2">
      <c r="A208" s="2">
        <v>7</v>
      </c>
      <c r="B208" s="1" t="s">
        <v>68</v>
      </c>
      <c r="C208" s="4">
        <v>75</v>
      </c>
      <c r="D208" s="8">
        <v>3.54</v>
      </c>
      <c r="E208" s="4">
        <v>27</v>
      </c>
      <c r="F208" s="8">
        <v>2.38</v>
      </c>
      <c r="G208" s="4">
        <v>48</v>
      </c>
      <c r="H208" s="8">
        <v>5.05</v>
      </c>
      <c r="I208" s="4">
        <v>0</v>
      </c>
    </row>
    <row r="209" spans="1:9" x14ac:dyDescent="0.2">
      <c r="A209" s="2">
        <v>8</v>
      </c>
      <c r="B209" s="1" t="s">
        <v>69</v>
      </c>
      <c r="C209" s="4">
        <v>69</v>
      </c>
      <c r="D209" s="8">
        <v>3.26</v>
      </c>
      <c r="E209" s="4">
        <v>18</v>
      </c>
      <c r="F209" s="8">
        <v>1.58</v>
      </c>
      <c r="G209" s="4">
        <v>51</v>
      </c>
      <c r="H209" s="8">
        <v>5.37</v>
      </c>
      <c r="I209" s="4">
        <v>0</v>
      </c>
    </row>
    <row r="210" spans="1:9" x14ac:dyDescent="0.2">
      <c r="A210" s="2">
        <v>9</v>
      </c>
      <c r="B210" s="1" t="s">
        <v>84</v>
      </c>
      <c r="C210" s="4">
        <v>63</v>
      </c>
      <c r="D210" s="8">
        <v>2.98</v>
      </c>
      <c r="E210" s="4">
        <v>50</v>
      </c>
      <c r="F210" s="8">
        <v>4.4000000000000004</v>
      </c>
      <c r="G210" s="4">
        <v>12</v>
      </c>
      <c r="H210" s="8">
        <v>1.26</v>
      </c>
      <c r="I210" s="4">
        <v>0</v>
      </c>
    </row>
    <row r="211" spans="1:9" x14ac:dyDescent="0.2">
      <c r="A211" s="2">
        <v>10</v>
      </c>
      <c r="B211" s="1" t="s">
        <v>83</v>
      </c>
      <c r="C211" s="4">
        <v>61</v>
      </c>
      <c r="D211" s="8">
        <v>2.88</v>
      </c>
      <c r="E211" s="4">
        <v>45</v>
      </c>
      <c r="F211" s="8">
        <v>3.96</v>
      </c>
      <c r="G211" s="4">
        <v>9</v>
      </c>
      <c r="H211" s="8">
        <v>0.95</v>
      </c>
      <c r="I211" s="4">
        <v>0</v>
      </c>
    </row>
    <row r="212" spans="1:9" x14ac:dyDescent="0.2">
      <c r="A212" s="2">
        <v>11</v>
      </c>
      <c r="B212" s="1" t="s">
        <v>72</v>
      </c>
      <c r="C212" s="4">
        <v>52</v>
      </c>
      <c r="D212" s="8">
        <v>2.46</v>
      </c>
      <c r="E212" s="4">
        <v>23</v>
      </c>
      <c r="F212" s="8">
        <v>2.02</v>
      </c>
      <c r="G212" s="4">
        <v>29</v>
      </c>
      <c r="H212" s="8">
        <v>3.05</v>
      </c>
      <c r="I212" s="4">
        <v>0</v>
      </c>
    </row>
    <row r="213" spans="1:9" x14ac:dyDescent="0.2">
      <c r="A213" s="2">
        <v>11</v>
      </c>
      <c r="B213" s="1" t="s">
        <v>77</v>
      </c>
      <c r="C213" s="4">
        <v>52</v>
      </c>
      <c r="D213" s="8">
        <v>2.46</v>
      </c>
      <c r="E213" s="4">
        <v>19</v>
      </c>
      <c r="F213" s="8">
        <v>1.67</v>
      </c>
      <c r="G213" s="4">
        <v>33</v>
      </c>
      <c r="H213" s="8">
        <v>3.47</v>
      </c>
      <c r="I213" s="4">
        <v>0</v>
      </c>
    </row>
    <row r="214" spans="1:9" x14ac:dyDescent="0.2">
      <c r="A214" s="2">
        <v>11</v>
      </c>
      <c r="B214" s="1" t="s">
        <v>80</v>
      </c>
      <c r="C214" s="4">
        <v>52</v>
      </c>
      <c r="D214" s="8">
        <v>2.46</v>
      </c>
      <c r="E214" s="4">
        <v>32</v>
      </c>
      <c r="F214" s="8">
        <v>2.82</v>
      </c>
      <c r="G214" s="4">
        <v>17</v>
      </c>
      <c r="H214" s="8">
        <v>1.79</v>
      </c>
      <c r="I214" s="4">
        <v>0</v>
      </c>
    </row>
    <row r="215" spans="1:9" x14ac:dyDescent="0.2">
      <c r="A215" s="2">
        <v>14</v>
      </c>
      <c r="B215" s="1" t="s">
        <v>86</v>
      </c>
      <c r="C215" s="4">
        <v>42</v>
      </c>
      <c r="D215" s="8">
        <v>1.98</v>
      </c>
      <c r="E215" s="4">
        <v>32</v>
      </c>
      <c r="F215" s="8">
        <v>2.82</v>
      </c>
      <c r="G215" s="4">
        <v>10</v>
      </c>
      <c r="H215" s="8">
        <v>1.05</v>
      </c>
      <c r="I215" s="4">
        <v>0</v>
      </c>
    </row>
    <row r="216" spans="1:9" x14ac:dyDescent="0.2">
      <c r="A216" s="2">
        <v>15</v>
      </c>
      <c r="B216" s="1" t="s">
        <v>78</v>
      </c>
      <c r="C216" s="4">
        <v>40</v>
      </c>
      <c r="D216" s="8">
        <v>1.89</v>
      </c>
      <c r="E216" s="4">
        <v>30</v>
      </c>
      <c r="F216" s="8">
        <v>2.64</v>
      </c>
      <c r="G216" s="4">
        <v>10</v>
      </c>
      <c r="H216" s="8">
        <v>1.05</v>
      </c>
      <c r="I216" s="4">
        <v>0</v>
      </c>
    </row>
    <row r="217" spans="1:9" x14ac:dyDescent="0.2">
      <c r="A217" s="2">
        <v>15</v>
      </c>
      <c r="B217" s="1" t="s">
        <v>79</v>
      </c>
      <c r="C217" s="4">
        <v>40</v>
      </c>
      <c r="D217" s="8">
        <v>1.89</v>
      </c>
      <c r="E217" s="4">
        <v>21</v>
      </c>
      <c r="F217" s="8">
        <v>1.85</v>
      </c>
      <c r="G217" s="4">
        <v>18</v>
      </c>
      <c r="H217" s="8">
        <v>1.89</v>
      </c>
      <c r="I217" s="4">
        <v>0</v>
      </c>
    </row>
    <row r="218" spans="1:9" x14ac:dyDescent="0.2">
      <c r="A218" s="2">
        <v>17</v>
      </c>
      <c r="B218" s="1" t="s">
        <v>87</v>
      </c>
      <c r="C218" s="4">
        <v>34</v>
      </c>
      <c r="D218" s="8">
        <v>1.61</v>
      </c>
      <c r="E218" s="4">
        <v>4</v>
      </c>
      <c r="F218" s="8">
        <v>0.35</v>
      </c>
      <c r="G218" s="4">
        <v>30</v>
      </c>
      <c r="H218" s="8">
        <v>3.16</v>
      </c>
      <c r="I218" s="4">
        <v>0</v>
      </c>
    </row>
    <row r="219" spans="1:9" x14ac:dyDescent="0.2">
      <c r="A219" s="2">
        <v>18</v>
      </c>
      <c r="B219" s="1" t="s">
        <v>85</v>
      </c>
      <c r="C219" s="4">
        <v>31</v>
      </c>
      <c r="D219" s="8">
        <v>1.46</v>
      </c>
      <c r="E219" s="4">
        <v>2</v>
      </c>
      <c r="F219" s="8">
        <v>0.18</v>
      </c>
      <c r="G219" s="4">
        <v>27</v>
      </c>
      <c r="H219" s="8">
        <v>2.84</v>
      </c>
      <c r="I219" s="4">
        <v>1</v>
      </c>
    </row>
    <row r="220" spans="1:9" x14ac:dyDescent="0.2">
      <c r="A220" s="2">
        <v>19</v>
      </c>
      <c r="B220" s="1" t="s">
        <v>91</v>
      </c>
      <c r="C220" s="4">
        <v>29</v>
      </c>
      <c r="D220" s="8">
        <v>1.37</v>
      </c>
      <c r="E220" s="4">
        <v>17</v>
      </c>
      <c r="F220" s="8">
        <v>1.5</v>
      </c>
      <c r="G220" s="4">
        <v>12</v>
      </c>
      <c r="H220" s="8">
        <v>1.26</v>
      </c>
      <c r="I220" s="4">
        <v>0</v>
      </c>
    </row>
    <row r="221" spans="1:9" x14ac:dyDescent="0.2">
      <c r="A221" s="2">
        <v>20</v>
      </c>
      <c r="B221" s="1" t="s">
        <v>89</v>
      </c>
      <c r="C221" s="4">
        <v>27</v>
      </c>
      <c r="D221" s="8">
        <v>1.28</v>
      </c>
      <c r="E221" s="4">
        <v>4</v>
      </c>
      <c r="F221" s="8">
        <v>0.35</v>
      </c>
      <c r="G221" s="4">
        <v>23</v>
      </c>
      <c r="H221" s="8">
        <v>2.42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82</v>
      </c>
      <c r="C224" s="4">
        <v>127</v>
      </c>
      <c r="D224" s="8">
        <v>11.39</v>
      </c>
      <c r="E224" s="4">
        <v>110</v>
      </c>
      <c r="F224" s="8">
        <v>16.79</v>
      </c>
      <c r="G224" s="4">
        <v>17</v>
      </c>
      <c r="H224" s="8">
        <v>4.05</v>
      </c>
      <c r="I224" s="4">
        <v>0</v>
      </c>
    </row>
    <row r="225" spans="1:9" x14ac:dyDescent="0.2">
      <c r="A225" s="2">
        <v>2</v>
      </c>
      <c r="B225" s="1" t="s">
        <v>81</v>
      </c>
      <c r="C225" s="4">
        <v>100</v>
      </c>
      <c r="D225" s="8">
        <v>8.9700000000000006</v>
      </c>
      <c r="E225" s="4">
        <v>89</v>
      </c>
      <c r="F225" s="8">
        <v>13.59</v>
      </c>
      <c r="G225" s="4">
        <v>11</v>
      </c>
      <c r="H225" s="8">
        <v>2.62</v>
      </c>
      <c r="I225" s="4">
        <v>0</v>
      </c>
    </row>
    <row r="226" spans="1:9" x14ac:dyDescent="0.2">
      <c r="A226" s="2">
        <v>3</v>
      </c>
      <c r="B226" s="1" t="s">
        <v>75</v>
      </c>
      <c r="C226" s="4">
        <v>90</v>
      </c>
      <c r="D226" s="8">
        <v>8.07</v>
      </c>
      <c r="E226" s="4">
        <v>47</v>
      </c>
      <c r="F226" s="8">
        <v>7.18</v>
      </c>
      <c r="G226" s="4">
        <v>43</v>
      </c>
      <c r="H226" s="8">
        <v>10.24</v>
      </c>
      <c r="I226" s="4">
        <v>0</v>
      </c>
    </row>
    <row r="227" spans="1:9" x14ac:dyDescent="0.2">
      <c r="A227" s="2">
        <v>4</v>
      </c>
      <c r="B227" s="1" t="s">
        <v>67</v>
      </c>
      <c r="C227" s="4">
        <v>87</v>
      </c>
      <c r="D227" s="8">
        <v>7.8</v>
      </c>
      <c r="E227" s="4">
        <v>20</v>
      </c>
      <c r="F227" s="8">
        <v>3.05</v>
      </c>
      <c r="G227" s="4">
        <v>67</v>
      </c>
      <c r="H227" s="8">
        <v>15.95</v>
      </c>
      <c r="I227" s="4">
        <v>0</v>
      </c>
    </row>
    <row r="228" spans="1:9" x14ac:dyDescent="0.2">
      <c r="A228" s="2">
        <v>5</v>
      </c>
      <c r="B228" s="1" t="s">
        <v>73</v>
      </c>
      <c r="C228" s="4">
        <v>78</v>
      </c>
      <c r="D228" s="8">
        <v>7</v>
      </c>
      <c r="E228" s="4">
        <v>60</v>
      </c>
      <c r="F228" s="8">
        <v>9.16</v>
      </c>
      <c r="G228" s="4">
        <v>16</v>
      </c>
      <c r="H228" s="8">
        <v>3.81</v>
      </c>
      <c r="I228" s="4">
        <v>2</v>
      </c>
    </row>
    <row r="229" spans="1:9" x14ac:dyDescent="0.2">
      <c r="A229" s="2">
        <v>6</v>
      </c>
      <c r="B229" s="1" t="s">
        <v>83</v>
      </c>
      <c r="C229" s="4">
        <v>67</v>
      </c>
      <c r="D229" s="8">
        <v>6.01</v>
      </c>
      <c r="E229" s="4">
        <v>41</v>
      </c>
      <c r="F229" s="8">
        <v>6.26</v>
      </c>
      <c r="G229" s="4">
        <v>4</v>
      </c>
      <c r="H229" s="8">
        <v>0.95</v>
      </c>
      <c r="I229" s="4">
        <v>0</v>
      </c>
    </row>
    <row r="230" spans="1:9" x14ac:dyDescent="0.2">
      <c r="A230" s="2">
        <v>7</v>
      </c>
      <c r="B230" s="1" t="s">
        <v>74</v>
      </c>
      <c r="C230" s="4">
        <v>53</v>
      </c>
      <c r="D230" s="8">
        <v>4.75</v>
      </c>
      <c r="E230" s="4">
        <v>36</v>
      </c>
      <c r="F230" s="8">
        <v>5.5</v>
      </c>
      <c r="G230" s="4">
        <v>17</v>
      </c>
      <c r="H230" s="8">
        <v>4.05</v>
      </c>
      <c r="I230" s="4">
        <v>0</v>
      </c>
    </row>
    <row r="231" spans="1:9" x14ac:dyDescent="0.2">
      <c r="A231" s="2">
        <v>8</v>
      </c>
      <c r="B231" s="1" t="s">
        <v>68</v>
      </c>
      <c r="C231" s="4">
        <v>43</v>
      </c>
      <c r="D231" s="8">
        <v>3.86</v>
      </c>
      <c r="E231" s="4">
        <v>24</v>
      </c>
      <c r="F231" s="8">
        <v>3.66</v>
      </c>
      <c r="G231" s="4">
        <v>19</v>
      </c>
      <c r="H231" s="8">
        <v>4.5199999999999996</v>
      </c>
      <c r="I231" s="4">
        <v>0</v>
      </c>
    </row>
    <row r="232" spans="1:9" x14ac:dyDescent="0.2">
      <c r="A232" s="2">
        <v>9</v>
      </c>
      <c r="B232" s="1" t="s">
        <v>84</v>
      </c>
      <c r="C232" s="4">
        <v>39</v>
      </c>
      <c r="D232" s="8">
        <v>3.5</v>
      </c>
      <c r="E232" s="4">
        <v>37</v>
      </c>
      <c r="F232" s="8">
        <v>5.65</v>
      </c>
      <c r="G232" s="4">
        <v>2</v>
      </c>
      <c r="H232" s="8">
        <v>0.48</v>
      </c>
      <c r="I232" s="4">
        <v>0</v>
      </c>
    </row>
    <row r="233" spans="1:9" x14ac:dyDescent="0.2">
      <c r="A233" s="2">
        <v>10</v>
      </c>
      <c r="B233" s="1" t="s">
        <v>69</v>
      </c>
      <c r="C233" s="4">
        <v>37</v>
      </c>
      <c r="D233" s="8">
        <v>3.32</v>
      </c>
      <c r="E233" s="4">
        <v>14</v>
      </c>
      <c r="F233" s="8">
        <v>2.14</v>
      </c>
      <c r="G233" s="4">
        <v>23</v>
      </c>
      <c r="H233" s="8">
        <v>5.48</v>
      </c>
      <c r="I233" s="4">
        <v>0</v>
      </c>
    </row>
    <row r="234" spans="1:9" x14ac:dyDescent="0.2">
      <c r="A234" s="2">
        <v>11</v>
      </c>
      <c r="B234" s="1" t="s">
        <v>78</v>
      </c>
      <c r="C234" s="4">
        <v>29</v>
      </c>
      <c r="D234" s="8">
        <v>2.6</v>
      </c>
      <c r="E234" s="4">
        <v>22</v>
      </c>
      <c r="F234" s="8">
        <v>3.36</v>
      </c>
      <c r="G234" s="4">
        <v>7</v>
      </c>
      <c r="H234" s="8">
        <v>1.67</v>
      </c>
      <c r="I234" s="4">
        <v>0</v>
      </c>
    </row>
    <row r="235" spans="1:9" x14ac:dyDescent="0.2">
      <c r="A235" s="2">
        <v>12</v>
      </c>
      <c r="B235" s="1" t="s">
        <v>72</v>
      </c>
      <c r="C235" s="4">
        <v>26</v>
      </c>
      <c r="D235" s="8">
        <v>2.33</v>
      </c>
      <c r="E235" s="4">
        <v>23</v>
      </c>
      <c r="F235" s="8">
        <v>3.51</v>
      </c>
      <c r="G235" s="4">
        <v>3</v>
      </c>
      <c r="H235" s="8">
        <v>0.71</v>
      </c>
      <c r="I235" s="4">
        <v>0</v>
      </c>
    </row>
    <row r="236" spans="1:9" x14ac:dyDescent="0.2">
      <c r="A236" s="2">
        <v>13</v>
      </c>
      <c r="B236" s="1" t="s">
        <v>77</v>
      </c>
      <c r="C236" s="4">
        <v>24</v>
      </c>
      <c r="D236" s="8">
        <v>2.15</v>
      </c>
      <c r="E236" s="4">
        <v>10</v>
      </c>
      <c r="F236" s="8">
        <v>1.53</v>
      </c>
      <c r="G236" s="4">
        <v>14</v>
      </c>
      <c r="H236" s="8">
        <v>3.33</v>
      </c>
      <c r="I236" s="4">
        <v>0</v>
      </c>
    </row>
    <row r="237" spans="1:9" x14ac:dyDescent="0.2">
      <c r="A237" s="2">
        <v>13</v>
      </c>
      <c r="B237" s="1" t="s">
        <v>86</v>
      </c>
      <c r="C237" s="4">
        <v>24</v>
      </c>
      <c r="D237" s="8">
        <v>2.15</v>
      </c>
      <c r="E237" s="4">
        <v>22</v>
      </c>
      <c r="F237" s="8">
        <v>3.36</v>
      </c>
      <c r="G237" s="4">
        <v>2</v>
      </c>
      <c r="H237" s="8">
        <v>0.48</v>
      </c>
      <c r="I237" s="4">
        <v>0</v>
      </c>
    </row>
    <row r="238" spans="1:9" x14ac:dyDescent="0.2">
      <c r="A238" s="2">
        <v>15</v>
      </c>
      <c r="B238" s="1" t="s">
        <v>79</v>
      </c>
      <c r="C238" s="4">
        <v>22</v>
      </c>
      <c r="D238" s="8">
        <v>1.97</v>
      </c>
      <c r="E238" s="4">
        <v>6</v>
      </c>
      <c r="F238" s="8">
        <v>0.92</v>
      </c>
      <c r="G238" s="4">
        <v>16</v>
      </c>
      <c r="H238" s="8">
        <v>3.81</v>
      </c>
      <c r="I238" s="4">
        <v>0</v>
      </c>
    </row>
    <row r="239" spans="1:9" x14ac:dyDescent="0.2">
      <c r="A239" s="2">
        <v>16</v>
      </c>
      <c r="B239" s="1" t="s">
        <v>91</v>
      </c>
      <c r="C239" s="4">
        <v>21</v>
      </c>
      <c r="D239" s="8">
        <v>1.88</v>
      </c>
      <c r="E239" s="4">
        <v>17</v>
      </c>
      <c r="F239" s="8">
        <v>2.6</v>
      </c>
      <c r="G239" s="4">
        <v>4</v>
      </c>
      <c r="H239" s="8">
        <v>0.95</v>
      </c>
      <c r="I239" s="4">
        <v>0</v>
      </c>
    </row>
    <row r="240" spans="1:9" x14ac:dyDescent="0.2">
      <c r="A240" s="2">
        <v>17</v>
      </c>
      <c r="B240" s="1" t="s">
        <v>70</v>
      </c>
      <c r="C240" s="4">
        <v>19</v>
      </c>
      <c r="D240" s="8">
        <v>1.7</v>
      </c>
      <c r="E240" s="4">
        <v>9</v>
      </c>
      <c r="F240" s="8">
        <v>1.37</v>
      </c>
      <c r="G240" s="4">
        <v>10</v>
      </c>
      <c r="H240" s="8">
        <v>2.38</v>
      </c>
      <c r="I240" s="4">
        <v>0</v>
      </c>
    </row>
    <row r="241" spans="1:9" x14ac:dyDescent="0.2">
      <c r="A241" s="2">
        <v>18</v>
      </c>
      <c r="B241" s="1" t="s">
        <v>85</v>
      </c>
      <c r="C241" s="4">
        <v>18</v>
      </c>
      <c r="D241" s="8">
        <v>1.61</v>
      </c>
      <c r="E241" s="4">
        <v>0</v>
      </c>
      <c r="F241" s="8">
        <v>0</v>
      </c>
      <c r="G241" s="4">
        <v>13</v>
      </c>
      <c r="H241" s="8">
        <v>3.1</v>
      </c>
      <c r="I241" s="4">
        <v>0</v>
      </c>
    </row>
    <row r="242" spans="1:9" x14ac:dyDescent="0.2">
      <c r="A242" s="2">
        <v>19</v>
      </c>
      <c r="B242" s="1" t="s">
        <v>98</v>
      </c>
      <c r="C242" s="4">
        <v>17</v>
      </c>
      <c r="D242" s="8">
        <v>1.52</v>
      </c>
      <c r="E242" s="4">
        <v>8</v>
      </c>
      <c r="F242" s="8">
        <v>1.22</v>
      </c>
      <c r="G242" s="4">
        <v>9</v>
      </c>
      <c r="H242" s="8">
        <v>2.14</v>
      </c>
      <c r="I242" s="4">
        <v>0</v>
      </c>
    </row>
    <row r="243" spans="1:9" x14ac:dyDescent="0.2">
      <c r="A243" s="2">
        <v>20</v>
      </c>
      <c r="B243" s="1" t="s">
        <v>90</v>
      </c>
      <c r="C243" s="4">
        <v>16</v>
      </c>
      <c r="D243" s="8">
        <v>1.43</v>
      </c>
      <c r="E243" s="4">
        <v>5</v>
      </c>
      <c r="F243" s="8">
        <v>0.76</v>
      </c>
      <c r="G243" s="4">
        <v>11</v>
      </c>
      <c r="H243" s="8">
        <v>2.62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82</v>
      </c>
      <c r="C246" s="4">
        <v>99</v>
      </c>
      <c r="D246" s="8">
        <v>12.36</v>
      </c>
      <c r="E246" s="4">
        <v>96</v>
      </c>
      <c r="F246" s="8">
        <v>19.010000000000002</v>
      </c>
      <c r="G246" s="4">
        <v>3</v>
      </c>
      <c r="H246" s="8">
        <v>1.06</v>
      </c>
      <c r="I246" s="4">
        <v>0</v>
      </c>
    </row>
    <row r="247" spans="1:9" x14ac:dyDescent="0.2">
      <c r="A247" s="2">
        <v>2</v>
      </c>
      <c r="B247" s="1" t="s">
        <v>75</v>
      </c>
      <c r="C247" s="4">
        <v>88</v>
      </c>
      <c r="D247" s="8">
        <v>10.99</v>
      </c>
      <c r="E247" s="4">
        <v>48</v>
      </c>
      <c r="F247" s="8">
        <v>9.5</v>
      </c>
      <c r="G247" s="4">
        <v>40</v>
      </c>
      <c r="H247" s="8">
        <v>14.13</v>
      </c>
      <c r="I247" s="4">
        <v>0</v>
      </c>
    </row>
    <row r="248" spans="1:9" x14ac:dyDescent="0.2">
      <c r="A248" s="2">
        <v>3</v>
      </c>
      <c r="B248" s="1" t="s">
        <v>81</v>
      </c>
      <c r="C248" s="4">
        <v>72</v>
      </c>
      <c r="D248" s="8">
        <v>8.99</v>
      </c>
      <c r="E248" s="4">
        <v>64</v>
      </c>
      <c r="F248" s="8">
        <v>12.67</v>
      </c>
      <c r="G248" s="4">
        <v>8</v>
      </c>
      <c r="H248" s="8">
        <v>2.83</v>
      </c>
      <c r="I248" s="4">
        <v>0</v>
      </c>
    </row>
    <row r="249" spans="1:9" x14ac:dyDescent="0.2">
      <c r="A249" s="2">
        <v>4</v>
      </c>
      <c r="B249" s="1" t="s">
        <v>67</v>
      </c>
      <c r="C249" s="4">
        <v>58</v>
      </c>
      <c r="D249" s="8">
        <v>7.24</v>
      </c>
      <c r="E249" s="4">
        <v>14</v>
      </c>
      <c r="F249" s="8">
        <v>2.77</v>
      </c>
      <c r="G249" s="4">
        <v>44</v>
      </c>
      <c r="H249" s="8">
        <v>15.55</v>
      </c>
      <c r="I249" s="4">
        <v>0</v>
      </c>
    </row>
    <row r="250" spans="1:9" x14ac:dyDescent="0.2">
      <c r="A250" s="2">
        <v>5</v>
      </c>
      <c r="B250" s="1" t="s">
        <v>73</v>
      </c>
      <c r="C250" s="4">
        <v>55</v>
      </c>
      <c r="D250" s="8">
        <v>6.87</v>
      </c>
      <c r="E250" s="4">
        <v>45</v>
      </c>
      <c r="F250" s="8">
        <v>8.91</v>
      </c>
      <c r="G250" s="4">
        <v>10</v>
      </c>
      <c r="H250" s="8">
        <v>3.53</v>
      </c>
      <c r="I250" s="4">
        <v>0</v>
      </c>
    </row>
    <row r="251" spans="1:9" x14ac:dyDescent="0.2">
      <c r="A251" s="2">
        <v>6</v>
      </c>
      <c r="B251" s="1" t="s">
        <v>74</v>
      </c>
      <c r="C251" s="4">
        <v>49</v>
      </c>
      <c r="D251" s="8">
        <v>6.12</v>
      </c>
      <c r="E251" s="4">
        <v>37</v>
      </c>
      <c r="F251" s="8">
        <v>7.33</v>
      </c>
      <c r="G251" s="4">
        <v>12</v>
      </c>
      <c r="H251" s="8">
        <v>4.24</v>
      </c>
      <c r="I251" s="4">
        <v>0</v>
      </c>
    </row>
    <row r="252" spans="1:9" x14ac:dyDescent="0.2">
      <c r="A252" s="2">
        <v>7</v>
      </c>
      <c r="B252" s="1" t="s">
        <v>90</v>
      </c>
      <c r="C252" s="4">
        <v>35</v>
      </c>
      <c r="D252" s="8">
        <v>4.37</v>
      </c>
      <c r="E252" s="4">
        <v>27</v>
      </c>
      <c r="F252" s="8">
        <v>5.35</v>
      </c>
      <c r="G252" s="4">
        <v>8</v>
      </c>
      <c r="H252" s="8">
        <v>2.83</v>
      </c>
      <c r="I252" s="4">
        <v>0</v>
      </c>
    </row>
    <row r="253" spans="1:9" x14ac:dyDescent="0.2">
      <c r="A253" s="2">
        <v>8</v>
      </c>
      <c r="B253" s="1" t="s">
        <v>68</v>
      </c>
      <c r="C253" s="4">
        <v>32</v>
      </c>
      <c r="D253" s="8">
        <v>4</v>
      </c>
      <c r="E253" s="4">
        <v>20</v>
      </c>
      <c r="F253" s="8">
        <v>3.96</v>
      </c>
      <c r="G253" s="4">
        <v>12</v>
      </c>
      <c r="H253" s="8">
        <v>4.24</v>
      </c>
      <c r="I253" s="4">
        <v>0</v>
      </c>
    </row>
    <row r="254" spans="1:9" x14ac:dyDescent="0.2">
      <c r="A254" s="2">
        <v>9</v>
      </c>
      <c r="B254" s="1" t="s">
        <v>86</v>
      </c>
      <c r="C254" s="4">
        <v>30</v>
      </c>
      <c r="D254" s="8">
        <v>3.75</v>
      </c>
      <c r="E254" s="4">
        <v>25</v>
      </c>
      <c r="F254" s="8">
        <v>4.95</v>
      </c>
      <c r="G254" s="4">
        <v>5</v>
      </c>
      <c r="H254" s="8">
        <v>1.77</v>
      </c>
      <c r="I254" s="4">
        <v>0</v>
      </c>
    </row>
    <row r="255" spans="1:9" x14ac:dyDescent="0.2">
      <c r="A255" s="2">
        <v>10</v>
      </c>
      <c r="B255" s="1" t="s">
        <v>69</v>
      </c>
      <c r="C255" s="4">
        <v>28</v>
      </c>
      <c r="D255" s="8">
        <v>3.5</v>
      </c>
      <c r="E255" s="4">
        <v>12</v>
      </c>
      <c r="F255" s="8">
        <v>2.38</v>
      </c>
      <c r="G255" s="4">
        <v>16</v>
      </c>
      <c r="H255" s="8">
        <v>5.65</v>
      </c>
      <c r="I255" s="4">
        <v>0</v>
      </c>
    </row>
    <row r="256" spans="1:9" x14ac:dyDescent="0.2">
      <c r="A256" s="2">
        <v>11</v>
      </c>
      <c r="B256" s="1" t="s">
        <v>84</v>
      </c>
      <c r="C256" s="4">
        <v>24</v>
      </c>
      <c r="D256" s="8">
        <v>3</v>
      </c>
      <c r="E256" s="4">
        <v>21</v>
      </c>
      <c r="F256" s="8">
        <v>4.16</v>
      </c>
      <c r="G256" s="4">
        <v>3</v>
      </c>
      <c r="H256" s="8">
        <v>1.06</v>
      </c>
      <c r="I256" s="4">
        <v>0</v>
      </c>
    </row>
    <row r="257" spans="1:9" x14ac:dyDescent="0.2">
      <c r="A257" s="2">
        <v>12</v>
      </c>
      <c r="B257" s="1" t="s">
        <v>79</v>
      </c>
      <c r="C257" s="4">
        <v>23</v>
      </c>
      <c r="D257" s="8">
        <v>2.87</v>
      </c>
      <c r="E257" s="4">
        <v>7</v>
      </c>
      <c r="F257" s="8">
        <v>1.39</v>
      </c>
      <c r="G257" s="4">
        <v>15</v>
      </c>
      <c r="H257" s="8">
        <v>5.3</v>
      </c>
      <c r="I257" s="4">
        <v>0</v>
      </c>
    </row>
    <row r="258" spans="1:9" x14ac:dyDescent="0.2">
      <c r="A258" s="2">
        <v>13</v>
      </c>
      <c r="B258" s="1" t="s">
        <v>83</v>
      </c>
      <c r="C258" s="4">
        <v>18</v>
      </c>
      <c r="D258" s="8">
        <v>2.25</v>
      </c>
      <c r="E258" s="4">
        <v>10</v>
      </c>
      <c r="F258" s="8">
        <v>1.98</v>
      </c>
      <c r="G258" s="4">
        <v>5</v>
      </c>
      <c r="H258" s="8">
        <v>1.77</v>
      </c>
      <c r="I258" s="4">
        <v>1</v>
      </c>
    </row>
    <row r="259" spans="1:9" x14ac:dyDescent="0.2">
      <c r="A259" s="2">
        <v>14</v>
      </c>
      <c r="B259" s="1" t="s">
        <v>78</v>
      </c>
      <c r="C259" s="4">
        <v>17</v>
      </c>
      <c r="D259" s="8">
        <v>2.12</v>
      </c>
      <c r="E259" s="4">
        <v>12</v>
      </c>
      <c r="F259" s="8">
        <v>2.38</v>
      </c>
      <c r="G259" s="4">
        <v>5</v>
      </c>
      <c r="H259" s="8">
        <v>1.77</v>
      </c>
      <c r="I259" s="4">
        <v>0</v>
      </c>
    </row>
    <row r="260" spans="1:9" x14ac:dyDescent="0.2">
      <c r="A260" s="2">
        <v>15</v>
      </c>
      <c r="B260" s="1" t="s">
        <v>85</v>
      </c>
      <c r="C260" s="4">
        <v>15</v>
      </c>
      <c r="D260" s="8">
        <v>1.87</v>
      </c>
      <c r="E260" s="4">
        <v>0</v>
      </c>
      <c r="F260" s="8">
        <v>0</v>
      </c>
      <c r="G260" s="4">
        <v>9</v>
      </c>
      <c r="H260" s="8">
        <v>3.18</v>
      </c>
      <c r="I260" s="4">
        <v>3</v>
      </c>
    </row>
    <row r="261" spans="1:9" x14ac:dyDescent="0.2">
      <c r="A261" s="2">
        <v>16</v>
      </c>
      <c r="B261" s="1" t="s">
        <v>91</v>
      </c>
      <c r="C261" s="4">
        <v>11</v>
      </c>
      <c r="D261" s="8">
        <v>1.37</v>
      </c>
      <c r="E261" s="4">
        <v>8</v>
      </c>
      <c r="F261" s="8">
        <v>1.58</v>
      </c>
      <c r="G261" s="4">
        <v>2</v>
      </c>
      <c r="H261" s="8">
        <v>0.71</v>
      </c>
      <c r="I261" s="4">
        <v>0</v>
      </c>
    </row>
    <row r="262" spans="1:9" x14ac:dyDescent="0.2">
      <c r="A262" s="2">
        <v>17</v>
      </c>
      <c r="B262" s="1" t="s">
        <v>92</v>
      </c>
      <c r="C262" s="4">
        <v>10</v>
      </c>
      <c r="D262" s="8">
        <v>1.25</v>
      </c>
      <c r="E262" s="4">
        <v>0</v>
      </c>
      <c r="F262" s="8">
        <v>0</v>
      </c>
      <c r="G262" s="4">
        <v>10</v>
      </c>
      <c r="H262" s="8">
        <v>3.53</v>
      </c>
      <c r="I262" s="4">
        <v>0</v>
      </c>
    </row>
    <row r="263" spans="1:9" x14ac:dyDescent="0.2">
      <c r="A263" s="2">
        <v>17</v>
      </c>
      <c r="B263" s="1" t="s">
        <v>72</v>
      </c>
      <c r="C263" s="4">
        <v>10</v>
      </c>
      <c r="D263" s="8">
        <v>1.25</v>
      </c>
      <c r="E263" s="4">
        <v>6</v>
      </c>
      <c r="F263" s="8">
        <v>1.19</v>
      </c>
      <c r="G263" s="4">
        <v>4</v>
      </c>
      <c r="H263" s="8">
        <v>1.41</v>
      </c>
      <c r="I263" s="4">
        <v>0</v>
      </c>
    </row>
    <row r="264" spans="1:9" x14ac:dyDescent="0.2">
      <c r="A264" s="2">
        <v>19</v>
      </c>
      <c r="B264" s="1" t="s">
        <v>70</v>
      </c>
      <c r="C264" s="4">
        <v>9</v>
      </c>
      <c r="D264" s="8">
        <v>1.1200000000000001</v>
      </c>
      <c r="E264" s="4">
        <v>7</v>
      </c>
      <c r="F264" s="8">
        <v>1.39</v>
      </c>
      <c r="G264" s="4">
        <v>2</v>
      </c>
      <c r="H264" s="8">
        <v>0.71</v>
      </c>
      <c r="I264" s="4">
        <v>0</v>
      </c>
    </row>
    <row r="265" spans="1:9" x14ac:dyDescent="0.2">
      <c r="A265" s="2">
        <v>19</v>
      </c>
      <c r="B265" s="1" t="s">
        <v>87</v>
      </c>
      <c r="C265" s="4">
        <v>9</v>
      </c>
      <c r="D265" s="8">
        <v>1.1200000000000001</v>
      </c>
      <c r="E265" s="4">
        <v>1</v>
      </c>
      <c r="F265" s="8">
        <v>0.2</v>
      </c>
      <c r="G265" s="4">
        <v>8</v>
      </c>
      <c r="H265" s="8">
        <v>2.83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82</v>
      </c>
      <c r="C268" s="4">
        <v>328</v>
      </c>
      <c r="D268" s="8">
        <v>13.07</v>
      </c>
      <c r="E268" s="4">
        <v>283</v>
      </c>
      <c r="F268" s="8">
        <v>22.07</v>
      </c>
      <c r="G268" s="4">
        <v>43</v>
      </c>
      <c r="H268" s="8">
        <v>3.61</v>
      </c>
      <c r="I268" s="4">
        <v>1</v>
      </c>
    </row>
    <row r="269" spans="1:9" x14ac:dyDescent="0.2">
      <c r="A269" s="2">
        <v>2</v>
      </c>
      <c r="B269" s="1" t="s">
        <v>81</v>
      </c>
      <c r="C269" s="4">
        <v>257</v>
      </c>
      <c r="D269" s="8">
        <v>10.24</v>
      </c>
      <c r="E269" s="4">
        <v>219</v>
      </c>
      <c r="F269" s="8">
        <v>17.079999999999998</v>
      </c>
      <c r="G269" s="4">
        <v>38</v>
      </c>
      <c r="H269" s="8">
        <v>3.19</v>
      </c>
      <c r="I269" s="4">
        <v>0</v>
      </c>
    </row>
    <row r="270" spans="1:9" x14ac:dyDescent="0.2">
      <c r="A270" s="2">
        <v>3</v>
      </c>
      <c r="B270" s="1" t="s">
        <v>75</v>
      </c>
      <c r="C270" s="4">
        <v>204</v>
      </c>
      <c r="D270" s="8">
        <v>8.1300000000000008</v>
      </c>
      <c r="E270" s="4">
        <v>93</v>
      </c>
      <c r="F270" s="8">
        <v>7.25</v>
      </c>
      <c r="G270" s="4">
        <v>110</v>
      </c>
      <c r="H270" s="8">
        <v>9.23</v>
      </c>
      <c r="I270" s="4">
        <v>1</v>
      </c>
    </row>
    <row r="271" spans="1:9" x14ac:dyDescent="0.2">
      <c r="A271" s="2">
        <v>4</v>
      </c>
      <c r="B271" s="1" t="s">
        <v>67</v>
      </c>
      <c r="C271" s="4">
        <v>165</v>
      </c>
      <c r="D271" s="8">
        <v>6.58</v>
      </c>
      <c r="E271" s="4">
        <v>28</v>
      </c>
      <c r="F271" s="8">
        <v>2.1800000000000002</v>
      </c>
      <c r="G271" s="4">
        <v>137</v>
      </c>
      <c r="H271" s="8">
        <v>11.49</v>
      </c>
      <c r="I271" s="4">
        <v>0</v>
      </c>
    </row>
    <row r="272" spans="1:9" x14ac:dyDescent="0.2">
      <c r="A272" s="2">
        <v>5</v>
      </c>
      <c r="B272" s="1" t="s">
        <v>73</v>
      </c>
      <c r="C272" s="4">
        <v>155</v>
      </c>
      <c r="D272" s="8">
        <v>6.18</v>
      </c>
      <c r="E272" s="4">
        <v>97</v>
      </c>
      <c r="F272" s="8">
        <v>7.57</v>
      </c>
      <c r="G272" s="4">
        <v>58</v>
      </c>
      <c r="H272" s="8">
        <v>4.87</v>
      </c>
      <c r="I272" s="4">
        <v>0</v>
      </c>
    </row>
    <row r="273" spans="1:9" x14ac:dyDescent="0.2">
      <c r="A273" s="2">
        <v>6</v>
      </c>
      <c r="B273" s="1" t="s">
        <v>74</v>
      </c>
      <c r="C273" s="4">
        <v>106</v>
      </c>
      <c r="D273" s="8">
        <v>4.22</v>
      </c>
      <c r="E273" s="4">
        <v>65</v>
      </c>
      <c r="F273" s="8">
        <v>5.07</v>
      </c>
      <c r="G273" s="4">
        <v>41</v>
      </c>
      <c r="H273" s="8">
        <v>3.44</v>
      </c>
      <c r="I273" s="4">
        <v>0</v>
      </c>
    </row>
    <row r="274" spans="1:9" x14ac:dyDescent="0.2">
      <c r="A274" s="2">
        <v>7</v>
      </c>
      <c r="B274" s="1" t="s">
        <v>84</v>
      </c>
      <c r="C274" s="4">
        <v>94</v>
      </c>
      <c r="D274" s="8">
        <v>3.75</v>
      </c>
      <c r="E274" s="4">
        <v>82</v>
      </c>
      <c r="F274" s="8">
        <v>6.4</v>
      </c>
      <c r="G274" s="4">
        <v>12</v>
      </c>
      <c r="H274" s="8">
        <v>1.01</v>
      </c>
      <c r="I274" s="4">
        <v>0</v>
      </c>
    </row>
    <row r="275" spans="1:9" x14ac:dyDescent="0.2">
      <c r="A275" s="2">
        <v>8</v>
      </c>
      <c r="B275" s="1" t="s">
        <v>83</v>
      </c>
      <c r="C275" s="4">
        <v>90</v>
      </c>
      <c r="D275" s="8">
        <v>3.59</v>
      </c>
      <c r="E275" s="4">
        <v>57</v>
      </c>
      <c r="F275" s="8">
        <v>4.45</v>
      </c>
      <c r="G275" s="4">
        <v>14</v>
      </c>
      <c r="H275" s="8">
        <v>1.17</v>
      </c>
      <c r="I275" s="4">
        <v>0</v>
      </c>
    </row>
    <row r="276" spans="1:9" x14ac:dyDescent="0.2">
      <c r="A276" s="2">
        <v>9</v>
      </c>
      <c r="B276" s="1" t="s">
        <v>69</v>
      </c>
      <c r="C276" s="4">
        <v>89</v>
      </c>
      <c r="D276" s="8">
        <v>3.55</v>
      </c>
      <c r="E276" s="4">
        <v>24</v>
      </c>
      <c r="F276" s="8">
        <v>1.87</v>
      </c>
      <c r="G276" s="4">
        <v>65</v>
      </c>
      <c r="H276" s="8">
        <v>5.45</v>
      </c>
      <c r="I276" s="4">
        <v>0</v>
      </c>
    </row>
    <row r="277" spans="1:9" x14ac:dyDescent="0.2">
      <c r="A277" s="2">
        <v>10</v>
      </c>
      <c r="B277" s="1" t="s">
        <v>68</v>
      </c>
      <c r="C277" s="4">
        <v>88</v>
      </c>
      <c r="D277" s="8">
        <v>3.51</v>
      </c>
      <c r="E277" s="4">
        <v>33</v>
      </c>
      <c r="F277" s="8">
        <v>2.57</v>
      </c>
      <c r="G277" s="4">
        <v>55</v>
      </c>
      <c r="H277" s="8">
        <v>4.6100000000000003</v>
      </c>
      <c r="I277" s="4">
        <v>0</v>
      </c>
    </row>
    <row r="278" spans="1:9" x14ac:dyDescent="0.2">
      <c r="A278" s="2">
        <v>11</v>
      </c>
      <c r="B278" s="1" t="s">
        <v>77</v>
      </c>
      <c r="C278" s="4">
        <v>76</v>
      </c>
      <c r="D278" s="8">
        <v>3.03</v>
      </c>
      <c r="E278" s="4">
        <v>20</v>
      </c>
      <c r="F278" s="8">
        <v>1.56</v>
      </c>
      <c r="G278" s="4">
        <v>55</v>
      </c>
      <c r="H278" s="8">
        <v>4.6100000000000003</v>
      </c>
      <c r="I278" s="4">
        <v>0</v>
      </c>
    </row>
    <row r="279" spans="1:9" x14ac:dyDescent="0.2">
      <c r="A279" s="2">
        <v>12</v>
      </c>
      <c r="B279" s="1" t="s">
        <v>79</v>
      </c>
      <c r="C279" s="4">
        <v>74</v>
      </c>
      <c r="D279" s="8">
        <v>2.95</v>
      </c>
      <c r="E279" s="4">
        <v>27</v>
      </c>
      <c r="F279" s="8">
        <v>2.11</v>
      </c>
      <c r="G279" s="4">
        <v>46</v>
      </c>
      <c r="H279" s="8">
        <v>3.86</v>
      </c>
      <c r="I279" s="4">
        <v>0</v>
      </c>
    </row>
    <row r="280" spans="1:9" x14ac:dyDescent="0.2">
      <c r="A280" s="2">
        <v>13</v>
      </c>
      <c r="B280" s="1" t="s">
        <v>76</v>
      </c>
      <c r="C280" s="4">
        <v>54</v>
      </c>
      <c r="D280" s="8">
        <v>2.15</v>
      </c>
      <c r="E280" s="4">
        <v>11</v>
      </c>
      <c r="F280" s="8">
        <v>0.86</v>
      </c>
      <c r="G280" s="4">
        <v>43</v>
      </c>
      <c r="H280" s="8">
        <v>3.61</v>
      </c>
      <c r="I280" s="4">
        <v>0</v>
      </c>
    </row>
    <row r="281" spans="1:9" x14ac:dyDescent="0.2">
      <c r="A281" s="2">
        <v>14</v>
      </c>
      <c r="B281" s="1" t="s">
        <v>72</v>
      </c>
      <c r="C281" s="4">
        <v>52</v>
      </c>
      <c r="D281" s="8">
        <v>2.0699999999999998</v>
      </c>
      <c r="E281" s="4">
        <v>25</v>
      </c>
      <c r="F281" s="8">
        <v>1.95</v>
      </c>
      <c r="G281" s="4">
        <v>27</v>
      </c>
      <c r="H281" s="8">
        <v>2.27</v>
      </c>
      <c r="I281" s="4">
        <v>0</v>
      </c>
    </row>
    <row r="282" spans="1:9" x14ac:dyDescent="0.2">
      <c r="A282" s="2">
        <v>15</v>
      </c>
      <c r="B282" s="1" t="s">
        <v>86</v>
      </c>
      <c r="C282" s="4">
        <v>49</v>
      </c>
      <c r="D282" s="8">
        <v>1.95</v>
      </c>
      <c r="E282" s="4">
        <v>44</v>
      </c>
      <c r="F282" s="8">
        <v>3.43</v>
      </c>
      <c r="G282" s="4">
        <v>5</v>
      </c>
      <c r="H282" s="8">
        <v>0.42</v>
      </c>
      <c r="I282" s="4">
        <v>0</v>
      </c>
    </row>
    <row r="283" spans="1:9" x14ac:dyDescent="0.2">
      <c r="A283" s="2">
        <v>16</v>
      </c>
      <c r="B283" s="1" t="s">
        <v>78</v>
      </c>
      <c r="C283" s="4">
        <v>44</v>
      </c>
      <c r="D283" s="8">
        <v>1.75</v>
      </c>
      <c r="E283" s="4">
        <v>35</v>
      </c>
      <c r="F283" s="8">
        <v>2.73</v>
      </c>
      <c r="G283" s="4">
        <v>9</v>
      </c>
      <c r="H283" s="8">
        <v>0.76</v>
      </c>
      <c r="I283" s="4">
        <v>0</v>
      </c>
    </row>
    <row r="284" spans="1:9" x14ac:dyDescent="0.2">
      <c r="A284" s="2">
        <v>17</v>
      </c>
      <c r="B284" s="1" t="s">
        <v>87</v>
      </c>
      <c r="C284" s="4">
        <v>41</v>
      </c>
      <c r="D284" s="8">
        <v>1.63</v>
      </c>
      <c r="E284" s="4">
        <v>2</v>
      </c>
      <c r="F284" s="8">
        <v>0.16</v>
      </c>
      <c r="G284" s="4">
        <v>39</v>
      </c>
      <c r="H284" s="8">
        <v>3.27</v>
      </c>
      <c r="I284" s="4">
        <v>0</v>
      </c>
    </row>
    <row r="285" spans="1:9" x14ac:dyDescent="0.2">
      <c r="A285" s="2">
        <v>18</v>
      </c>
      <c r="B285" s="1" t="s">
        <v>70</v>
      </c>
      <c r="C285" s="4">
        <v>40</v>
      </c>
      <c r="D285" s="8">
        <v>1.59</v>
      </c>
      <c r="E285" s="4">
        <v>17</v>
      </c>
      <c r="F285" s="8">
        <v>1.33</v>
      </c>
      <c r="G285" s="4">
        <v>22</v>
      </c>
      <c r="H285" s="8">
        <v>1.85</v>
      </c>
      <c r="I285" s="4">
        <v>0</v>
      </c>
    </row>
    <row r="286" spans="1:9" x14ac:dyDescent="0.2">
      <c r="A286" s="2">
        <v>18</v>
      </c>
      <c r="B286" s="1" t="s">
        <v>88</v>
      </c>
      <c r="C286" s="4">
        <v>40</v>
      </c>
      <c r="D286" s="8">
        <v>1.59</v>
      </c>
      <c r="E286" s="4">
        <v>2</v>
      </c>
      <c r="F286" s="8">
        <v>0.16</v>
      </c>
      <c r="G286" s="4">
        <v>38</v>
      </c>
      <c r="H286" s="8">
        <v>3.19</v>
      </c>
      <c r="I286" s="4">
        <v>0</v>
      </c>
    </row>
    <row r="287" spans="1:9" x14ac:dyDescent="0.2">
      <c r="A287" s="2">
        <v>18</v>
      </c>
      <c r="B287" s="1" t="s">
        <v>80</v>
      </c>
      <c r="C287" s="4">
        <v>40</v>
      </c>
      <c r="D287" s="8">
        <v>1.59</v>
      </c>
      <c r="E287" s="4">
        <v>12</v>
      </c>
      <c r="F287" s="8">
        <v>0.94</v>
      </c>
      <c r="G287" s="4">
        <v>28</v>
      </c>
      <c r="H287" s="8">
        <v>2.35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82</v>
      </c>
      <c r="C290" s="4">
        <v>90</v>
      </c>
      <c r="D290" s="8">
        <v>11.72</v>
      </c>
      <c r="E290" s="4">
        <v>86</v>
      </c>
      <c r="F290" s="8">
        <v>18.03</v>
      </c>
      <c r="G290" s="4">
        <v>4</v>
      </c>
      <c r="H290" s="8">
        <v>1.44</v>
      </c>
      <c r="I290" s="4">
        <v>0</v>
      </c>
    </row>
    <row r="291" spans="1:9" x14ac:dyDescent="0.2">
      <c r="A291" s="2">
        <v>2</v>
      </c>
      <c r="B291" s="1" t="s">
        <v>75</v>
      </c>
      <c r="C291" s="4">
        <v>69</v>
      </c>
      <c r="D291" s="8">
        <v>8.98</v>
      </c>
      <c r="E291" s="4">
        <v>39</v>
      </c>
      <c r="F291" s="8">
        <v>8.18</v>
      </c>
      <c r="G291" s="4">
        <v>30</v>
      </c>
      <c r="H291" s="8">
        <v>10.79</v>
      </c>
      <c r="I291" s="4">
        <v>0</v>
      </c>
    </row>
    <row r="292" spans="1:9" x14ac:dyDescent="0.2">
      <c r="A292" s="2">
        <v>3</v>
      </c>
      <c r="B292" s="1" t="s">
        <v>81</v>
      </c>
      <c r="C292" s="4">
        <v>63</v>
      </c>
      <c r="D292" s="8">
        <v>8.1999999999999993</v>
      </c>
      <c r="E292" s="4">
        <v>58</v>
      </c>
      <c r="F292" s="8">
        <v>12.16</v>
      </c>
      <c r="G292" s="4">
        <v>5</v>
      </c>
      <c r="H292" s="8">
        <v>1.8</v>
      </c>
      <c r="I292" s="4">
        <v>0</v>
      </c>
    </row>
    <row r="293" spans="1:9" x14ac:dyDescent="0.2">
      <c r="A293" s="2">
        <v>4</v>
      </c>
      <c r="B293" s="1" t="s">
        <v>73</v>
      </c>
      <c r="C293" s="4">
        <v>56</v>
      </c>
      <c r="D293" s="8">
        <v>7.29</v>
      </c>
      <c r="E293" s="4">
        <v>42</v>
      </c>
      <c r="F293" s="8">
        <v>8.81</v>
      </c>
      <c r="G293" s="4">
        <v>12</v>
      </c>
      <c r="H293" s="8">
        <v>4.32</v>
      </c>
      <c r="I293" s="4">
        <v>2</v>
      </c>
    </row>
    <row r="294" spans="1:9" x14ac:dyDescent="0.2">
      <c r="A294" s="2">
        <v>5</v>
      </c>
      <c r="B294" s="1" t="s">
        <v>67</v>
      </c>
      <c r="C294" s="4">
        <v>47</v>
      </c>
      <c r="D294" s="8">
        <v>6.12</v>
      </c>
      <c r="E294" s="4">
        <v>14</v>
      </c>
      <c r="F294" s="8">
        <v>2.94</v>
      </c>
      <c r="G294" s="4">
        <v>33</v>
      </c>
      <c r="H294" s="8">
        <v>11.87</v>
      </c>
      <c r="I294" s="4">
        <v>0</v>
      </c>
    </row>
    <row r="295" spans="1:9" x14ac:dyDescent="0.2">
      <c r="A295" s="2">
        <v>6</v>
      </c>
      <c r="B295" s="1" t="s">
        <v>74</v>
      </c>
      <c r="C295" s="4">
        <v>35</v>
      </c>
      <c r="D295" s="8">
        <v>4.5599999999999996</v>
      </c>
      <c r="E295" s="4">
        <v>23</v>
      </c>
      <c r="F295" s="8">
        <v>4.82</v>
      </c>
      <c r="G295" s="4">
        <v>12</v>
      </c>
      <c r="H295" s="8">
        <v>4.32</v>
      </c>
      <c r="I295" s="4">
        <v>0</v>
      </c>
    </row>
    <row r="296" spans="1:9" x14ac:dyDescent="0.2">
      <c r="A296" s="2">
        <v>7</v>
      </c>
      <c r="B296" s="1" t="s">
        <v>68</v>
      </c>
      <c r="C296" s="4">
        <v>31</v>
      </c>
      <c r="D296" s="8">
        <v>4.04</v>
      </c>
      <c r="E296" s="4">
        <v>15</v>
      </c>
      <c r="F296" s="8">
        <v>3.14</v>
      </c>
      <c r="G296" s="4">
        <v>16</v>
      </c>
      <c r="H296" s="8">
        <v>5.76</v>
      </c>
      <c r="I296" s="4">
        <v>0</v>
      </c>
    </row>
    <row r="297" spans="1:9" x14ac:dyDescent="0.2">
      <c r="A297" s="2">
        <v>8</v>
      </c>
      <c r="B297" s="1" t="s">
        <v>84</v>
      </c>
      <c r="C297" s="4">
        <v>29</v>
      </c>
      <c r="D297" s="8">
        <v>3.78</v>
      </c>
      <c r="E297" s="4">
        <v>27</v>
      </c>
      <c r="F297" s="8">
        <v>5.66</v>
      </c>
      <c r="G297" s="4">
        <v>2</v>
      </c>
      <c r="H297" s="8">
        <v>0.72</v>
      </c>
      <c r="I297" s="4">
        <v>0</v>
      </c>
    </row>
    <row r="298" spans="1:9" x14ac:dyDescent="0.2">
      <c r="A298" s="2">
        <v>9</v>
      </c>
      <c r="B298" s="1" t="s">
        <v>69</v>
      </c>
      <c r="C298" s="4">
        <v>28</v>
      </c>
      <c r="D298" s="8">
        <v>3.65</v>
      </c>
      <c r="E298" s="4">
        <v>11</v>
      </c>
      <c r="F298" s="8">
        <v>2.31</v>
      </c>
      <c r="G298" s="4">
        <v>17</v>
      </c>
      <c r="H298" s="8">
        <v>6.12</v>
      </c>
      <c r="I298" s="4">
        <v>0</v>
      </c>
    </row>
    <row r="299" spans="1:9" x14ac:dyDescent="0.2">
      <c r="A299" s="2">
        <v>10</v>
      </c>
      <c r="B299" s="1" t="s">
        <v>83</v>
      </c>
      <c r="C299" s="4">
        <v>26</v>
      </c>
      <c r="D299" s="8">
        <v>3.39</v>
      </c>
      <c r="E299" s="4">
        <v>21</v>
      </c>
      <c r="F299" s="8">
        <v>4.4000000000000004</v>
      </c>
      <c r="G299" s="4">
        <v>1</v>
      </c>
      <c r="H299" s="8">
        <v>0.36</v>
      </c>
      <c r="I299" s="4">
        <v>1</v>
      </c>
    </row>
    <row r="300" spans="1:9" x14ac:dyDescent="0.2">
      <c r="A300" s="2">
        <v>11</v>
      </c>
      <c r="B300" s="1" t="s">
        <v>86</v>
      </c>
      <c r="C300" s="4">
        <v>24</v>
      </c>
      <c r="D300" s="8">
        <v>3.13</v>
      </c>
      <c r="E300" s="4">
        <v>19</v>
      </c>
      <c r="F300" s="8">
        <v>3.98</v>
      </c>
      <c r="G300" s="4">
        <v>5</v>
      </c>
      <c r="H300" s="8">
        <v>1.8</v>
      </c>
      <c r="I300" s="4">
        <v>0</v>
      </c>
    </row>
    <row r="301" spans="1:9" x14ac:dyDescent="0.2">
      <c r="A301" s="2">
        <v>12</v>
      </c>
      <c r="B301" s="1" t="s">
        <v>77</v>
      </c>
      <c r="C301" s="4">
        <v>20</v>
      </c>
      <c r="D301" s="8">
        <v>2.6</v>
      </c>
      <c r="E301" s="4">
        <v>12</v>
      </c>
      <c r="F301" s="8">
        <v>2.52</v>
      </c>
      <c r="G301" s="4">
        <v>8</v>
      </c>
      <c r="H301" s="8">
        <v>2.88</v>
      </c>
      <c r="I301" s="4">
        <v>0</v>
      </c>
    </row>
    <row r="302" spans="1:9" x14ac:dyDescent="0.2">
      <c r="A302" s="2">
        <v>13</v>
      </c>
      <c r="B302" s="1" t="s">
        <v>70</v>
      </c>
      <c r="C302" s="4">
        <v>15</v>
      </c>
      <c r="D302" s="8">
        <v>1.95</v>
      </c>
      <c r="E302" s="4">
        <v>6</v>
      </c>
      <c r="F302" s="8">
        <v>1.26</v>
      </c>
      <c r="G302" s="4">
        <v>9</v>
      </c>
      <c r="H302" s="8">
        <v>3.24</v>
      </c>
      <c r="I302" s="4">
        <v>0</v>
      </c>
    </row>
    <row r="303" spans="1:9" x14ac:dyDescent="0.2">
      <c r="A303" s="2">
        <v>14</v>
      </c>
      <c r="B303" s="1" t="s">
        <v>71</v>
      </c>
      <c r="C303" s="4">
        <v>14</v>
      </c>
      <c r="D303" s="8">
        <v>1.82</v>
      </c>
      <c r="E303" s="4">
        <v>3</v>
      </c>
      <c r="F303" s="8">
        <v>0.63</v>
      </c>
      <c r="G303" s="4">
        <v>11</v>
      </c>
      <c r="H303" s="8">
        <v>3.96</v>
      </c>
      <c r="I303" s="4">
        <v>0</v>
      </c>
    </row>
    <row r="304" spans="1:9" x14ac:dyDescent="0.2">
      <c r="A304" s="2">
        <v>15</v>
      </c>
      <c r="B304" s="1" t="s">
        <v>79</v>
      </c>
      <c r="C304" s="4">
        <v>13</v>
      </c>
      <c r="D304" s="8">
        <v>1.69</v>
      </c>
      <c r="E304" s="4">
        <v>8</v>
      </c>
      <c r="F304" s="8">
        <v>1.68</v>
      </c>
      <c r="G304" s="4">
        <v>5</v>
      </c>
      <c r="H304" s="8">
        <v>1.8</v>
      </c>
      <c r="I304" s="4">
        <v>0</v>
      </c>
    </row>
    <row r="305" spans="1:9" x14ac:dyDescent="0.2">
      <c r="A305" s="2">
        <v>16</v>
      </c>
      <c r="B305" s="1" t="s">
        <v>72</v>
      </c>
      <c r="C305" s="4">
        <v>12</v>
      </c>
      <c r="D305" s="8">
        <v>1.56</v>
      </c>
      <c r="E305" s="4">
        <v>8</v>
      </c>
      <c r="F305" s="8">
        <v>1.68</v>
      </c>
      <c r="G305" s="4">
        <v>4</v>
      </c>
      <c r="H305" s="8">
        <v>1.44</v>
      </c>
      <c r="I305" s="4">
        <v>0</v>
      </c>
    </row>
    <row r="306" spans="1:9" x14ac:dyDescent="0.2">
      <c r="A306" s="2">
        <v>16</v>
      </c>
      <c r="B306" s="1" t="s">
        <v>85</v>
      </c>
      <c r="C306" s="4">
        <v>12</v>
      </c>
      <c r="D306" s="8">
        <v>1.56</v>
      </c>
      <c r="E306" s="4">
        <v>0</v>
      </c>
      <c r="F306" s="8">
        <v>0</v>
      </c>
      <c r="G306" s="4">
        <v>12</v>
      </c>
      <c r="H306" s="8">
        <v>4.32</v>
      </c>
      <c r="I306" s="4">
        <v>0</v>
      </c>
    </row>
    <row r="307" spans="1:9" x14ac:dyDescent="0.2">
      <c r="A307" s="2">
        <v>18</v>
      </c>
      <c r="B307" s="1" t="s">
        <v>93</v>
      </c>
      <c r="C307" s="4">
        <v>11</v>
      </c>
      <c r="D307" s="8">
        <v>1.43</v>
      </c>
      <c r="E307" s="4">
        <v>4</v>
      </c>
      <c r="F307" s="8">
        <v>0.84</v>
      </c>
      <c r="G307" s="4">
        <v>6</v>
      </c>
      <c r="H307" s="8">
        <v>2.16</v>
      </c>
      <c r="I307" s="4">
        <v>0</v>
      </c>
    </row>
    <row r="308" spans="1:9" x14ac:dyDescent="0.2">
      <c r="A308" s="2">
        <v>18</v>
      </c>
      <c r="B308" s="1" t="s">
        <v>91</v>
      </c>
      <c r="C308" s="4">
        <v>11</v>
      </c>
      <c r="D308" s="8">
        <v>1.43</v>
      </c>
      <c r="E308" s="4">
        <v>7</v>
      </c>
      <c r="F308" s="8">
        <v>1.47</v>
      </c>
      <c r="G308" s="4">
        <v>4</v>
      </c>
      <c r="H308" s="8">
        <v>1.44</v>
      </c>
      <c r="I308" s="4">
        <v>0</v>
      </c>
    </row>
    <row r="309" spans="1:9" x14ac:dyDescent="0.2">
      <c r="A309" s="2">
        <v>18</v>
      </c>
      <c r="B309" s="1" t="s">
        <v>99</v>
      </c>
      <c r="C309" s="4">
        <v>11</v>
      </c>
      <c r="D309" s="8">
        <v>1.43</v>
      </c>
      <c r="E309" s="4">
        <v>8</v>
      </c>
      <c r="F309" s="8">
        <v>1.68</v>
      </c>
      <c r="G309" s="4">
        <v>3</v>
      </c>
      <c r="H309" s="8">
        <v>1.08</v>
      </c>
      <c r="I309" s="4">
        <v>0</v>
      </c>
    </row>
    <row r="310" spans="1:9" x14ac:dyDescent="0.2">
      <c r="A310" s="1"/>
      <c r="C310" s="4"/>
      <c r="D310" s="8"/>
      <c r="E310" s="4"/>
      <c r="F310" s="8"/>
      <c r="G310" s="4"/>
      <c r="H310" s="8"/>
      <c r="I310" s="4"/>
    </row>
    <row r="311" spans="1:9" x14ac:dyDescent="0.2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2">
      <c r="A312" s="2">
        <v>1</v>
      </c>
      <c r="B312" s="1" t="s">
        <v>82</v>
      </c>
      <c r="C312" s="4">
        <v>88</v>
      </c>
      <c r="D312" s="8">
        <v>10.59</v>
      </c>
      <c r="E312" s="4">
        <v>79</v>
      </c>
      <c r="F312" s="8">
        <v>16.7</v>
      </c>
      <c r="G312" s="4">
        <v>9</v>
      </c>
      <c r="H312" s="8">
        <v>2.75</v>
      </c>
      <c r="I312" s="4">
        <v>0</v>
      </c>
    </row>
    <row r="313" spans="1:9" x14ac:dyDescent="0.2">
      <c r="A313" s="2">
        <v>2</v>
      </c>
      <c r="B313" s="1" t="s">
        <v>73</v>
      </c>
      <c r="C313" s="4">
        <v>78</v>
      </c>
      <c r="D313" s="8">
        <v>9.39</v>
      </c>
      <c r="E313" s="4">
        <v>58</v>
      </c>
      <c r="F313" s="8">
        <v>12.26</v>
      </c>
      <c r="G313" s="4">
        <v>19</v>
      </c>
      <c r="H313" s="8">
        <v>5.81</v>
      </c>
      <c r="I313" s="4">
        <v>1</v>
      </c>
    </row>
    <row r="314" spans="1:9" x14ac:dyDescent="0.2">
      <c r="A314" s="2">
        <v>3</v>
      </c>
      <c r="B314" s="1" t="s">
        <v>75</v>
      </c>
      <c r="C314" s="4">
        <v>77</v>
      </c>
      <c r="D314" s="8">
        <v>9.27</v>
      </c>
      <c r="E314" s="4">
        <v>34</v>
      </c>
      <c r="F314" s="8">
        <v>7.19</v>
      </c>
      <c r="G314" s="4">
        <v>43</v>
      </c>
      <c r="H314" s="8">
        <v>13.15</v>
      </c>
      <c r="I314" s="4">
        <v>0</v>
      </c>
    </row>
    <row r="315" spans="1:9" x14ac:dyDescent="0.2">
      <c r="A315" s="2">
        <v>4</v>
      </c>
      <c r="B315" s="1" t="s">
        <v>81</v>
      </c>
      <c r="C315" s="4">
        <v>74</v>
      </c>
      <c r="D315" s="8">
        <v>8.9</v>
      </c>
      <c r="E315" s="4">
        <v>66</v>
      </c>
      <c r="F315" s="8">
        <v>13.95</v>
      </c>
      <c r="G315" s="4">
        <v>8</v>
      </c>
      <c r="H315" s="8">
        <v>2.4500000000000002</v>
      </c>
      <c r="I315" s="4">
        <v>0</v>
      </c>
    </row>
    <row r="316" spans="1:9" x14ac:dyDescent="0.2">
      <c r="A316" s="2">
        <v>5</v>
      </c>
      <c r="B316" s="1" t="s">
        <v>67</v>
      </c>
      <c r="C316" s="4">
        <v>57</v>
      </c>
      <c r="D316" s="8">
        <v>6.86</v>
      </c>
      <c r="E316" s="4">
        <v>13</v>
      </c>
      <c r="F316" s="8">
        <v>2.75</v>
      </c>
      <c r="G316" s="4">
        <v>44</v>
      </c>
      <c r="H316" s="8">
        <v>13.46</v>
      </c>
      <c r="I316" s="4">
        <v>0</v>
      </c>
    </row>
    <row r="317" spans="1:9" x14ac:dyDescent="0.2">
      <c r="A317" s="2">
        <v>6</v>
      </c>
      <c r="B317" s="1" t="s">
        <v>83</v>
      </c>
      <c r="C317" s="4">
        <v>53</v>
      </c>
      <c r="D317" s="8">
        <v>6.38</v>
      </c>
      <c r="E317" s="4">
        <v>18</v>
      </c>
      <c r="F317" s="8">
        <v>3.81</v>
      </c>
      <c r="G317" s="4">
        <v>8</v>
      </c>
      <c r="H317" s="8">
        <v>2.4500000000000002</v>
      </c>
      <c r="I317" s="4">
        <v>0</v>
      </c>
    </row>
    <row r="318" spans="1:9" x14ac:dyDescent="0.2">
      <c r="A318" s="2">
        <v>7</v>
      </c>
      <c r="B318" s="1" t="s">
        <v>74</v>
      </c>
      <c r="C318" s="4">
        <v>34</v>
      </c>
      <c r="D318" s="8">
        <v>4.09</v>
      </c>
      <c r="E318" s="4">
        <v>26</v>
      </c>
      <c r="F318" s="8">
        <v>5.5</v>
      </c>
      <c r="G318" s="4">
        <v>8</v>
      </c>
      <c r="H318" s="8">
        <v>2.4500000000000002</v>
      </c>
      <c r="I318" s="4">
        <v>0</v>
      </c>
    </row>
    <row r="319" spans="1:9" x14ac:dyDescent="0.2">
      <c r="A319" s="2">
        <v>8</v>
      </c>
      <c r="B319" s="1" t="s">
        <v>84</v>
      </c>
      <c r="C319" s="4">
        <v>29</v>
      </c>
      <c r="D319" s="8">
        <v>3.49</v>
      </c>
      <c r="E319" s="4">
        <v>25</v>
      </c>
      <c r="F319" s="8">
        <v>5.29</v>
      </c>
      <c r="G319" s="4">
        <v>4</v>
      </c>
      <c r="H319" s="8">
        <v>1.22</v>
      </c>
      <c r="I319" s="4">
        <v>0</v>
      </c>
    </row>
    <row r="320" spans="1:9" x14ac:dyDescent="0.2">
      <c r="A320" s="2">
        <v>9</v>
      </c>
      <c r="B320" s="1" t="s">
        <v>68</v>
      </c>
      <c r="C320" s="4">
        <v>26</v>
      </c>
      <c r="D320" s="8">
        <v>3.13</v>
      </c>
      <c r="E320" s="4">
        <v>15</v>
      </c>
      <c r="F320" s="8">
        <v>3.17</v>
      </c>
      <c r="G320" s="4">
        <v>11</v>
      </c>
      <c r="H320" s="8">
        <v>3.36</v>
      </c>
      <c r="I320" s="4">
        <v>0</v>
      </c>
    </row>
    <row r="321" spans="1:9" x14ac:dyDescent="0.2">
      <c r="A321" s="2">
        <v>9</v>
      </c>
      <c r="B321" s="1" t="s">
        <v>86</v>
      </c>
      <c r="C321" s="4">
        <v>26</v>
      </c>
      <c r="D321" s="8">
        <v>3.13</v>
      </c>
      <c r="E321" s="4">
        <v>22</v>
      </c>
      <c r="F321" s="8">
        <v>4.6500000000000004</v>
      </c>
      <c r="G321" s="4">
        <v>4</v>
      </c>
      <c r="H321" s="8">
        <v>1.22</v>
      </c>
      <c r="I321" s="4">
        <v>0</v>
      </c>
    </row>
    <row r="322" spans="1:9" x14ac:dyDescent="0.2">
      <c r="A322" s="2">
        <v>11</v>
      </c>
      <c r="B322" s="1" t="s">
        <v>72</v>
      </c>
      <c r="C322" s="4">
        <v>21</v>
      </c>
      <c r="D322" s="8">
        <v>2.5299999999999998</v>
      </c>
      <c r="E322" s="4">
        <v>9</v>
      </c>
      <c r="F322" s="8">
        <v>1.9</v>
      </c>
      <c r="G322" s="4">
        <v>12</v>
      </c>
      <c r="H322" s="8">
        <v>3.67</v>
      </c>
      <c r="I322" s="4">
        <v>0</v>
      </c>
    </row>
    <row r="323" spans="1:9" x14ac:dyDescent="0.2">
      <c r="A323" s="2">
        <v>12</v>
      </c>
      <c r="B323" s="1" t="s">
        <v>69</v>
      </c>
      <c r="C323" s="4">
        <v>20</v>
      </c>
      <c r="D323" s="8">
        <v>2.41</v>
      </c>
      <c r="E323" s="4">
        <v>6</v>
      </c>
      <c r="F323" s="8">
        <v>1.27</v>
      </c>
      <c r="G323" s="4">
        <v>14</v>
      </c>
      <c r="H323" s="8">
        <v>4.28</v>
      </c>
      <c r="I323" s="4">
        <v>0</v>
      </c>
    </row>
    <row r="324" spans="1:9" x14ac:dyDescent="0.2">
      <c r="A324" s="2">
        <v>13</v>
      </c>
      <c r="B324" s="1" t="s">
        <v>79</v>
      </c>
      <c r="C324" s="4">
        <v>19</v>
      </c>
      <c r="D324" s="8">
        <v>2.29</v>
      </c>
      <c r="E324" s="4">
        <v>6</v>
      </c>
      <c r="F324" s="8">
        <v>1.27</v>
      </c>
      <c r="G324" s="4">
        <v>13</v>
      </c>
      <c r="H324" s="8">
        <v>3.98</v>
      </c>
      <c r="I324" s="4">
        <v>0</v>
      </c>
    </row>
    <row r="325" spans="1:9" x14ac:dyDescent="0.2">
      <c r="A325" s="2">
        <v>14</v>
      </c>
      <c r="B325" s="1" t="s">
        <v>91</v>
      </c>
      <c r="C325" s="4">
        <v>18</v>
      </c>
      <c r="D325" s="8">
        <v>2.17</v>
      </c>
      <c r="E325" s="4">
        <v>13</v>
      </c>
      <c r="F325" s="8">
        <v>2.75</v>
      </c>
      <c r="G325" s="4">
        <v>5</v>
      </c>
      <c r="H325" s="8">
        <v>1.53</v>
      </c>
      <c r="I325" s="4">
        <v>0</v>
      </c>
    </row>
    <row r="326" spans="1:9" x14ac:dyDescent="0.2">
      <c r="A326" s="2">
        <v>15</v>
      </c>
      <c r="B326" s="1" t="s">
        <v>70</v>
      </c>
      <c r="C326" s="4">
        <v>16</v>
      </c>
      <c r="D326" s="8">
        <v>1.93</v>
      </c>
      <c r="E326" s="4">
        <v>5</v>
      </c>
      <c r="F326" s="8">
        <v>1.06</v>
      </c>
      <c r="G326" s="4">
        <v>11</v>
      </c>
      <c r="H326" s="8">
        <v>3.36</v>
      </c>
      <c r="I326" s="4">
        <v>0</v>
      </c>
    </row>
    <row r="327" spans="1:9" x14ac:dyDescent="0.2">
      <c r="A327" s="2">
        <v>16</v>
      </c>
      <c r="B327" s="1" t="s">
        <v>78</v>
      </c>
      <c r="C327" s="4">
        <v>13</v>
      </c>
      <c r="D327" s="8">
        <v>1.56</v>
      </c>
      <c r="E327" s="4">
        <v>11</v>
      </c>
      <c r="F327" s="8">
        <v>2.33</v>
      </c>
      <c r="G327" s="4">
        <v>2</v>
      </c>
      <c r="H327" s="8">
        <v>0.61</v>
      </c>
      <c r="I327" s="4">
        <v>0</v>
      </c>
    </row>
    <row r="328" spans="1:9" x14ac:dyDescent="0.2">
      <c r="A328" s="2">
        <v>16</v>
      </c>
      <c r="B328" s="1" t="s">
        <v>85</v>
      </c>
      <c r="C328" s="4">
        <v>13</v>
      </c>
      <c r="D328" s="8">
        <v>1.56</v>
      </c>
      <c r="E328" s="4">
        <v>1</v>
      </c>
      <c r="F328" s="8">
        <v>0.21</v>
      </c>
      <c r="G328" s="4">
        <v>12</v>
      </c>
      <c r="H328" s="8">
        <v>3.67</v>
      </c>
      <c r="I328" s="4">
        <v>0</v>
      </c>
    </row>
    <row r="329" spans="1:9" x14ac:dyDescent="0.2">
      <c r="A329" s="2">
        <v>18</v>
      </c>
      <c r="B329" s="1" t="s">
        <v>80</v>
      </c>
      <c r="C329" s="4">
        <v>12</v>
      </c>
      <c r="D329" s="8">
        <v>1.44</v>
      </c>
      <c r="E329" s="4">
        <v>6</v>
      </c>
      <c r="F329" s="8">
        <v>1.27</v>
      </c>
      <c r="G329" s="4">
        <v>6</v>
      </c>
      <c r="H329" s="8">
        <v>1.83</v>
      </c>
      <c r="I329" s="4">
        <v>0</v>
      </c>
    </row>
    <row r="330" spans="1:9" x14ac:dyDescent="0.2">
      <c r="A330" s="2">
        <v>19</v>
      </c>
      <c r="B330" s="1" t="s">
        <v>94</v>
      </c>
      <c r="C330" s="4">
        <v>11</v>
      </c>
      <c r="D330" s="8">
        <v>1.32</v>
      </c>
      <c r="E330" s="4">
        <v>6</v>
      </c>
      <c r="F330" s="8">
        <v>1.27</v>
      </c>
      <c r="G330" s="4">
        <v>4</v>
      </c>
      <c r="H330" s="8">
        <v>1.22</v>
      </c>
      <c r="I330" s="4">
        <v>1</v>
      </c>
    </row>
    <row r="331" spans="1:9" x14ac:dyDescent="0.2">
      <c r="A331" s="2">
        <v>20</v>
      </c>
      <c r="B331" s="1" t="s">
        <v>77</v>
      </c>
      <c r="C331" s="4">
        <v>10</v>
      </c>
      <c r="D331" s="8">
        <v>1.2</v>
      </c>
      <c r="E331" s="4">
        <v>5</v>
      </c>
      <c r="F331" s="8">
        <v>1.06</v>
      </c>
      <c r="G331" s="4">
        <v>5</v>
      </c>
      <c r="H331" s="8">
        <v>1.53</v>
      </c>
      <c r="I331" s="4">
        <v>0</v>
      </c>
    </row>
    <row r="332" spans="1:9" x14ac:dyDescent="0.2">
      <c r="A332" s="1"/>
      <c r="C332" s="4"/>
      <c r="D332" s="8"/>
      <c r="E332" s="4"/>
      <c r="F332" s="8"/>
      <c r="G332" s="4"/>
      <c r="H332" s="8"/>
      <c r="I332" s="4"/>
    </row>
    <row r="333" spans="1:9" x14ac:dyDescent="0.2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2">
      <c r="A334" s="2">
        <v>1</v>
      </c>
      <c r="B334" s="1" t="s">
        <v>82</v>
      </c>
      <c r="C334" s="4">
        <v>95</v>
      </c>
      <c r="D334" s="8">
        <v>12.07</v>
      </c>
      <c r="E334" s="4">
        <v>91</v>
      </c>
      <c r="F334" s="8">
        <v>20.399999999999999</v>
      </c>
      <c r="G334" s="4">
        <v>4</v>
      </c>
      <c r="H334" s="8">
        <v>1.23</v>
      </c>
      <c r="I334" s="4">
        <v>0</v>
      </c>
    </row>
    <row r="335" spans="1:9" x14ac:dyDescent="0.2">
      <c r="A335" s="2">
        <v>2</v>
      </c>
      <c r="B335" s="1" t="s">
        <v>81</v>
      </c>
      <c r="C335" s="4">
        <v>82</v>
      </c>
      <c r="D335" s="8">
        <v>10.42</v>
      </c>
      <c r="E335" s="4">
        <v>80</v>
      </c>
      <c r="F335" s="8">
        <v>17.940000000000001</v>
      </c>
      <c r="G335" s="4">
        <v>2</v>
      </c>
      <c r="H335" s="8">
        <v>0.61</v>
      </c>
      <c r="I335" s="4">
        <v>0</v>
      </c>
    </row>
    <row r="336" spans="1:9" x14ac:dyDescent="0.2">
      <c r="A336" s="2">
        <v>3</v>
      </c>
      <c r="B336" s="1" t="s">
        <v>75</v>
      </c>
      <c r="C336" s="4">
        <v>73</v>
      </c>
      <c r="D336" s="8">
        <v>9.2799999999999994</v>
      </c>
      <c r="E336" s="4">
        <v>43</v>
      </c>
      <c r="F336" s="8">
        <v>9.64</v>
      </c>
      <c r="G336" s="4">
        <v>30</v>
      </c>
      <c r="H336" s="8">
        <v>9.1999999999999993</v>
      </c>
      <c r="I336" s="4">
        <v>0</v>
      </c>
    </row>
    <row r="337" spans="1:9" x14ac:dyDescent="0.2">
      <c r="A337" s="2">
        <v>4</v>
      </c>
      <c r="B337" s="1" t="s">
        <v>73</v>
      </c>
      <c r="C337" s="4">
        <v>64</v>
      </c>
      <c r="D337" s="8">
        <v>8.1300000000000008</v>
      </c>
      <c r="E337" s="4">
        <v>48</v>
      </c>
      <c r="F337" s="8">
        <v>10.76</v>
      </c>
      <c r="G337" s="4">
        <v>15</v>
      </c>
      <c r="H337" s="8">
        <v>4.5999999999999996</v>
      </c>
      <c r="I337" s="4">
        <v>1</v>
      </c>
    </row>
    <row r="338" spans="1:9" x14ac:dyDescent="0.2">
      <c r="A338" s="2">
        <v>5</v>
      </c>
      <c r="B338" s="1" t="s">
        <v>67</v>
      </c>
      <c r="C338" s="4">
        <v>43</v>
      </c>
      <c r="D338" s="8">
        <v>5.46</v>
      </c>
      <c r="E338" s="4">
        <v>3</v>
      </c>
      <c r="F338" s="8">
        <v>0.67</v>
      </c>
      <c r="G338" s="4">
        <v>40</v>
      </c>
      <c r="H338" s="8">
        <v>12.27</v>
      </c>
      <c r="I338" s="4">
        <v>0</v>
      </c>
    </row>
    <row r="339" spans="1:9" x14ac:dyDescent="0.2">
      <c r="A339" s="2">
        <v>6</v>
      </c>
      <c r="B339" s="1" t="s">
        <v>74</v>
      </c>
      <c r="C339" s="4">
        <v>34</v>
      </c>
      <c r="D339" s="8">
        <v>4.32</v>
      </c>
      <c r="E339" s="4">
        <v>23</v>
      </c>
      <c r="F339" s="8">
        <v>5.16</v>
      </c>
      <c r="G339" s="4">
        <v>11</v>
      </c>
      <c r="H339" s="8">
        <v>3.37</v>
      </c>
      <c r="I339" s="4">
        <v>0</v>
      </c>
    </row>
    <row r="340" spans="1:9" x14ac:dyDescent="0.2">
      <c r="A340" s="2">
        <v>7</v>
      </c>
      <c r="B340" s="1" t="s">
        <v>90</v>
      </c>
      <c r="C340" s="4">
        <v>30</v>
      </c>
      <c r="D340" s="8">
        <v>3.81</v>
      </c>
      <c r="E340" s="4">
        <v>8</v>
      </c>
      <c r="F340" s="8">
        <v>1.79</v>
      </c>
      <c r="G340" s="4">
        <v>22</v>
      </c>
      <c r="H340" s="8">
        <v>6.75</v>
      </c>
      <c r="I340" s="4">
        <v>0</v>
      </c>
    </row>
    <row r="341" spans="1:9" x14ac:dyDescent="0.2">
      <c r="A341" s="2">
        <v>8</v>
      </c>
      <c r="B341" s="1" t="s">
        <v>83</v>
      </c>
      <c r="C341" s="4">
        <v>26</v>
      </c>
      <c r="D341" s="8">
        <v>3.3</v>
      </c>
      <c r="E341" s="4">
        <v>14</v>
      </c>
      <c r="F341" s="8">
        <v>3.14</v>
      </c>
      <c r="G341" s="4">
        <v>3</v>
      </c>
      <c r="H341" s="8">
        <v>0.92</v>
      </c>
      <c r="I341" s="4">
        <v>0</v>
      </c>
    </row>
    <row r="342" spans="1:9" x14ac:dyDescent="0.2">
      <c r="A342" s="2">
        <v>9</v>
      </c>
      <c r="B342" s="1" t="s">
        <v>68</v>
      </c>
      <c r="C342" s="4">
        <v>22</v>
      </c>
      <c r="D342" s="8">
        <v>2.8</v>
      </c>
      <c r="E342" s="4">
        <v>13</v>
      </c>
      <c r="F342" s="8">
        <v>2.91</v>
      </c>
      <c r="G342" s="4">
        <v>9</v>
      </c>
      <c r="H342" s="8">
        <v>2.76</v>
      </c>
      <c r="I342" s="4">
        <v>0</v>
      </c>
    </row>
    <row r="343" spans="1:9" x14ac:dyDescent="0.2">
      <c r="A343" s="2">
        <v>9</v>
      </c>
      <c r="B343" s="1" t="s">
        <v>84</v>
      </c>
      <c r="C343" s="4">
        <v>22</v>
      </c>
      <c r="D343" s="8">
        <v>2.8</v>
      </c>
      <c r="E343" s="4">
        <v>19</v>
      </c>
      <c r="F343" s="8">
        <v>4.26</v>
      </c>
      <c r="G343" s="4">
        <v>3</v>
      </c>
      <c r="H343" s="8">
        <v>0.92</v>
      </c>
      <c r="I343" s="4">
        <v>0</v>
      </c>
    </row>
    <row r="344" spans="1:9" x14ac:dyDescent="0.2">
      <c r="A344" s="2">
        <v>11</v>
      </c>
      <c r="B344" s="1" t="s">
        <v>69</v>
      </c>
      <c r="C344" s="4">
        <v>20</v>
      </c>
      <c r="D344" s="8">
        <v>2.54</v>
      </c>
      <c r="E344" s="4">
        <v>8</v>
      </c>
      <c r="F344" s="8">
        <v>1.79</v>
      </c>
      <c r="G344" s="4">
        <v>12</v>
      </c>
      <c r="H344" s="8">
        <v>3.68</v>
      </c>
      <c r="I344" s="4">
        <v>0</v>
      </c>
    </row>
    <row r="345" spans="1:9" x14ac:dyDescent="0.2">
      <c r="A345" s="2">
        <v>11</v>
      </c>
      <c r="B345" s="1" t="s">
        <v>100</v>
      </c>
      <c r="C345" s="4">
        <v>20</v>
      </c>
      <c r="D345" s="8">
        <v>2.54</v>
      </c>
      <c r="E345" s="4">
        <v>0</v>
      </c>
      <c r="F345" s="8">
        <v>0</v>
      </c>
      <c r="G345" s="4">
        <v>20</v>
      </c>
      <c r="H345" s="8">
        <v>6.13</v>
      </c>
      <c r="I345" s="4">
        <v>0</v>
      </c>
    </row>
    <row r="346" spans="1:9" x14ac:dyDescent="0.2">
      <c r="A346" s="2">
        <v>13</v>
      </c>
      <c r="B346" s="1" t="s">
        <v>79</v>
      </c>
      <c r="C346" s="4">
        <v>19</v>
      </c>
      <c r="D346" s="8">
        <v>2.41</v>
      </c>
      <c r="E346" s="4">
        <v>6</v>
      </c>
      <c r="F346" s="8">
        <v>1.35</v>
      </c>
      <c r="G346" s="4">
        <v>13</v>
      </c>
      <c r="H346" s="8">
        <v>3.99</v>
      </c>
      <c r="I346" s="4">
        <v>0</v>
      </c>
    </row>
    <row r="347" spans="1:9" x14ac:dyDescent="0.2">
      <c r="A347" s="2">
        <v>14</v>
      </c>
      <c r="B347" s="1" t="s">
        <v>86</v>
      </c>
      <c r="C347" s="4">
        <v>17</v>
      </c>
      <c r="D347" s="8">
        <v>2.16</v>
      </c>
      <c r="E347" s="4">
        <v>15</v>
      </c>
      <c r="F347" s="8">
        <v>3.36</v>
      </c>
      <c r="G347" s="4">
        <v>2</v>
      </c>
      <c r="H347" s="8">
        <v>0.61</v>
      </c>
      <c r="I347" s="4">
        <v>0</v>
      </c>
    </row>
    <row r="348" spans="1:9" x14ac:dyDescent="0.2">
      <c r="A348" s="2">
        <v>15</v>
      </c>
      <c r="B348" s="1" t="s">
        <v>71</v>
      </c>
      <c r="C348" s="4">
        <v>16</v>
      </c>
      <c r="D348" s="8">
        <v>2.0299999999999998</v>
      </c>
      <c r="E348" s="4">
        <v>4</v>
      </c>
      <c r="F348" s="8">
        <v>0.9</v>
      </c>
      <c r="G348" s="4">
        <v>12</v>
      </c>
      <c r="H348" s="8">
        <v>3.68</v>
      </c>
      <c r="I348" s="4">
        <v>0</v>
      </c>
    </row>
    <row r="349" spans="1:9" x14ac:dyDescent="0.2">
      <c r="A349" s="2">
        <v>16</v>
      </c>
      <c r="B349" s="1" t="s">
        <v>85</v>
      </c>
      <c r="C349" s="4">
        <v>14</v>
      </c>
      <c r="D349" s="8">
        <v>1.78</v>
      </c>
      <c r="E349" s="4">
        <v>0</v>
      </c>
      <c r="F349" s="8">
        <v>0</v>
      </c>
      <c r="G349" s="4">
        <v>13</v>
      </c>
      <c r="H349" s="8">
        <v>3.99</v>
      </c>
      <c r="I349" s="4">
        <v>0</v>
      </c>
    </row>
    <row r="350" spans="1:9" x14ac:dyDescent="0.2">
      <c r="A350" s="2">
        <v>17</v>
      </c>
      <c r="B350" s="1" t="s">
        <v>72</v>
      </c>
      <c r="C350" s="4">
        <v>13</v>
      </c>
      <c r="D350" s="8">
        <v>1.65</v>
      </c>
      <c r="E350" s="4">
        <v>8</v>
      </c>
      <c r="F350" s="8">
        <v>1.79</v>
      </c>
      <c r="G350" s="4">
        <v>5</v>
      </c>
      <c r="H350" s="8">
        <v>1.53</v>
      </c>
      <c r="I350" s="4">
        <v>0</v>
      </c>
    </row>
    <row r="351" spans="1:9" x14ac:dyDescent="0.2">
      <c r="A351" s="2">
        <v>17</v>
      </c>
      <c r="B351" s="1" t="s">
        <v>78</v>
      </c>
      <c r="C351" s="4">
        <v>13</v>
      </c>
      <c r="D351" s="8">
        <v>1.65</v>
      </c>
      <c r="E351" s="4">
        <v>10</v>
      </c>
      <c r="F351" s="8">
        <v>2.2400000000000002</v>
      </c>
      <c r="G351" s="4">
        <v>3</v>
      </c>
      <c r="H351" s="8">
        <v>0.92</v>
      </c>
      <c r="I351" s="4">
        <v>0</v>
      </c>
    </row>
    <row r="352" spans="1:9" x14ac:dyDescent="0.2">
      <c r="A352" s="2">
        <v>19</v>
      </c>
      <c r="B352" s="1" t="s">
        <v>70</v>
      </c>
      <c r="C352" s="4">
        <v>12</v>
      </c>
      <c r="D352" s="8">
        <v>1.52</v>
      </c>
      <c r="E352" s="4">
        <v>6</v>
      </c>
      <c r="F352" s="8">
        <v>1.35</v>
      </c>
      <c r="G352" s="4">
        <v>6</v>
      </c>
      <c r="H352" s="8">
        <v>1.84</v>
      </c>
      <c r="I352" s="4">
        <v>0</v>
      </c>
    </row>
    <row r="353" spans="1:9" x14ac:dyDescent="0.2">
      <c r="A353" s="2">
        <v>20</v>
      </c>
      <c r="B353" s="1" t="s">
        <v>77</v>
      </c>
      <c r="C353" s="4">
        <v>11</v>
      </c>
      <c r="D353" s="8">
        <v>1.4</v>
      </c>
      <c r="E353" s="4">
        <v>3</v>
      </c>
      <c r="F353" s="8">
        <v>0.67</v>
      </c>
      <c r="G353" s="4">
        <v>8</v>
      </c>
      <c r="H353" s="8">
        <v>2.4500000000000002</v>
      </c>
      <c r="I353" s="4">
        <v>0</v>
      </c>
    </row>
    <row r="354" spans="1:9" x14ac:dyDescent="0.2">
      <c r="A354" s="1"/>
      <c r="C354" s="4"/>
      <c r="D354" s="8"/>
      <c r="E354" s="4"/>
      <c r="F354" s="8"/>
      <c r="G354" s="4"/>
      <c r="H354" s="8"/>
      <c r="I354" s="4"/>
    </row>
    <row r="355" spans="1:9" x14ac:dyDescent="0.2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2">
      <c r="A356" s="2">
        <v>1</v>
      </c>
      <c r="B356" s="1" t="s">
        <v>81</v>
      </c>
      <c r="C356" s="4">
        <v>261</v>
      </c>
      <c r="D356" s="8">
        <v>16.309999999999999</v>
      </c>
      <c r="E356" s="4">
        <v>239</v>
      </c>
      <c r="F356" s="8">
        <v>26.23</v>
      </c>
      <c r="G356" s="4">
        <v>22</v>
      </c>
      <c r="H356" s="8">
        <v>3.34</v>
      </c>
      <c r="I356" s="4">
        <v>0</v>
      </c>
    </row>
    <row r="357" spans="1:9" x14ac:dyDescent="0.2">
      <c r="A357" s="2">
        <v>2</v>
      </c>
      <c r="B357" s="1" t="s">
        <v>82</v>
      </c>
      <c r="C357" s="4">
        <v>159</v>
      </c>
      <c r="D357" s="8">
        <v>9.94</v>
      </c>
      <c r="E357" s="4">
        <v>146</v>
      </c>
      <c r="F357" s="8">
        <v>16.03</v>
      </c>
      <c r="G357" s="4">
        <v>13</v>
      </c>
      <c r="H357" s="8">
        <v>1.98</v>
      </c>
      <c r="I357" s="4">
        <v>0</v>
      </c>
    </row>
    <row r="358" spans="1:9" x14ac:dyDescent="0.2">
      <c r="A358" s="2">
        <v>3</v>
      </c>
      <c r="B358" s="1" t="s">
        <v>73</v>
      </c>
      <c r="C358" s="4">
        <v>143</v>
      </c>
      <c r="D358" s="8">
        <v>8.94</v>
      </c>
      <c r="E358" s="4">
        <v>111</v>
      </c>
      <c r="F358" s="8">
        <v>12.18</v>
      </c>
      <c r="G358" s="4">
        <v>29</v>
      </c>
      <c r="H358" s="8">
        <v>4.41</v>
      </c>
      <c r="I358" s="4">
        <v>3</v>
      </c>
    </row>
    <row r="359" spans="1:9" x14ac:dyDescent="0.2">
      <c r="A359" s="2">
        <v>4</v>
      </c>
      <c r="B359" s="1" t="s">
        <v>75</v>
      </c>
      <c r="C359" s="4">
        <v>128</v>
      </c>
      <c r="D359" s="8">
        <v>8</v>
      </c>
      <c r="E359" s="4">
        <v>63</v>
      </c>
      <c r="F359" s="8">
        <v>6.92</v>
      </c>
      <c r="G359" s="4">
        <v>62</v>
      </c>
      <c r="H359" s="8">
        <v>9.42</v>
      </c>
      <c r="I359" s="4">
        <v>3</v>
      </c>
    </row>
    <row r="360" spans="1:9" x14ac:dyDescent="0.2">
      <c r="A360" s="2">
        <v>5</v>
      </c>
      <c r="B360" s="1" t="s">
        <v>72</v>
      </c>
      <c r="C360" s="4">
        <v>71</v>
      </c>
      <c r="D360" s="8">
        <v>4.4400000000000004</v>
      </c>
      <c r="E360" s="4">
        <v>45</v>
      </c>
      <c r="F360" s="8">
        <v>4.9400000000000004</v>
      </c>
      <c r="G360" s="4">
        <v>26</v>
      </c>
      <c r="H360" s="8">
        <v>3.95</v>
      </c>
      <c r="I360" s="4">
        <v>0</v>
      </c>
    </row>
    <row r="361" spans="1:9" x14ac:dyDescent="0.2">
      <c r="A361" s="2">
        <v>6</v>
      </c>
      <c r="B361" s="1" t="s">
        <v>77</v>
      </c>
      <c r="C361" s="4">
        <v>63</v>
      </c>
      <c r="D361" s="8">
        <v>3.94</v>
      </c>
      <c r="E361" s="4">
        <v>18</v>
      </c>
      <c r="F361" s="8">
        <v>1.98</v>
      </c>
      <c r="G361" s="4">
        <v>44</v>
      </c>
      <c r="H361" s="8">
        <v>6.69</v>
      </c>
      <c r="I361" s="4">
        <v>0</v>
      </c>
    </row>
    <row r="362" spans="1:9" x14ac:dyDescent="0.2">
      <c r="A362" s="2">
        <v>7</v>
      </c>
      <c r="B362" s="1" t="s">
        <v>79</v>
      </c>
      <c r="C362" s="4">
        <v>54</v>
      </c>
      <c r="D362" s="8">
        <v>3.38</v>
      </c>
      <c r="E362" s="4">
        <v>19</v>
      </c>
      <c r="F362" s="8">
        <v>2.09</v>
      </c>
      <c r="G362" s="4">
        <v>34</v>
      </c>
      <c r="H362" s="8">
        <v>5.17</v>
      </c>
      <c r="I362" s="4">
        <v>0</v>
      </c>
    </row>
    <row r="363" spans="1:9" x14ac:dyDescent="0.2">
      <c r="A363" s="2">
        <v>8</v>
      </c>
      <c r="B363" s="1" t="s">
        <v>67</v>
      </c>
      <c r="C363" s="4">
        <v>51</v>
      </c>
      <c r="D363" s="8">
        <v>3.19</v>
      </c>
      <c r="E363" s="4">
        <v>6</v>
      </c>
      <c r="F363" s="8">
        <v>0.66</v>
      </c>
      <c r="G363" s="4">
        <v>45</v>
      </c>
      <c r="H363" s="8">
        <v>6.84</v>
      </c>
      <c r="I363" s="4">
        <v>0</v>
      </c>
    </row>
    <row r="364" spans="1:9" x14ac:dyDescent="0.2">
      <c r="A364" s="2">
        <v>9</v>
      </c>
      <c r="B364" s="1" t="s">
        <v>74</v>
      </c>
      <c r="C364" s="4">
        <v>45</v>
      </c>
      <c r="D364" s="8">
        <v>2.81</v>
      </c>
      <c r="E364" s="4">
        <v>26</v>
      </c>
      <c r="F364" s="8">
        <v>2.85</v>
      </c>
      <c r="G364" s="4">
        <v>19</v>
      </c>
      <c r="H364" s="8">
        <v>2.89</v>
      </c>
      <c r="I364" s="4">
        <v>0</v>
      </c>
    </row>
    <row r="365" spans="1:9" x14ac:dyDescent="0.2">
      <c r="A365" s="2">
        <v>10</v>
      </c>
      <c r="B365" s="1" t="s">
        <v>69</v>
      </c>
      <c r="C365" s="4">
        <v>42</v>
      </c>
      <c r="D365" s="8">
        <v>2.63</v>
      </c>
      <c r="E365" s="4">
        <v>11</v>
      </c>
      <c r="F365" s="8">
        <v>1.21</v>
      </c>
      <c r="G365" s="4">
        <v>31</v>
      </c>
      <c r="H365" s="8">
        <v>4.71</v>
      </c>
      <c r="I365" s="4">
        <v>0</v>
      </c>
    </row>
    <row r="366" spans="1:9" x14ac:dyDescent="0.2">
      <c r="A366" s="2">
        <v>11</v>
      </c>
      <c r="B366" s="1" t="s">
        <v>83</v>
      </c>
      <c r="C366" s="4">
        <v>37</v>
      </c>
      <c r="D366" s="8">
        <v>2.31</v>
      </c>
      <c r="E366" s="4">
        <v>25</v>
      </c>
      <c r="F366" s="8">
        <v>2.74</v>
      </c>
      <c r="G366" s="4">
        <v>5</v>
      </c>
      <c r="H366" s="8">
        <v>0.76</v>
      </c>
      <c r="I366" s="4">
        <v>2</v>
      </c>
    </row>
    <row r="367" spans="1:9" x14ac:dyDescent="0.2">
      <c r="A367" s="2">
        <v>12</v>
      </c>
      <c r="B367" s="1" t="s">
        <v>70</v>
      </c>
      <c r="C367" s="4">
        <v>35</v>
      </c>
      <c r="D367" s="8">
        <v>2.19</v>
      </c>
      <c r="E367" s="4">
        <v>18</v>
      </c>
      <c r="F367" s="8">
        <v>1.98</v>
      </c>
      <c r="G367" s="4">
        <v>17</v>
      </c>
      <c r="H367" s="8">
        <v>2.58</v>
      </c>
      <c r="I367" s="4">
        <v>0</v>
      </c>
    </row>
    <row r="368" spans="1:9" x14ac:dyDescent="0.2">
      <c r="A368" s="2">
        <v>13</v>
      </c>
      <c r="B368" s="1" t="s">
        <v>101</v>
      </c>
      <c r="C368" s="4">
        <v>34</v>
      </c>
      <c r="D368" s="8">
        <v>2.13</v>
      </c>
      <c r="E368" s="4">
        <v>19</v>
      </c>
      <c r="F368" s="8">
        <v>2.09</v>
      </c>
      <c r="G368" s="4">
        <v>15</v>
      </c>
      <c r="H368" s="8">
        <v>2.2799999999999998</v>
      </c>
      <c r="I368" s="4">
        <v>0</v>
      </c>
    </row>
    <row r="369" spans="1:9" x14ac:dyDescent="0.2">
      <c r="A369" s="2">
        <v>14</v>
      </c>
      <c r="B369" s="1" t="s">
        <v>84</v>
      </c>
      <c r="C369" s="4">
        <v>32</v>
      </c>
      <c r="D369" s="8">
        <v>2</v>
      </c>
      <c r="E369" s="4">
        <v>24</v>
      </c>
      <c r="F369" s="8">
        <v>2.63</v>
      </c>
      <c r="G369" s="4">
        <v>7</v>
      </c>
      <c r="H369" s="8">
        <v>1.06</v>
      </c>
      <c r="I369" s="4">
        <v>0</v>
      </c>
    </row>
    <row r="370" spans="1:9" x14ac:dyDescent="0.2">
      <c r="A370" s="2">
        <v>15</v>
      </c>
      <c r="B370" s="1" t="s">
        <v>85</v>
      </c>
      <c r="C370" s="4">
        <v>30</v>
      </c>
      <c r="D370" s="8">
        <v>1.88</v>
      </c>
      <c r="E370" s="4">
        <v>3</v>
      </c>
      <c r="F370" s="8">
        <v>0.33</v>
      </c>
      <c r="G370" s="4">
        <v>22</v>
      </c>
      <c r="H370" s="8">
        <v>3.34</v>
      </c>
      <c r="I370" s="4">
        <v>3</v>
      </c>
    </row>
    <row r="371" spans="1:9" x14ac:dyDescent="0.2">
      <c r="A371" s="2">
        <v>16</v>
      </c>
      <c r="B371" s="1" t="s">
        <v>80</v>
      </c>
      <c r="C371" s="4">
        <v>26</v>
      </c>
      <c r="D371" s="8">
        <v>1.63</v>
      </c>
      <c r="E371" s="4">
        <v>15</v>
      </c>
      <c r="F371" s="8">
        <v>1.65</v>
      </c>
      <c r="G371" s="4">
        <v>9</v>
      </c>
      <c r="H371" s="8">
        <v>1.37</v>
      </c>
      <c r="I371" s="4">
        <v>0</v>
      </c>
    </row>
    <row r="372" spans="1:9" x14ac:dyDescent="0.2">
      <c r="A372" s="2">
        <v>17</v>
      </c>
      <c r="B372" s="1" t="s">
        <v>78</v>
      </c>
      <c r="C372" s="4">
        <v>25</v>
      </c>
      <c r="D372" s="8">
        <v>1.56</v>
      </c>
      <c r="E372" s="4">
        <v>14</v>
      </c>
      <c r="F372" s="8">
        <v>1.54</v>
      </c>
      <c r="G372" s="4">
        <v>11</v>
      </c>
      <c r="H372" s="8">
        <v>1.67</v>
      </c>
      <c r="I372" s="4">
        <v>0</v>
      </c>
    </row>
    <row r="373" spans="1:9" x14ac:dyDescent="0.2">
      <c r="A373" s="2">
        <v>18</v>
      </c>
      <c r="B373" s="1" t="s">
        <v>68</v>
      </c>
      <c r="C373" s="4">
        <v>24</v>
      </c>
      <c r="D373" s="8">
        <v>1.5</v>
      </c>
      <c r="E373" s="4">
        <v>6</v>
      </c>
      <c r="F373" s="8">
        <v>0.66</v>
      </c>
      <c r="G373" s="4">
        <v>18</v>
      </c>
      <c r="H373" s="8">
        <v>2.74</v>
      </c>
      <c r="I373" s="4">
        <v>0</v>
      </c>
    </row>
    <row r="374" spans="1:9" x14ac:dyDescent="0.2">
      <c r="A374" s="2">
        <v>19</v>
      </c>
      <c r="B374" s="1" t="s">
        <v>94</v>
      </c>
      <c r="C374" s="4">
        <v>23</v>
      </c>
      <c r="D374" s="8">
        <v>1.44</v>
      </c>
      <c r="E374" s="4">
        <v>14</v>
      </c>
      <c r="F374" s="8">
        <v>1.54</v>
      </c>
      <c r="G374" s="4">
        <v>9</v>
      </c>
      <c r="H374" s="8">
        <v>1.37</v>
      </c>
      <c r="I374" s="4">
        <v>0</v>
      </c>
    </row>
    <row r="375" spans="1:9" x14ac:dyDescent="0.2">
      <c r="A375" s="2">
        <v>20</v>
      </c>
      <c r="B375" s="1" t="s">
        <v>76</v>
      </c>
      <c r="C375" s="4">
        <v>22</v>
      </c>
      <c r="D375" s="8">
        <v>1.38</v>
      </c>
      <c r="E375" s="4">
        <v>10</v>
      </c>
      <c r="F375" s="8">
        <v>1.1000000000000001</v>
      </c>
      <c r="G375" s="4">
        <v>12</v>
      </c>
      <c r="H375" s="8">
        <v>1.82</v>
      </c>
      <c r="I375" s="4">
        <v>0</v>
      </c>
    </row>
    <row r="376" spans="1:9" x14ac:dyDescent="0.2">
      <c r="A376" s="1"/>
      <c r="C376" s="4"/>
      <c r="D376" s="8"/>
      <c r="E376" s="4"/>
      <c r="F376" s="8"/>
      <c r="G376" s="4"/>
      <c r="H376" s="8"/>
      <c r="I376" s="4"/>
    </row>
    <row r="377" spans="1:9" x14ac:dyDescent="0.2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2">
      <c r="A378" s="2">
        <v>1</v>
      </c>
      <c r="B378" s="1" t="s">
        <v>75</v>
      </c>
      <c r="C378" s="4">
        <v>114</v>
      </c>
      <c r="D378" s="8">
        <v>10.84</v>
      </c>
      <c r="E378" s="4">
        <v>59</v>
      </c>
      <c r="F378" s="8">
        <v>9.02</v>
      </c>
      <c r="G378" s="4">
        <v>55</v>
      </c>
      <c r="H378" s="8">
        <v>14.75</v>
      </c>
      <c r="I378" s="4">
        <v>0</v>
      </c>
    </row>
    <row r="379" spans="1:9" x14ac:dyDescent="0.2">
      <c r="A379" s="2">
        <v>2</v>
      </c>
      <c r="B379" s="1" t="s">
        <v>82</v>
      </c>
      <c r="C379" s="4">
        <v>102</v>
      </c>
      <c r="D379" s="8">
        <v>9.6999999999999993</v>
      </c>
      <c r="E379" s="4">
        <v>100</v>
      </c>
      <c r="F379" s="8">
        <v>15.29</v>
      </c>
      <c r="G379" s="4">
        <v>2</v>
      </c>
      <c r="H379" s="8">
        <v>0.54</v>
      </c>
      <c r="I379" s="4">
        <v>0</v>
      </c>
    </row>
    <row r="380" spans="1:9" x14ac:dyDescent="0.2">
      <c r="A380" s="2">
        <v>3</v>
      </c>
      <c r="B380" s="1" t="s">
        <v>73</v>
      </c>
      <c r="C380" s="4">
        <v>97</v>
      </c>
      <c r="D380" s="8">
        <v>9.2200000000000006</v>
      </c>
      <c r="E380" s="4">
        <v>76</v>
      </c>
      <c r="F380" s="8">
        <v>11.62</v>
      </c>
      <c r="G380" s="4">
        <v>20</v>
      </c>
      <c r="H380" s="8">
        <v>5.36</v>
      </c>
      <c r="I380" s="4">
        <v>1</v>
      </c>
    </row>
    <row r="381" spans="1:9" x14ac:dyDescent="0.2">
      <c r="A381" s="2">
        <v>4</v>
      </c>
      <c r="B381" s="1" t="s">
        <v>90</v>
      </c>
      <c r="C381" s="4">
        <v>70</v>
      </c>
      <c r="D381" s="8">
        <v>6.65</v>
      </c>
      <c r="E381" s="4">
        <v>18</v>
      </c>
      <c r="F381" s="8">
        <v>2.75</v>
      </c>
      <c r="G381" s="4">
        <v>52</v>
      </c>
      <c r="H381" s="8">
        <v>13.94</v>
      </c>
      <c r="I381" s="4">
        <v>0</v>
      </c>
    </row>
    <row r="382" spans="1:9" x14ac:dyDescent="0.2">
      <c r="A382" s="2">
        <v>5</v>
      </c>
      <c r="B382" s="1" t="s">
        <v>81</v>
      </c>
      <c r="C382" s="4">
        <v>67</v>
      </c>
      <c r="D382" s="8">
        <v>6.37</v>
      </c>
      <c r="E382" s="4">
        <v>62</v>
      </c>
      <c r="F382" s="8">
        <v>9.48</v>
      </c>
      <c r="G382" s="4">
        <v>5</v>
      </c>
      <c r="H382" s="8">
        <v>1.34</v>
      </c>
      <c r="I382" s="4">
        <v>0</v>
      </c>
    </row>
    <row r="383" spans="1:9" x14ac:dyDescent="0.2">
      <c r="A383" s="2">
        <v>6</v>
      </c>
      <c r="B383" s="1" t="s">
        <v>67</v>
      </c>
      <c r="C383" s="4">
        <v>63</v>
      </c>
      <c r="D383" s="8">
        <v>5.99</v>
      </c>
      <c r="E383" s="4">
        <v>11</v>
      </c>
      <c r="F383" s="8">
        <v>1.68</v>
      </c>
      <c r="G383" s="4">
        <v>52</v>
      </c>
      <c r="H383" s="8">
        <v>13.94</v>
      </c>
      <c r="I383" s="4">
        <v>0</v>
      </c>
    </row>
    <row r="384" spans="1:9" x14ac:dyDescent="0.2">
      <c r="A384" s="2">
        <v>7</v>
      </c>
      <c r="B384" s="1" t="s">
        <v>102</v>
      </c>
      <c r="C384" s="4">
        <v>55</v>
      </c>
      <c r="D384" s="8">
        <v>5.23</v>
      </c>
      <c r="E384" s="4">
        <v>40</v>
      </c>
      <c r="F384" s="8">
        <v>6.12</v>
      </c>
      <c r="G384" s="4">
        <v>15</v>
      </c>
      <c r="H384" s="8">
        <v>4.0199999999999996</v>
      </c>
      <c r="I384" s="4">
        <v>0</v>
      </c>
    </row>
    <row r="385" spans="1:9" x14ac:dyDescent="0.2">
      <c r="A385" s="2">
        <v>8</v>
      </c>
      <c r="B385" s="1" t="s">
        <v>68</v>
      </c>
      <c r="C385" s="4">
        <v>45</v>
      </c>
      <c r="D385" s="8">
        <v>4.28</v>
      </c>
      <c r="E385" s="4">
        <v>33</v>
      </c>
      <c r="F385" s="8">
        <v>5.05</v>
      </c>
      <c r="G385" s="4">
        <v>12</v>
      </c>
      <c r="H385" s="8">
        <v>3.22</v>
      </c>
      <c r="I385" s="4">
        <v>0</v>
      </c>
    </row>
    <row r="386" spans="1:9" x14ac:dyDescent="0.2">
      <c r="A386" s="2">
        <v>9</v>
      </c>
      <c r="B386" s="1" t="s">
        <v>83</v>
      </c>
      <c r="C386" s="4">
        <v>37</v>
      </c>
      <c r="D386" s="8">
        <v>3.52</v>
      </c>
      <c r="E386" s="4">
        <v>16</v>
      </c>
      <c r="F386" s="8">
        <v>2.4500000000000002</v>
      </c>
      <c r="G386" s="4">
        <v>0</v>
      </c>
      <c r="H386" s="8">
        <v>0</v>
      </c>
      <c r="I386" s="4">
        <v>0</v>
      </c>
    </row>
    <row r="387" spans="1:9" x14ac:dyDescent="0.2">
      <c r="A387" s="2">
        <v>9</v>
      </c>
      <c r="B387" s="1" t="s">
        <v>84</v>
      </c>
      <c r="C387" s="4">
        <v>37</v>
      </c>
      <c r="D387" s="8">
        <v>3.52</v>
      </c>
      <c r="E387" s="4">
        <v>35</v>
      </c>
      <c r="F387" s="8">
        <v>5.35</v>
      </c>
      <c r="G387" s="4">
        <v>2</v>
      </c>
      <c r="H387" s="8">
        <v>0.54</v>
      </c>
      <c r="I387" s="4">
        <v>0</v>
      </c>
    </row>
    <row r="388" spans="1:9" x14ac:dyDescent="0.2">
      <c r="A388" s="2">
        <v>11</v>
      </c>
      <c r="B388" s="1" t="s">
        <v>86</v>
      </c>
      <c r="C388" s="4">
        <v>36</v>
      </c>
      <c r="D388" s="8">
        <v>3.42</v>
      </c>
      <c r="E388" s="4">
        <v>33</v>
      </c>
      <c r="F388" s="8">
        <v>5.05</v>
      </c>
      <c r="G388" s="4">
        <v>3</v>
      </c>
      <c r="H388" s="8">
        <v>0.8</v>
      </c>
      <c r="I388" s="4">
        <v>0</v>
      </c>
    </row>
    <row r="389" spans="1:9" x14ac:dyDescent="0.2">
      <c r="A389" s="2">
        <v>12</v>
      </c>
      <c r="B389" s="1" t="s">
        <v>74</v>
      </c>
      <c r="C389" s="4">
        <v>32</v>
      </c>
      <c r="D389" s="8">
        <v>3.04</v>
      </c>
      <c r="E389" s="4">
        <v>24</v>
      </c>
      <c r="F389" s="8">
        <v>3.67</v>
      </c>
      <c r="G389" s="4">
        <v>8</v>
      </c>
      <c r="H389" s="8">
        <v>2.14</v>
      </c>
      <c r="I389" s="4">
        <v>0</v>
      </c>
    </row>
    <row r="390" spans="1:9" x14ac:dyDescent="0.2">
      <c r="A390" s="2">
        <v>13</v>
      </c>
      <c r="B390" s="1" t="s">
        <v>103</v>
      </c>
      <c r="C390" s="4">
        <v>22</v>
      </c>
      <c r="D390" s="8">
        <v>2.09</v>
      </c>
      <c r="E390" s="4">
        <v>19</v>
      </c>
      <c r="F390" s="8">
        <v>2.91</v>
      </c>
      <c r="G390" s="4">
        <v>3</v>
      </c>
      <c r="H390" s="8">
        <v>0.8</v>
      </c>
      <c r="I390" s="4">
        <v>0</v>
      </c>
    </row>
    <row r="391" spans="1:9" x14ac:dyDescent="0.2">
      <c r="A391" s="2">
        <v>14</v>
      </c>
      <c r="B391" s="1" t="s">
        <v>69</v>
      </c>
      <c r="C391" s="4">
        <v>21</v>
      </c>
      <c r="D391" s="8">
        <v>2</v>
      </c>
      <c r="E391" s="4">
        <v>9</v>
      </c>
      <c r="F391" s="8">
        <v>1.38</v>
      </c>
      <c r="G391" s="4">
        <v>12</v>
      </c>
      <c r="H391" s="8">
        <v>3.22</v>
      </c>
      <c r="I391" s="4">
        <v>0</v>
      </c>
    </row>
    <row r="392" spans="1:9" x14ac:dyDescent="0.2">
      <c r="A392" s="2">
        <v>15</v>
      </c>
      <c r="B392" s="1" t="s">
        <v>79</v>
      </c>
      <c r="C392" s="4">
        <v>20</v>
      </c>
      <c r="D392" s="8">
        <v>1.9</v>
      </c>
      <c r="E392" s="4">
        <v>10</v>
      </c>
      <c r="F392" s="8">
        <v>1.53</v>
      </c>
      <c r="G392" s="4">
        <v>10</v>
      </c>
      <c r="H392" s="8">
        <v>2.68</v>
      </c>
      <c r="I392" s="4">
        <v>0</v>
      </c>
    </row>
    <row r="393" spans="1:9" x14ac:dyDescent="0.2">
      <c r="A393" s="2">
        <v>16</v>
      </c>
      <c r="B393" s="1" t="s">
        <v>70</v>
      </c>
      <c r="C393" s="4">
        <v>19</v>
      </c>
      <c r="D393" s="8">
        <v>1.81</v>
      </c>
      <c r="E393" s="4">
        <v>7</v>
      </c>
      <c r="F393" s="8">
        <v>1.07</v>
      </c>
      <c r="G393" s="4">
        <v>12</v>
      </c>
      <c r="H393" s="8">
        <v>3.22</v>
      </c>
      <c r="I393" s="4">
        <v>0</v>
      </c>
    </row>
    <row r="394" spans="1:9" x14ac:dyDescent="0.2">
      <c r="A394" s="2">
        <v>17</v>
      </c>
      <c r="B394" s="1" t="s">
        <v>96</v>
      </c>
      <c r="C394" s="4">
        <v>17</v>
      </c>
      <c r="D394" s="8">
        <v>1.62</v>
      </c>
      <c r="E394" s="4">
        <v>12</v>
      </c>
      <c r="F394" s="8">
        <v>1.83</v>
      </c>
      <c r="G394" s="4">
        <v>5</v>
      </c>
      <c r="H394" s="8">
        <v>1.34</v>
      </c>
      <c r="I394" s="4">
        <v>0</v>
      </c>
    </row>
    <row r="395" spans="1:9" x14ac:dyDescent="0.2">
      <c r="A395" s="2">
        <v>18</v>
      </c>
      <c r="B395" s="1" t="s">
        <v>85</v>
      </c>
      <c r="C395" s="4">
        <v>16</v>
      </c>
      <c r="D395" s="8">
        <v>1.52</v>
      </c>
      <c r="E395" s="4">
        <v>2</v>
      </c>
      <c r="F395" s="8">
        <v>0.31</v>
      </c>
      <c r="G395" s="4">
        <v>14</v>
      </c>
      <c r="H395" s="8">
        <v>3.75</v>
      </c>
      <c r="I395" s="4">
        <v>0</v>
      </c>
    </row>
    <row r="396" spans="1:9" x14ac:dyDescent="0.2">
      <c r="A396" s="2">
        <v>19</v>
      </c>
      <c r="B396" s="1" t="s">
        <v>78</v>
      </c>
      <c r="C396" s="4">
        <v>15</v>
      </c>
      <c r="D396" s="8">
        <v>1.43</v>
      </c>
      <c r="E396" s="4">
        <v>13</v>
      </c>
      <c r="F396" s="8">
        <v>1.99</v>
      </c>
      <c r="G396" s="4">
        <v>2</v>
      </c>
      <c r="H396" s="8">
        <v>0.54</v>
      </c>
      <c r="I396" s="4">
        <v>0</v>
      </c>
    </row>
    <row r="397" spans="1:9" x14ac:dyDescent="0.2">
      <c r="A397" s="2">
        <v>20</v>
      </c>
      <c r="B397" s="1" t="s">
        <v>87</v>
      </c>
      <c r="C397" s="4">
        <v>13</v>
      </c>
      <c r="D397" s="8">
        <v>1.24</v>
      </c>
      <c r="E397" s="4">
        <v>5</v>
      </c>
      <c r="F397" s="8">
        <v>0.76</v>
      </c>
      <c r="G397" s="4">
        <v>8</v>
      </c>
      <c r="H397" s="8">
        <v>2.14</v>
      </c>
      <c r="I397" s="4">
        <v>0</v>
      </c>
    </row>
    <row r="398" spans="1:9" x14ac:dyDescent="0.2">
      <c r="A398" s="2">
        <v>20</v>
      </c>
      <c r="B398" s="1" t="s">
        <v>72</v>
      </c>
      <c r="C398" s="4">
        <v>13</v>
      </c>
      <c r="D398" s="8">
        <v>1.24</v>
      </c>
      <c r="E398" s="4">
        <v>7</v>
      </c>
      <c r="F398" s="8">
        <v>1.07</v>
      </c>
      <c r="G398" s="4">
        <v>6</v>
      </c>
      <c r="H398" s="8">
        <v>1.61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82</v>
      </c>
      <c r="C401" s="4">
        <v>82</v>
      </c>
      <c r="D401" s="8">
        <v>14.04</v>
      </c>
      <c r="E401" s="4">
        <v>78</v>
      </c>
      <c r="F401" s="8">
        <v>23.28</v>
      </c>
      <c r="G401" s="4">
        <v>4</v>
      </c>
      <c r="H401" s="8">
        <v>1.69</v>
      </c>
      <c r="I401" s="4">
        <v>0</v>
      </c>
    </row>
    <row r="402" spans="1:9" x14ac:dyDescent="0.2">
      <c r="A402" s="2">
        <v>2</v>
      </c>
      <c r="B402" s="1" t="s">
        <v>73</v>
      </c>
      <c r="C402" s="4">
        <v>66</v>
      </c>
      <c r="D402" s="8">
        <v>11.3</v>
      </c>
      <c r="E402" s="4">
        <v>39</v>
      </c>
      <c r="F402" s="8">
        <v>11.64</v>
      </c>
      <c r="G402" s="4">
        <v>27</v>
      </c>
      <c r="H402" s="8">
        <v>11.44</v>
      </c>
      <c r="I402" s="4">
        <v>0</v>
      </c>
    </row>
    <row r="403" spans="1:9" x14ac:dyDescent="0.2">
      <c r="A403" s="2">
        <v>3</v>
      </c>
      <c r="B403" s="1" t="s">
        <v>75</v>
      </c>
      <c r="C403" s="4">
        <v>61</v>
      </c>
      <c r="D403" s="8">
        <v>10.45</v>
      </c>
      <c r="E403" s="4">
        <v>26</v>
      </c>
      <c r="F403" s="8">
        <v>7.76</v>
      </c>
      <c r="G403" s="4">
        <v>35</v>
      </c>
      <c r="H403" s="8">
        <v>14.83</v>
      </c>
      <c r="I403" s="4">
        <v>0</v>
      </c>
    </row>
    <row r="404" spans="1:9" x14ac:dyDescent="0.2">
      <c r="A404" s="2">
        <v>4</v>
      </c>
      <c r="B404" s="1" t="s">
        <v>81</v>
      </c>
      <c r="C404" s="4">
        <v>59</v>
      </c>
      <c r="D404" s="8">
        <v>10.1</v>
      </c>
      <c r="E404" s="4">
        <v>53</v>
      </c>
      <c r="F404" s="8">
        <v>15.82</v>
      </c>
      <c r="G404" s="4">
        <v>6</v>
      </c>
      <c r="H404" s="8">
        <v>2.54</v>
      </c>
      <c r="I404" s="4">
        <v>0</v>
      </c>
    </row>
    <row r="405" spans="1:9" x14ac:dyDescent="0.2">
      <c r="A405" s="2">
        <v>5</v>
      </c>
      <c r="B405" s="1" t="s">
        <v>67</v>
      </c>
      <c r="C405" s="4">
        <v>37</v>
      </c>
      <c r="D405" s="8">
        <v>6.34</v>
      </c>
      <c r="E405" s="4">
        <v>6</v>
      </c>
      <c r="F405" s="8">
        <v>1.79</v>
      </c>
      <c r="G405" s="4">
        <v>31</v>
      </c>
      <c r="H405" s="8">
        <v>13.14</v>
      </c>
      <c r="I405" s="4">
        <v>0</v>
      </c>
    </row>
    <row r="406" spans="1:9" x14ac:dyDescent="0.2">
      <c r="A406" s="2">
        <v>6</v>
      </c>
      <c r="B406" s="1" t="s">
        <v>74</v>
      </c>
      <c r="C406" s="4">
        <v>24</v>
      </c>
      <c r="D406" s="8">
        <v>4.1100000000000003</v>
      </c>
      <c r="E406" s="4">
        <v>17</v>
      </c>
      <c r="F406" s="8">
        <v>5.07</v>
      </c>
      <c r="G406" s="4">
        <v>7</v>
      </c>
      <c r="H406" s="8">
        <v>2.97</v>
      </c>
      <c r="I406" s="4">
        <v>0</v>
      </c>
    </row>
    <row r="407" spans="1:9" x14ac:dyDescent="0.2">
      <c r="A407" s="2">
        <v>7</v>
      </c>
      <c r="B407" s="1" t="s">
        <v>85</v>
      </c>
      <c r="C407" s="4">
        <v>23</v>
      </c>
      <c r="D407" s="8">
        <v>3.94</v>
      </c>
      <c r="E407" s="4">
        <v>0</v>
      </c>
      <c r="F407" s="8">
        <v>0</v>
      </c>
      <c r="G407" s="4">
        <v>19</v>
      </c>
      <c r="H407" s="8">
        <v>8.0500000000000007</v>
      </c>
      <c r="I407" s="4">
        <v>1</v>
      </c>
    </row>
    <row r="408" spans="1:9" x14ac:dyDescent="0.2">
      <c r="A408" s="2">
        <v>8</v>
      </c>
      <c r="B408" s="1" t="s">
        <v>69</v>
      </c>
      <c r="C408" s="4">
        <v>18</v>
      </c>
      <c r="D408" s="8">
        <v>3.08</v>
      </c>
      <c r="E408" s="4">
        <v>6</v>
      </c>
      <c r="F408" s="8">
        <v>1.79</v>
      </c>
      <c r="G408" s="4">
        <v>12</v>
      </c>
      <c r="H408" s="8">
        <v>5.08</v>
      </c>
      <c r="I408" s="4">
        <v>0</v>
      </c>
    </row>
    <row r="409" spans="1:9" x14ac:dyDescent="0.2">
      <c r="A409" s="2">
        <v>9</v>
      </c>
      <c r="B409" s="1" t="s">
        <v>84</v>
      </c>
      <c r="C409" s="4">
        <v>15</v>
      </c>
      <c r="D409" s="8">
        <v>2.57</v>
      </c>
      <c r="E409" s="4">
        <v>13</v>
      </c>
      <c r="F409" s="8">
        <v>3.88</v>
      </c>
      <c r="G409" s="4">
        <v>2</v>
      </c>
      <c r="H409" s="8">
        <v>0.85</v>
      </c>
      <c r="I409" s="4">
        <v>0</v>
      </c>
    </row>
    <row r="410" spans="1:9" x14ac:dyDescent="0.2">
      <c r="A410" s="2">
        <v>9</v>
      </c>
      <c r="B410" s="1" t="s">
        <v>86</v>
      </c>
      <c r="C410" s="4">
        <v>15</v>
      </c>
      <c r="D410" s="8">
        <v>2.57</v>
      </c>
      <c r="E410" s="4">
        <v>15</v>
      </c>
      <c r="F410" s="8">
        <v>4.4800000000000004</v>
      </c>
      <c r="G410" s="4">
        <v>0</v>
      </c>
      <c r="H410" s="8">
        <v>0</v>
      </c>
      <c r="I410" s="4">
        <v>0</v>
      </c>
    </row>
    <row r="411" spans="1:9" x14ac:dyDescent="0.2">
      <c r="A411" s="2">
        <v>11</v>
      </c>
      <c r="B411" s="1" t="s">
        <v>79</v>
      </c>
      <c r="C411" s="4">
        <v>14</v>
      </c>
      <c r="D411" s="8">
        <v>2.4</v>
      </c>
      <c r="E411" s="4">
        <v>8</v>
      </c>
      <c r="F411" s="8">
        <v>2.39</v>
      </c>
      <c r="G411" s="4">
        <v>5</v>
      </c>
      <c r="H411" s="8">
        <v>2.12</v>
      </c>
      <c r="I411" s="4">
        <v>0</v>
      </c>
    </row>
    <row r="412" spans="1:9" x14ac:dyDescent="0.2">
      <c r="A412" s="2">
        <v>12</v>
      </c>
      <c r="B412" s="1" t="s">
        <v>68</v>
      </c>
      <c r="C412" s="4">
        <v>13</v>
      </c>
      <c r="D412" s="8">
        <v>2.23</v>
      </c>
      <c r="E412" s="4">
        <v>7</v>
      </c>
      <c r="F412" s="8">
        <v>2.09</v>
      </c>
      <c r="G412" s="4">
        <v>6</v>
      </c>
      <c r="H412" s="8">
        <v>2.54</v>
      </c>
      <c r="I412" s="4">
        <v>0</v>
      </c>
    </row>
    <row r="413" spans="1:9" x14ac:dyDescent="0.2">
      <c r="A413" s="2">
        <v>13</v>
      </c>
      <c r="B413" s="1" t="s">
        <v>72</v>
      </c>
      <c r="C413" s="4">
        <v>12</v>
      </c>
      <c r="D413" s="8">
        <v>2.0499999999999998</v>
      </c>
      <c r="E413" s="4">
        <v>5</v>
      </c>
      <c r="F413" s="8">
        <v>1.49</v>
      </c>
      <c r="G413" s="4">
        <v>6</v>
      </c>
      <c r="H413" s="8">
        <v>2.54</v>
      </c>
      <c r="I413" s="4">
        <v>1</v>
      </c>
    </row>
    <row r="414" spans="1:9" x14ac:dyDescent="0.2">
      <c r="A414" s="2">
        <v>14</v>
      </c>
      <c r="B414" s="1" t="s">
        <v>78</v>
      </c>
      <c r="C414" s="4">
        <v>11</v>
      </c>
      <c r="D414" s="8">
        <v>1.88</v>
      </c>
      <c r="E414" s="4">
        <v>11</v>
      </c>
      <c r="F414" s="8">
        <v>3.28</v>
      </c>
      <c r="G414" s="4">
        <v>0</v>
      </c>
      <c r="H414" s="8">
        <v>0</v>
      </c>
      <c r="I414" s="4">
        <v>0</v>
      </c>
    </row>
    <row r="415" spans="1:9" x14ac:dyDescent="0.2">
      <c r="A415" s="2">
        <v>14</v>
      </c>
      <c r="B415" s="1" t="s">
        <v>83</v>
      </c>
      <c r="C415" s="4">
        <v>11</v>
      </c>
      <c r="D415" s="8">
        <v>1.88</v>
      </c>
      <c r="E415" s="4">
        <v>8</v>
      </c>
      <c r="F415" s="8">
        <v>2.39</v>
      </c>
      <c r="G415" s="4">
        <v>1</v>
      </c>
      <c r="H415" s="8">
        <v>0.42</v>
      </c>
      <c r="I415" s="4">
        <v>1</v>
      </c>
    </row>
    <row r="416" spans="1:9" x14ac:dyDescent="0.2">
      <c r="A416" s="2">
        <v>16</v>
      </c>
      <c r="B416" s="1" t="s">
        <v>77</v>
      </c>
      <c r="C416" s="4">
        <v>10</v>
      </c>
      <c r="D416" s="8">
        <v>1.71</v>
      </c>
      <c r="E416" s="4">
        <v>3</v>
      </c>
      <c r="F416" s="8">
        <v>0.9</v>
      </c>
      <c r="G416" s="4">
        <v>7</v>
      </c>
      <c r="H416" s="8">
        <v>2.97</v>
      </c>
      <c r="I416" s="4">
        <v>0</v>
      </c>
    </row>
    <row r="417" spans="1:9" x14ac:dyDescent="0.2">
      <c r="A417" s="2">
        <v>17</v>
      </c>
      <c r="B417" s="1" t="s">
        <v>80</v>
      </c>
      <c r="C417" s="4">
        <v>9</v>
      </c>
      <c r="D417" s="8">
        <v>1.54</v>
      </c>
      <c r="E417" s="4">
        <v>7</v>
      </c>
      <c r="F417" s="8">
        <v>2.09</v>
      </c>
      <c r="G417" s="4">
        <v>2</v>
      </c>
      <c r="H417" s="8">
        <v>0.85</v>
      </c>
      <c r="I417" s="4">
        <v>0</v>
      </c>
    </row>
    <row r="418" spans="1:9" x14ac:dyDescent="0.2">
      <c r="A418" s="2">
        <v>18</v>
      </c>
      <c r="B418" s="1" t="s">
        <v>104</v>
      </c>
      <c r="C418" s="4">
        <v>8</v>
      </c>
      <c r="D418" s="8">
        <v>1.37</v>
      </c>
      <c r="E418" s="4">
        <v>1</v>
      </c>
      <c r="F418" s="8">
        <v>0.3</v>
      </c>
      <c r="G418" s="4">
        <v>7</v>
      </c>
      <c r="H418" s="8">
        <v>2.97</v>
      </c>
      <c r="I418" s="4">
        <v>0</v>
      </c>
    </row>
    <row r="419" spans="1:9" x14ac:dyDescent="0.2">
      <c r="A419" s="2">
        <v>18</v>
      </c>
      <c r="B419" s="1" t="s">
        <v>71</v>
      </c>
      <c r="C419" s="4">
        <v>8</v>
      </c>
      <c r="D419" s="8">
        <v>1.37</v>
      </c>
      <c r="E419" s="4">
        <v>4</v>
      </c>
      <c r="F419" s="8">
        <v>1.19</v>
      </c>
      <c r="G419" s="4">
        <v>4</v>
      </c>
      <c r="H419" s="8">
        <v>1.69</v>
      </c>
      <c r="I419" s="4">
        <v>0</v>
      </c>
    </row>
    <row r="420" spans="1:9" x14ac:dyDescent="0.2">
      <c r="A420" s="2">
        <v>20</v>
      </c>
      <c r="B420" s="1" t="s">
        <v>70</v>
      </c>
      <c r="C420" s="4">
        <v>7</v>
      </c>
      <c r="D420" s="8">
        <v>1.2</v>
      </c>
      <c r="E420" s="4">
        <v>3</v>
      </c>
      <c r="F420" s="8">
        <v>0.9</v>
      </c>
      <c r="G420" s="4">
        <v>4</v>
      </c>
      <c r="H420" s="8">
        <v>1.69</v>
      </c>
      <c r="I420" s="4">
        <v>0</v>
      </c>
    </row>
    <row r="421" spans="1:9" x14ac:dyDescent="0.2">
      <c r="A421" s="2">
        <v>20</v>
      </c>
      <c r="B421" s="1" t="s">
        <v>87</v>
      </c>
      <c r="C421" s="4">
        <v>7</v>
      </c>
      <c r="D421" s="8">
        <v>1.2</v>
      </c>
      <c r="E421" s="4">
        <v>2</v>
      </c>
      <c r="F421" s="8">
        <v>0.6</v>
      </c>
      <c r="G421" s="4">
        <v>5</v>
      </c>
      <c r="H421" s="8">
        <v>2.12</v>
      </c>
      <c r="I421" s="4">
        <v>0</v>
      </c>
    </row>
    <row r="422" spans="1:9" x14ac:dyDescent="0.2">
      <c r="A422" s="2">
        <v>20</v>
      </c>
      <c r="B422" s="1" t="s">
        <v>105</v>
      </c>
      <c r="C422" s="4">
        <v>7</v>
      </c>
      <c r="D422" s="8">
        <v>1.2</v>
      </c>
      <c r="E422" s="4">
        <v>1</v>
      </c>
      <c r="F422" s="8">
        <v>0.3</v>
      </c>
      <c r="G422" s="4">
        <v>6</v>
      </c>
      <c r="H422" s="8">
        <v>2.54</v>
      </c>
      <c r="I422" s="4">
        <v>0</v>
      </c>
    </row>
    <row r="423" spans="1:9" x14ac:dyDescent="0.2">
      <c r="A423" s="2">
        <v>20</v>
      </c>
      <c r="B423" s="1" t="s">
        <v>91</v>
      </c>
      <c r="C423" s="4">
        <v>7</v>
      </c>
      <c r="D423" s="8">
        <v>1.2</v>
      </c>
      <c r="E423" s="4">
        <v>6</v>
      </c>
      <c r="F423" s="8">
        <v>1.79</v>
      </c>
      <c r="G423" s="4">
        <v>1</v>
      </c>
      <c r="H423" s="8">
        <v>0.42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82</v>
      </c>
      <c r="C426" s="4">
        <v>207</v>
      </c>
      <c r="D426" s="8">
        <v>13.19</v>
      </c>
      <c r="E426" s="4">
        <v>177</v>
      </c>
      <c r="F426" s="8">
        <v>21.48</v>
      </c>
      <c r="G426" s="4">
        <v>30</v>
      </c>
      <c r="H426" s="8">
        <v>4.18</v>
      </c>
      <c r="I426" s="4">
        <v>0</v>
      </c>
    </row>
    <row r="427" spans="1:9" x14ac:dyDescent="0.2">
      <c r="A427" s="2">
        <v>2</v>
      </c>
      <c r="B427" s="1" t="s">
        <v>81</v>
      </c>
      <c r="C427" s="4">
        <v>143</v>
      </c>
      <c r="D427" s="8">
        <v>9.11</v>
      </c>
      <c r="E427" s="4">
        <v>129</v>
      </c>
      <c r="F427" s="8">
        <v>15.66</v>
      </c>
      <c r="G427" s="4">
        <v>14</v>
      </c>
      <c r="H427" s="8">
        <v>1.95</v>
      </c>
      <c r="I427" s="4">
        <v>0</v>
      </c>
    </row>
    <row r="428" spans="1:9" x14ac:dyDescent="0.2">
      <c r="A428" s="2">
        <v>3</v>
      </c>
      <c r="B428" s="1" t="s">
        <v>75</v>
      </c>
      <c r="C428" s="4">
        <v>124</v>
      </c>
      <c r="D428" s="8">
        <v>7.9</v>
      </c>
      <c r="E428" s="4">
        <v>56</v>
      </c>
      <c r="F428" s="8">
        <v>6.8</v>
      </c>
      <c r="G428" s="4">
        <v>67</v>
      </c>
      <c r="H428" s="8">
        <v>9.34</v>
      </c>
      <c r="I428" s="4">
        <v>1</v>
      </c>
    </row>
    <row r="429" spans="1:9" x14ac:dyDescent="0.2">
      <c r="A429" s="2">
        <v>4</v>
      </c>
      <c r="B429" s="1" t="s">
        <v>73</v>
      </c>
      <c r="C429" s="4">
        <v>95</v>
      </c>
      <c r="D429" s="8">
        <v>6.05</v>
      </c>
      <c r="E429" s="4">
        <v>56</v>
      </c>
      <c r="F429" s="8">
        <v>6.8</v>
      </c>
      <c r="G429" s="4">
        <v>36</v>
      </c>
      <c r="H429" s="8">
        <v>5.0199999999999996</v>
      </c>
      <c r="I429" s="4">
        <v>3</v>
      </c>
    </row>
    <row r="430" spans="1:9" x14ac:dyDescent="0.2">
      <c r="A430" s="2">
        <v>5</v>
      </c>
      <c r="B430" s="1" t="s">
        <v>83</v>
      </c>
      <c r="C430" s="4">
        <v>83</v>
      </c>
      <c r="D430" s="8">
        <v>5.29</v>
      </c>
      <c r="E430" s="4">
        <v>52</v>
      </c>
      <c r="F430" s="8">
        <v>6.31</v>
      </c>
      <c r="G430" s="4">
        <v>17</v>
      </c>
      <c r="H430" s="8">
        <v>2.37</v>
      </c>
      <c r="I430" s="4">
        <v>0</v>
      </c>
    </row>
    <row r="431" spans="1:9" x14ac:dyDescent="0.2">
      <c r="A431" s="2">
        <v>6</v>
      </c>
      <c r="B431" s="1" t="s">
        <v>67</v>
      </c>
      <c r="C431" s="4">
        <v>78</v>
      </c>
      <c r="D431" s="8">
        <v>4.97</v>
      </c>
      <c r="E431" s="4">
        <v>13</v>
      </c>
      <c r="F431" s="8">
        <v>1.58</v>
      </c>
      <c r="G431" s="4">
        <v>65</v>
      </c>
      <c r="H431" s="8">
        <v>9.07</v>
      </c>
      <c r="I431" s="4">
        <v>0</v>
      </c>
    </row>
    <row r="432" spans="1:9" x14ac:dyDescent="0.2">
      <c r="A432" s="2">
        <v>7</v>
      </c>
      <c r="B432" s="1" t="s">
        <v>84</v>
      </c>
      <c r="C432" s="4">
        <v>73</v>
      </c>
      <c r="D432" s="8">
        <v>4.6500000000000004</v>
      </c>
      <c r="E432" s="4">
        <v>65</v>
      </c>
      <c r="F432" s="8">
        <v>7.89</v>
      </c>
      <c r="G432" s="4">
        <v>8</v>
      </c>
      <c r="H432" s="8">
        <v>1.1200000000000001</v>
      </c>
      <c r="I432" s="4">
        <v>0</v>
      </c>
    </row>
    <row r="433" spans="1:9" x14ac:dyDescent="0.2">
      <c r="A433" s="2">
        <v>8</v>
      </c>
      <c r="B433" s="1" t="s">
        <v>74</v>
      </c>
      <c r="C433" s="4">
        <v>66</v>
      </c>
      <c r="D433" s="8">
        <v>4.21</v>
      </c>
      <c r="E433" s="4">
        <v>36</v>
      </c>
      <c r="F433" s="8">
        <v>4.37</v>
      </c>
      <c r="G433" s="4">
        <v>30</v>
      </c>
      <c r="H433" s="8">
        <v>4.18</v>
      </c>
      <c r="I433" s="4">
        <v>0</v>
      </c>
    </row>
    <row r="434" spans="1:9" x14ac:dyDescent="0.2">
      <c r="A434" s="2">
        <v>9</v>
      </c>
      <c r="B434" s="1" t="s">
        <v>68</v>
      </c>
      <c r="C434" s="4">
        <v>59</v>
      </c>
      <c r="D434" s="8">
        <v>3.76</v>
      </c>
      <c r="E434" s="4">
        <v>26</v>
      </c>
      <c r="F434" s="8">
        <v>3.16</v>
      </c>
      <c r="G434" s="4">
        <v>33</v>
      </c>
      <c r="H434" s="8">
        <v>4.5999999999999996</v>
      </c>
      <c r="I434" s="4">
        <v>0</v>
      </c>
    </row>
    <row r="435" spans="1:9" x14ac:dyDescent="0.2">
      <c r="A435" s="2">
        <v>10</v>
      </c>
      <c r="B435" s="1" t="s">
        <v>69</v>
      </c>
      <c r="C435" s="4">
        <v>52</v>
      </c>
      <c r="D435" s="8">
        <v>3.31</v>
      </c>
      <c r="E435" s="4">
        <v>16</v>
      </c>
      <c r="F435" s="8">
        <v>1.94</v>
      </c>
      <c r="G435" s="4">
        <v>36</v>
      </c>
      <c r="H435" s="8">
        <v>5.0199999999999996</v>
      </c>
      <c r="I435" s="4">
        <v>0</v>
      </c>
    </row>
    <row r="436" spans="1:9" x14ac:dyDescent="0.2">
      <c r="A436" s="2">
        <v>10</v>
      </c>
      <c r="B436" s="1" t="s">
        <v>79</v>
      </c>
      <c r="C436" s="4">
        <v>52</v>
      </c>
      <c r="D436" s="8">
        <v>3.31</v>
      </c>
      <c r="E436" s="4">
        <v>17</v>
      </c>
      <c r="F436" s="8">
        <v>2.06</v>
      </c>
      <c r="G436" s="4">
        <v>35</v>
      </c>
      <c r="H436" s="8">
        <v>4.88</v>
      </c>
      <c r="I436" s="4">
        <v>0</v>
      </c>
    </row>
    <row r="437" spans="1:9" x14ac:dyDescent="0.2">
      <c r="A437" s="2">
        <v>12</v>
      </c>
      <c r="B437" s="1" t="s">
        <v>78</v>
      </c>
      <c r="C437" s="4">
        <v>47</v>
      </c>
      <c r="D437" s="8">
        <v>3</v>
      </c>
      <c r="E437" s="4">
        <v>37</v>
      </c>
      <c r="F437" s="8">
        <v>4.49</v>
      </c>
      <c r="G437" s="4">
        <v>10</v>
      </c>
      <c r="H437" s="8">
        <v>1.39</v>
      </c>
      <c r="I437" s="4">
        <v>0</v>
      </c>
    </row>
    <row r="438" spans="1:9" x14ac:dyDescent="0.2">
      <c r="A438" s="2">
        <v>13</v>
      </c>
      <c r="B438" s="1" t="s">
        <v>72</v>
      </c>
      <c r="C438" s="4">
        <v>45</v>
      </c>
      <c r="D438" s="8">
        <v>2.87</v>
      </c>
      <c r="E438" s="4">
        <v>12</v>
      </c>
      <c r="F438" s="8">
        <v>1.46</v>
      </c>
      <c r="G438" s="4">
        <v>32</v>
      </c>
      <c r="H438" s="8">
        <v>4.46</v>
      </c>
      <c r="I438" s="4">
        <v>1</v>
      </c>
    </row>
    <row r="439" spans="1:9" x14ac:dyDescent="0.2">
      <c r="A439" s="2">
        <v>14</v>
      </c>
      <c r="B439" s="1" t="s">
        <v>77</v>
      </c>
      <c r="C439" s="4">
        <v>35</v>
      </c>
      <c r="D439" s="8">
        <v>2.23</v>
      </c>
      <c r="E439" s="4">
        <v>9</v>
      </c>
      <c r="F439" s="8">
        <v>1.0900000000000001</v>
      </c>
      <c r="G439" s="4">
        <v>26</v>
      </c>
      <c r="H439" s="8">
        <v>3.63</v>
      </c>
      <c r="I439" s="4">
        <v>0</v>
      </c>
    </row>
    <row r="440" spans="1:9" x14ac:dyDescent="0.2">
      <c r="A440" s="2">
        <v>15</v>
      </c>
      <c r="B440" s="1" t="s">
        <v>85</v>
      </c>
      <c r="C440" s="4">
        <v>31</v>
      </c>
      <c r="D440" s="8">
        <v>1.98</v>
      </c>
      <c r="E440" s="4">
        <v>1</v>
      </c>
      <c r="F440" s="8">
        <v>0.12</v>
      </c>
      <c r="G440" s="4">
        <v>27</v>
      </c>
      <c r="H440" s="8">
        <v>3.77</v>
      </c>
      <c r="I440" s="4">
        <v>0</v>
      </c>
    </row>
    <row r="441" spans="1:9" x14ac:dyDescent="0.2">
      <c r="A441" s="2">
        <v>16</v>
      </c>
      <c r="B441" s="1" t="s">
        <v>76</v>
      </c>
      <c r="C441" s="4">
        <v>30</v>
      </c>
      <c r="D441" s="8">
        <v>1.91</v>
      </c>
      <c r="E441" s="4">
        <v>9</v>
      </c>
      <c r="F441" s="8">
        <v>1.0900000000000001</v>
      </c>
      <c r="G441" s="4">
        <v>21</v>
      </c>
      <c r="H441" s="8">
        <v>2.93</v>
      </c>
      <c r="I441" s="4">
        <v>0</v>
      </c>
    </row>
    <row r="442" spans="1:9" x14ac:dyDescent="0.2">
      <c r="A442" s="2">
        <v>17</v>
      </c>
      <c r="B442" s="1" t="s">
        <v>91</v>
      </c>
      <c r="C442" s="4">
        <v>23</v>
      </c>
      <c r="D442" s="8">
        <v>1.47</v>
      </c>
      <c r="E442" s="4">
        <v>6</v>
      </c>
      <c r="F442" s="8">
        <v>0.73</v>
      </c>
      <c r="G442" s="4">
        <v>16</v>
      </c>
      <c r="H442" s="8">
        <v>2.23</v>
      </c>
      <c r="I442" s="4">
        <v>0</v>
      </c>
    </row>
    <row r="443" spans="1:9" x14ac:dyDescent="0.2">
      <c r="A443" s="2">
        <v>17</v>
      </c>
      <c r="B443" s="1" t="s">
        <v>86</v>
      </c>
      <c r="C443" s="4">
        <v>23</v>
      </c>
      <c r="D443" s="8">
        <v>1.47</v>
      </c>
      <c r="E443" s="4">
        <v>17</v>
      </c>
      <c r="F443" s="8">
        <v>2.06</v>
      </c>
      <c r="G443" s="4">
        <v>6</v>
      </c>
      <c r="H443" s="8">
        <v>0.84</v>
      </c>
      <c r="I443" s="4">
        <v>0</v>
      </c>
    </row>
    <row r="444" spans="1:9" x14ac:dyDescent="0.2">
      <c r="A444" s="2">
        <v>19</v>
      </c>
      <c r="B444" s="1" t="s">
        <v>96</v>
      </c>
      <c r="C444" s="4">
        <v>21</v>
      </c>
      <c r="D444" s="8">
        <v>1.34</v>
      </c>
      <c r="E444" s="4">
        <v>13</v>
      </c>
      <c r="F444" s="8">
        <v>1.58</v>
      </c>
      <c r="G444" s="4">
        <v>8</v>
      </c>
      <c r="H444" s="8">
        <v>1.1200000000000001</v>
      </c>
      <c r="I444" s="4">
        <v>0</v>
      </c>
    </row>
    <row r="445" spans="1:9" x14ac:dyDescent="0.2">
      <c r="A445" s="2">
        <v>19</v>
      </c>
      <c r="B445" s="1" t="s">
        <v>93</v>
      </c>
      <c r="C445" s="4">
        <v>21</v>
      </c>
      <c r="D445" s="8">
        <v>1.34</v>
      </c>
      <c r="E445" s="4">
        <v>10</v>
      </c>
      <c r="F445" s="8">
        <v>1.21</v>
      </c>
      <c r="G445" s="4">
        <v>10</v>
      </c>
      <c r="H445" s="8">
        <v>1.39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80</v>
      </c>
      <c r="C448" s="4">
        <v>11</v>
      </c>
      <c r="D448" s="8">
        <v>37.93</v>
      </c>
      <c r="E448" s="4">
        <v>11</v>
      </c>
      <c r="F448" s="8">
        <v>64.709999999999994</v>
      </c>
      <c r="G448" s="4">
        <v>0</v>
      </c>
      <c r="H448" s="8">
        <v>0</v>
      </c>
      <c r="I448" s="4">
        <v>0</v>
      </c>
    </row>
    <row r="449" spans="1:9" x14ac:dyDescent="0.2">
      <c r="A449" s="2">
        <v>2</v>
      </c>
      <c r="B449" s="1" t="s">
        <v>73</v>
      </c>
      <c r="C449" s="4">
        <v>7</v>
      </c>
      <c r="D449" s="8">
        <v>24.14</v>
      </c>
      <c r="E449" s="4">
        <v>6</v>
      </c>
      <c r="F449" s="8">
        <v>35.29</v>
      </c>
      <c r="G449" s="4">
        <v>0</v>
      </c>
      <c r="H449" s="8">
        <v>0</v>
      </c>
      <c r="I449" s="4">
        <v>1</v>
      </c>
    </row>
    <row r="450" spans="1:9" x14ac:dyDescent="0.2">
      <c r="A450" s="2">
        <v>3</v>
      </c>
      <c r="B450" s="1" t="s">
        <v>107</v>
      </c>
      <c r="C450" s="4">
        <v>4</v>
      </c>
      <c r="D450" s="8">
        <v>13.79</v>
      </c>
      <c r="E450" s="4">
        <v>0</v>
      </c>
      <c r="F450" s="8">
        <v>0</v>
      </c>
      <c r="G450" s="4">
        <v>0</v>
      </c>
      <c r="H450" s="8">
        <v>0</v>
      </c>
      <c r="I450" s="4">
        <v>0</v>
      </c>
    </row>
    <row r="451" spans="1:9" x14ac:dyDescent="0.2">
      <c r="A451" s="2">
        <v>4</v>
      </c>
      <c r="B451" s="1" t="s">
        <v>70</v>
      </c>
      <c r="C451" s="4">
        <v>2</v>
      </c>
      <c r="D451" s="8">
        <v>6.9</v>
      </c>
      <c r="E451" s="4">
        <v>0</v>
      </c>
      <c r="F451" s="8">
        <v>0</v>
      </c>
      <c r="G451" s="4">
        <v>1</v>
      </c>
      <c r="H451" s="8">
        <v>33.33</v>
      </c>
      <c r="I451" s="4">
        <v>1</v>
      </c>
    </row>
    <row r="452" spans="1:9" x14ac:dyDescent="0.2">
      <c r="A452" s="2">
        <v>4</v>
      </c>
      <c r="B452" s="1" t="s">
        <v>106</v>
      </c>
      <c r="C452" s="4">
        <v>2</v>
      </c>
      <c r="D452" s="8">
        <v>6.9</v>
      </c>
      <c r="E452" s="4">
        <v>0</v>
      </c>
      <c r="F452" s="8">
        <v>0</v>
      </c>
      <c r="G452" s="4">
        <v>0</v>
      </c>
      <c r="H452" s="8">
        <v>0</v>
      </c>
      <c r="I452" s="4">
        <v>0</v>
      </c>
    </row>
    <row r="453" spans="1:9" x14ac:dyDescent="0.2">
      <c r="A453" s="2">
        <v>6</v>
      </c>
      <c r="B453" s="1" t="s">
        <v>90</v>
      </c>
      <c r="C453" s="4">
        <v>1</v>
      </c>
      <c r="D453" s="8">
        <v>3.45</v>
      </c>
      <c r="E453" s="4">
        <v>0</v>
      </c>
      <c r="F453" s="8">
        <v>0</v>
      </c>
      <c r="G453" s="4">
        <v>0</v>
      </c>
      <c r="H453" s="8">
        <v>0</v>
      </c>
      <c r="I453" s="4">
        <v>0</v>
      </c>
    </row>
    <row r="454" spans="1:9" x14ac:dyDescent="0.2">
      <c r="A454" s="2">
        <v>6</v>
      </c>
      <c r="B454" s="1" t="s">
        <v>75</v>
      </c>
      <c r="C454" s="4">
        <v>1</v>
      </c>
      <c r="D454" s="8">
        <v>3.45</v>
      </c>
      <c r="E454" s="4">
        <v>0</v>
      </c>
      <c r="F454" s="8">
        <v>0</v>
      </c>
      <c r="G454" s="4">
        <v>1</v>
      </c>
      <c r="H454" s="8">
        <v>33.33</v>
      </c>
      <c r="I454" s="4">
        <v>0</v>
      </c>
    </row>
    <row r="455" spans="1:9" x14ac:dyDescent="0.2">
      <c r="A455" s="2">
        <v>6</v>
      </c>
      <c r="B455" s="1" t="s">
        <v>78</v>
      </c>
      <c r="C455" s="4">
        <v>1</v>
      </c>
      <c r="D455" s="8">
        <v>3.45</v>
      </c>
      <c r="E455" s="4">
        <v>0</v>
      </c>
      <c r="F455" s="8">
        <v>0</v>
      </c>
      <c r="G455" s="4">
        <v>1</v>
      </c>
      <c r="H455" s="8">
        <v>33.33</v>
      </c>
      <c r="I455" s="4">
        <v>0</v>
      </c>
    </row>
    <row r="456" spans="1:9" x14ac:dyDescent="0.2">
      <c r="A456" s="1"/>
      <c r="C456" s="4"/>
      <c r="D456" s="8"/>
      <c r="E456" s="4"/>
      <c r="F456" s="8"/>
      <c r="G456" s="4"/>
      <c r="H456" s="8"/>
      <c r="I456" s="4"/>
    </row>
    <row r="457" spans="1:9" x14ac:dyDescent="0.2">
      <c r="A457" s="1" t="s">
        <v>21</v>
      </c>
      <c r="C457" s="4"/>
      <c r="D457" s="8"/>
      <c r="E457" s="4"/>
      <c r="F457" s="8"/>
      <c r="G457" s="4"/>
      <c r="H457" s="8"/>
      <c r="I457" s="4"/>
    </row>
    <row r="458" spans="1:9" x14ac:dyDescent="0.2">
      <c r="A458" s="2">
        <v>1</v>
      </c>
      <c r="B458" s="1" t="s">
        <v>80</v>
      </c>
      <c r="C458" s="4">
        <v>27</v>
      </c>
      <c r="D458" s="8">
        <v>56.25</v>
      </c>
      <c r="E458" s="4">
        <v>27</v>
      </c>
      <c r="F458" s="8">
        <v>84.38</v>
      </c>
      <c r="G458" s="4">
        <v>0</v>
      </c>
      <c r="H458" s="8">
        <v>0</v>
      </c>
      <c r="I458" s="4">
        <v>0</v>
      </c>
    </row>
    <row r="459" spans="1:9" x14ac:dyDescent="0.2">
      <c r="A459" s="2">
        <v>2</v>
      </c>
      <c r="B459" s="1" t="s">
        <v>85</v>
      </c>
      <c r="C459" s="4">
        <v>11</v>
      </c>
      <c r="D459" s="8">
        <v>22.92</v>
      </c>
      <c r="E459" s="4">
        <v>0</v>
      </c>
      <c r="F459" s="8">
        <v>0</v>
      </c>
      <c r="G459" s="4">
        <v>1</v>
      </c>
      <c r="H459" s="8">
        <v>16.670000000000002</v>
      </c>
      <c r="I459" s="4">
        <v>0</v>
      </c>
    </row>
    <row r="460" spans="1:9" x14ac:dyDescent="0.2">
      <c r="A460" s="2">
        <v>3</v>
      </c>
      <c r="B460" s="1" t="s">
        <v>70</v>
      </c>
      <c r="C460" s="4">
        <v>5</v>
      </c>
      <c r="D460" s="8">
        <v>10.42</v>
      </c>
      <c r="E460" s="4">
        <v>2</v>
      </c>
      <c r="F460" s="8">
        <v>6.25</v>
      </c>
      <c r="G460" s="4">
        <v>3</v>
      </c>
      <c r="H460" s="8">
        <v>50</v>
      </c>
      <c r="I460" s="4">
        <v>0</v>
      </c>
    </row>
    <row r="461" spans="1:9" x14ac:dyDescent="0.2">
      <c r="A461" s="2">
        <v>4</v>
      </c>
      <c r="B461" s="1" t="s">
        <v>75</v>
      </c>
      <c r="C461" s="4">
        <v>3</v>
      </c>
      <c r="D461" s="8">
        <v>6.25</v>
      </c>
      <c r="E461" s="4">
        <v>3</v>
      </c>
      <c r="F461" s="8">
        <v>9.3800000000000008</v>
      </c>
      <c r="G461" s="4">
        <v>0</v>
      </c>
      <c r="H461" s="8">
        <v>0</v>
      </c>
      <c r="I461" s="4">
        <v>0</v>
      </c>
    </row>
    <row r="462" spans="1:9" x14ac:dyDescent="0.2">
      <c r="A462" s="2">
        <v>5</v>
      </c>
      <c r="B462" s="1" t="s">
        <v>108</v>
      </c>
      <c r="C462" s="4">
        <v>1</v>
      </c>
      <c r="D462" s="8">
        <v>2.08</v>
      </c>
      <c r="E462" s="4">
        <v>0</v>
      </c>
      <c r="F462" s="8">
        <v>0</v>
      </c>
      <c r="G462" s="4">
        <v>1</v>
      </c>
      <c r="H462" s="8">
        <v>16.670000000000002</v>
      </c>
      <c r="I462" s="4">
        <v>0</v>
      </c>
    </row>
    <row r="463" spans="1:9" x14ac:dyDescent="0.2">
      <c r="A463" s="2">
        <v>5</v>
      </c>
      <c r="B463" s="1" t="s">
        <v>73</v>
      </c>
      <c r="C463" s="4">
        <v>1</v>
      </c>
      <c r="D463" s="8">
        <v>2.08</v>
      </c>
      <c r="E463" s="4">
        <v>0</v>
      </c>
      <c r="F463" s="8">
        <v>0</v>
      </c>
      <c r="G463" s="4">
        <v>1</v>
      </c>
      <c r="H463" s="8">
        <v>16.670000000000002</v>
      </c>
      <c r="I463" s="4">
        <v>0</v>
      </c>
    </row>
    <row r="464" spans="1:9" x14ac:dyDescent="0.2">
      <c r="A464" s="1"/>
      <c r="C464" s="4"/>
      <c r="D464" s="8"/>
      <c r="E464" s="4"/>
      <c r="F464" s="8"/>
      <c r="G464" s="4"/>
      <c r="H464" s="8"/>
      <c r="I464" s="4"/>
    </row>
    <row r="465" spans="1:9" x14ac:dyDescent="0.2">
      <c r="A465" s="1" t="s">
        <v>22</v>
      </c>
      <c r="C465" s="4"/>
      <c r="D465" s="8"/>
      <c r="E465" s="4"/>
      <c r="F465" s="8"/>
      <c r="G465" s="4"/>
      <c r="H465" s="8"/>
      <c r="I465" s="4"/>
    </row>
    <row r="466" spans="1:9" x14ac:dyDescent="0.2">
      <c r="A466" s="2">
        <v>1</v>
      </c>
      <c r="B466" s="1" t="s">
        <v>82</v>
      </c>
      <c r="C466" s="4">
        <v>84</v>
      </c>
      <c r="D466" s="8">
        <v>12.54</v>
      </c>
      <c r="E466" s="4">
        <v>77</v>
      </c>
      <c r="F466" s="8">
        <v>17.579999999999998</v>
      </c>
      <c r="G466" s="4">
        <v>6</v>
      </c>
      <c r="H466" s="8">
        <v>2.79</v>
      </c>
      <c r="I466" s="4">
        <v>1</v>
      </c>
    </row>
    <row r="467" spans="1:9" x14ac:dyDescent="0.2">
      <c r="A467" s="2">
        <v>2</v>
      </c>
      <c r="B467" s="1" t="s">
        <v>81</v>
      </c>
      <c r="C467" s="4">
        <v>66</v>
      </c>
      <c r="D467" s="8">
        <v>9.85</v>
      </c>
      <c r="E467" s="4">
        <v>64</v>
      </c>
      <c r="F467" s="8">
        <v>14.61</v>
      </c>
      <c r="G467" s="4">
        <v>2</v>
      </c>
      <c r="H467" s="8">
        <v>0.93</v>
      </c>
      <c r="I467" s="4">
        <v>0</v>
      </c>
    </row>
    <row r="468" spans="1:9" x14ac:dyDescent="0.2">
      <c r="A468" s="2">
        <v>3</v>
      </c>
      <c r="B468" s="1" t="s">
        <v>75</v>
      </c>
      <c r="C468" s="4">
        <v>65</v>
      </c>
      <c r="D468" s="8">
        <v>9.6999999999999993</v>
      </c>
      <c r="E468" s="4">
        <v>36</v>
      </c>
      <c r="F468" s="8">
        <v>8.2200000000000006</v>
      </c>
      <c r="G468" s="4">
        <v>28</v>
      </c>
      <c r="H468" s="8">
        <v>13.02</v>
      </c>
      <c r="I468" s="4">
        <v>1</v>
      </c>
    </row>
    <row r="469" spans="1:9" x14ac:dyDescent="0.2">
      <c r="A469" s="2">
        <v>4</v>
      </c>
      <c r="B469" s="1" t="s">
        <v>73</v>
      </c>
      <c r="C469" s="4">
        <v>50</v>
      </c>
      <c r="D469" s="8">
        <v>7.46</v>
      </c>
      <c r="E469" s="4">
        <v>42</v>
      </c>
      <c r="F469" s="8">
        <v>9.59</v>
      </c>
      <c r="G469" s="4">
        <v>7</v>
      </c>
      <c r="H469" s="8">
        <v>3.26</v>
      </c>
      <c r="I469" s="4">
        <v>1</v>
      </c>
    </row>
    <row r="470" spans="1:9" x14ac:dyDescent="0.2">
      <c r="A470" s="2">
        <v>5</v>
      </c>
      <c r="B470" s="1" t="s">
        <v>67</v>
      </c>
      <c r="C470" s="4">
        <v>36</v>
      </c>
      <c r="D470" s="8">
        <v>5.37</v>
      </c>
      <c r="E470" s="4">
        <v>13</v>
      </c>
      <c r="F470" s="8">
        <v>2.97</v>
      </c>
      <c r="G470" s="4">
        <v>23</v>
      </c>
      <c r="H470" s="8">
        <v>10.7</v>
      </c>
      <c r="I470" s="4">
        <v>0</v>
      </c>
    </row>
    <row r="471" spans="1:9" x14ac:dyDescent="0.2">
      <c r="A471" s="2">
        <v>6</v>
      </c>
      <c r="B471" s="1" t="s">
        <v>74</v>
      </c>
      <c r="C471" s="4">
        <v>31</v>
      </c>
      <c r="D471" s="8">
        <v>4.63</v>
      </c>
      <c r="E471" s="4">
        <v>22</v>
      </c>
      <c r="F471" s="8">
        <v>5.0199999999999996</v>
      </c>
      <c r="G471" s="4">
        <v>9</v>
      </c>
      <c r="H471" s="8">
        <v>4.1900000000000004</v>
      </c>
      <c r="I471" s="4">
        <v>0</v>
      </c>
    </row>
    <row r="472" spans="1:9" x14ac:dyDescent="0.2">
      <c r="A472" s="2">
        <v>7</v>
      </c>
      <c r="B472" s="1" t="s">
        <v>83</v>
      </c>
      <c r="C472" s="4">
        <v>26</v>
      </c>
      <c r="D472" s="8">
        <v>3.88</v>
      </c>
      <c r="E472" s="4">
        <v>18</v>
      </c>
      <c r="F472" s="8">
        <v>4.1100000000000003</v>
      </c>
      <c r="G472" s="4">
        <v>2</v>
      </c>
      <c r="H472" s="8">
        <v>0.93</v>
      </c>
      <c r="I472" s="4">
        <v>1</v>
      </c>
    </row>
    <row r="473" spans="1:9" x14ac:dyDescent="0.2">
      <c r="A473" s="2">
        <v>8</v>
      </c>
      <c r="B473" s="1" t="s">
        <v>90</v>
      </c>
      <c r="C473" s="4">
        <v>21</v>
      </c>
      <c r="D473" s="8">
        <v>3.13</v>
      </c>
      <c r="E473" s="4">
        <v>11</v>
      </c>
      <c r="F473" s="8">
        <v>2.5099999999999998</v>
      </c>
      <c r="G473" s="4">
        <v>10</v>
      </c>
      <c r="H473" s="8">
        <v>4.6500000000000004</v>
      </c>
      <c r="I473" s="4">
        <v>0</v>
      </c>
    </row>
    <row r="474" spans="1:9" x14ac:dyDescent="0.2">
      <c r="A474" s="2">
        <v>8</v>
      </c>
      <c r="B474" s="1" t="s">
        <v>77</v>
      </c>
      <c r="C474" s="4">
        <v>21</v>
      </c>
      <c r="D474" s="8">
        <v>3.13</v>
      </c>
      <c r="E474" s="4">
        <v>14</v>
      </c>
      <c r="F474" s="8">
        <v>3.2</v>
      </c>
      <c r="G474" s="4">
        <v>7</v>
      </c>
      <c r="H474" s="8">
        <v>3.26</v>
      </c>
      <c r="I474" s="4">
        <v>0</v>
      </c>
    </row>
    <row r="475" spans="1:9" x14ac:dyDescent="0.2">
      <c r="A475" s="2">
        <v>10</v>
      </c>
      <c r="B475" s="1" t="s">
        <v>68</v>
      </c>
      <c r="C475" s="4">
        <v>20</v>
      </c>
      <c r="D475" s="8">
        <v>2.99</v>
      </c>
      <c r="E475" s="4">
        <v>14</v>
      </c>
      <c r="F475" s="8">
        <v>3.2</v>
      </c>
      <c r="G475" s="4">
        <v>6</v>
      </c>
      <c r="H475" s="8">
        <v>2.79</v>
      </c>
      <c r="I475" s="4">
        <v>0</v>
      </c>
    </row>
    <row r="476" spans="1:9" x14ac:dyDescent="0.2">
      <c r="A476" s="2">
        <v>10</v>
      </c>
      <c r="B476" s="1" t="s">
        <v>91</v>
      </c>
      <c r="C476" s="4">
        <v>20</v>
      </c>
      <c r="D476" s="8">
        <v>2.99</v>
      </c>
      <c r="E476" s="4">
        <v>15</v>
      </c>
      <c r="F476" s="8">
        <v>3.42</v>
      </c>
      <c r="G476" s="4">
        <v>4</v>
      </c>
      <c r="H476" s="8">
        <v>1.86</v>
      </c>
      <c r="I476" s="4">
        <v>0</v>
      </c>
    </row>
    <row r="477" spans="1:9" x14ac:dyDescent="0.2">
      <c r="A477" s="2">
        <v>10</v>
      </c>
      <c r="B477" s="1" t="s">
        <v>86</v>
      </c>
      <c r="C477" s="4">
        <v>20</v>
      </c>
      <c r="D477" s="8">
        <v>2.99</v>
      </c>
      <c r="E477" s="4">
        <v>16</v>
      </c>
      <c r="F477" s="8">
        <v>3.65</v>
      </c>
      <c r="G477" s="4">
        <v>4</v>
      </c>
      <c r="H477" s="8">
        <v>1.86</v>
      </c>
      <c r="I477" s="4">
        <v>0</v>
      </c>
    </row>
    <row r="478" spans="1:9" x14ac:dyDescent="0.2">
      <c r="A478" s="2">
        <v>13</v>
      </c>
      <c r="B478" s="1" t="s">
        <v>79</v>
      </c>
      <c r="C478" s="4">
        <v>18</v>
      </c>
      <c r="D478" s="8">
        <v>2.69</v>
      </c>
      <c r="E478" s="4">
        <v>4</v>
      </c>
      <c r="F478" s="8">
        <v>0.91</v>
      </c>
      <c r="G478" s="4">
        <v>13</v>
      </c>
      <c r="H478" s="8">
        <v>6.05</v>
      </c>
      <c r="I478" s="4">
        <v>0</v>
      </c>
    </row>
    <row r="479" spans="1:9" x14ac:dyDescent="0.2">
      <c r="A479" s="2">
        <v>14</v>
      </c>
      <c r="B479" s="1" t="s">
        <v>72</v>
      </c>
      <c r="C479" s="4">
        <v>16</v>
      </c>
      <c r="D479" s="8">
        <v>2.39</v>
      </c>
      <c r="E479" s="4">
        <v>11</v>
      </c>
      <c r="F479" s="8">
        <v>2.5099999999999998</v>
      </c>
      <c r="G479" s="4">
        <v>5</v>
      </c>
      <c r="H479" s="8">
        <v>2.33</v>
      </c>
      <c r="I479" s="4">
        <v>0</v>
      </c>
    </row>
    <row r="480" spans="1:9" x14ac:dyDescent="0.2">
      <c r="A480" s="2">
        <v>15</v>
      </c>
      <c r="B480" s="1" t="s">
        <v>69</v>
      </c>
      <c r="C480" s="4">
        <v>15</v>
      </c>
      <c r="D480" s="8">
        <v>2.2400000000000002</v>
      </c>
      <c r="E480" s="4">
        <v>9</v>
      </c>
      <c r="F480" s="8">
        <v>2.0499999999999998</v>
      </c>
      <c r="G480" s="4">
        <v>6</v>
      </c>
      <c r="H480" s="8">
        <v>2.79</v>
      </c>
      <c r="I480" s="4">
        <v>0</v>
      </c>
    </row>
    <row r="481" spans="1:9" x14ac:dyDescent="0.2">
      <c r="A481" s="2">
        <v>16</v>
      </c>
      <c r="B481" s="1" t="s">
        <v>70</v>
      </c>
      <c r="C481" s="4">
        <v>13</v>
      </c>
      <c r="D481" s="8">
        <v>1.94</v>
      </c>
      <c r="E481" s="4">
        <v>10</v>
      </c>
      <c r="F481" s="8">
        <v>2.2799999999999998</v>
      </c>
      <c r="G481" s="4">
        <v>3</v>
      </c>
      <c r="H481" s="8">
        <v>1.4</v>
      </c>
      <c r="I481" s="4">
        <v>0</v>
      </c>
    </row>
    <row r="482" spans="1:9" x14ac:dyDescent="0.2">
      <c r="A482" s="2">
        <v>16</v>
      </c>
      <c r="B482" s="1" t="s">
        <v>84</v>
      </c>
      <c r="C482" s="4">
        <v>13</v>
      </c>
      <c r="D482" s="8">
        <v>1.94</v>
      </c>
      <c r="E482" s="4">
        <v>13</v>
      </c>
      <c r="F482" s="8">
        <v>2.97</v>
      </c>
      <c r="G482" s="4">
        <v>0</v>
      </c>
      <c r="H482" s="8">
        <v>0</v>
      </c>
      <c r="I482" s="4">
        <v>0</v>
      </c>
    </row>
    <row r="483" spans="1:9" x14ac:dyDescent="0.2">
      <c r="A483" s="2">
        <v>18</v>
      </c>
      <c r="B483" s="1" t="s">
        <v>78</v>
      </c>
      <c r="C483" s="4">
        <v>11</v>
      </c>
      <c r="D483" s="8">
        <v>1.64</v>
      </c>
      <c r="E483" s="4">
        <v>10</v>
      </c>
      <c r="F483" s="8">
        <v>2.2799999999999998</v>
      </c>
      <c r="G483" s="4">
        <v>1</v>
      </c>
      <c r="H483" s="8">
        <v>0.47</v>
      </c>
      <c r="I483" s="4">
        <v>0</v>
      </c>
    </row>
    <row r="484" spans="1:9" x14ac:dyDescent="0.2">
      <c r="A484" s="2">
        <v>18</v>
      </c>
      <c r="B484" s="1" t="s">
        <v>85</v>
      </c>
      <c r="C484" s="4">
        <v>11</v>
      </c>
      <c r="D484" s="8">
        <v>1.64</v>
      </c>
      <c r="E484" s="4">
        <v>0</v>
      </c>
      <c r="F484" s="8">
        <v>0</v>
      </c>
      <c r="G484" s="4">
        <v>8</v>
      </c>
      <c r="H484" s="8">
        <v>3.72</v>
      </c>
      <c r="I484" s="4">
        <v>1</v>
      </c>
    </row>
    <row r="485" spans="1:9" x14ac:dyDescent="0.2">
      <c r="A485" s="2">
        <v>20</v>
      </c>
      <c r="B485" s="1" t="s">
        <v>104</v>
      </c>
      <c r="C485" s="4">
        <v>10</v>
      </c>
      <c r="D485" s="8">
        <v>1.49</v>
      </c>
      <c r="E485" s="4">
        <v>4</v>
      </c>
      <c r="F485" s="8">
        <v>0.91</v>
      </c>
      <c r="G485" s="4">
        <v>6</v>
      </c>
      <c r="H485" s="8">
        <v>2.79</v>
      </c>
      <c r="I485" s="4">
        <v>0</v>
      </c>
    </row>
    <row r="486" spans="1:9" x14ac:dyDescent="0.2">
      <c r="A486" s="1"/>
      <c r="C486" s="4"/>
      <c r="D486" s="8"/>
      <c r="E486" s="4"/>
      <c r="F486" s="8"/>
      <c r="G486" s="4"/>
      <c r="H486" s="8"/>
      <c r="I486" s="4"/>
    </row>
    <row r="487" spans="1:9" x14ac:dyDescent="0.2">
      <c r="A487" s="1" t="s">
        <v>23</v>
      </c>
      <c r="C487" s="4"/>
      <c r="D487" s="8"/>
      <c r="E487" s="4"/>
      <c r="F487" s="8"/>
      <c r="G487" s="4"/>
      <c r="H487" s="8"/>
      <c r="I487" s="4"/>
    </row>
    <row r="488" spans="1:9" x14ac:dyDescent="0.2">
      <c r="A488" s="2">
        <v>1</v>
      </c>
      <c r="B488" s="1" t="s">
        <v>73</v>
      </c>
      <c r="C488" s="4">
        <v>33</v>
      </c>
      <c r="D488" s="8">
        <v>12.5</v>
      </c>
      <c r="E488" s="4">
        <v>29</v>
      </c>
      <c r="F488" s="8">
        <v>18.829999999999998</v>
      </c>
      <c r="G488" s="4">
        <v>4</v>
      </c>
      <c r="H488" s="8">
        <v>3.88</v>
      </c>
      <c r="I488" s="4">
        <v>0</v>
      </c>
    </row>
    <row r="489" spans="1:9" x14ac:dyDescent="0.2">
      <c r="A489" s="2">
        <v>2</v>
      </c>
      <c r="B489" s="1" t="s">
        <v>67</v>
      </c>
      <c r="C489" s="4">
        <v>29</v>
      </c>
      <c r="D489" s="8">
        <v>10.98</v>
      </c>
      <c r="E489" s="4">
        <v>6</v>
      </c>
      <c r="F489" s="8">
        <v>3.9</v>
      </c>
      <c r="G489" s="4">
        <v>23</v>
      </c>
      <c r="H489" s="8">
        <v>22.33</v>
      </c>
      <c r="I489" s="4">
        <v>0</v>
      </c>
    </row>
    <row r="490" spans="1:9" x14ac:dyDescent="0.2">
      <c r="A490" s="2">
        <v>3</v>
      </c>
      <c r="B490" s="1" t="s">
        <v>82</v>
      </c>
      <c r="C490" s="4">
        <v>24</v>
      </c>
      <c r="D490" s="8">
        <v>9.09</v>
      </c>
      <c r="E490" s="4">
        <v>24</v>
      </c>
      <c r="F490" s="8">
        <v>15.58</v>
      </c>
      <c r="G490" s="4">
        <v>0</v>
      </c>
      <c r="H490" s="8">
        <v>0</v>
      </c>
      <c r="I490" s="4">
        <v>0</v>
      </c>
    </row>
    <row r="491" spans="1:9" x14ac:dyDescent="0.2">
      <c r="A491" s="2">
        <v>4</v>
      </c>
      <c r="B491" s="1" t="s">
        <v>75</v>
      </c>
      <c r="C491" s="4">
        <v>22</v>
      </c>
      <c r="D491" s="8">
        <v>8.33</v>
      </c>
      <c r="E491" s="4">
        <v>13</v>
      </c>
      <c r="F491" s="8">
        <v>8.44</v>
      </c>
      <c r="G491" s="4">
        <v>9</v>
      </c>
      <c r="H491" s="8">
        <v>8.74</v>
      </c>
      <c r="I491" s="4">
        <v>0</v>
      </c>
    </row>
    <row r="492" spans="1:9" x14ac:dyDescent="0.2">
      <c r="A492" s="2">
        <v>5</v>
      </c>
      <c r="B492" s="1" t="s">
        <v>81</v>
      </c>
      <c r="C492" s="4">
        <v>17</v>
      </c>
      <c r="D492" s="8">
        <v>6.44</v>
      </c>
      <c r="E492" s="4">
        <v>15</v>
      </c>
      <c r="F492" s="8">
        <v>9.74</v>
      </c>
      <c r="G492" s="4">
        <v>2</v>
      </c>
      <c r="H492" s="8">
        <v>1.94</v>
      </c>
      <c r="I492" s="4">
        <v>0</v>
      </c>
    </row>
    <row r="493" spans="1:9" x14ac:dyDescent="0.2">
      <c r="A493" s="2">
        <v>6</v>
      </c>
      <c r="B493" s="1" t="s">
        <v>68</v>
      </c>
      <c r="C493" s="4">
        <v>13</v>
      </c>
      <c r="D493" s="8">
        <v>4.92</v>
      </c>
      <c r="E493" s="4">
        <v>10</v>
      </c>
      <c r="F493" s="8">
        <v>6.49</v>
      </c>
      <c r="G493" s="4">
        <v>3</v>
      </c>
      <c r="H493" s="8">
        <v>2.91</v>
      </c>
      <c r="I493" s="4">
        <v>0</v>
      </c>
    </row>
    <row r="494" spans="1:9" x14ac:dyDescent="0.2">
      <c r="A494" s="2">
        <v>6</v>
      </c>
      <c r="B494" s="1" t="s">
        <v>70</v>
      </c>
      <c r="C494" s="4">
        <v>13</v>
      </c>
      <c r="D494" s="8">
        <v>4.92</v>
      </c>
      <c r="E494" s="4">
        <v>6</v>
      </c>
      <c r="F494" s="8">
        <v>3.9</v>
      </c>
      <c r="G494" s="4">
        <v>5</v>
      </c>
      <c r="H494" s="8">
        <v>4.8499999999999996</v>
      </c>
      <c r="I494" s="4">
        <v>2</v>
      </c>
    </row>
    <row r="495" spans="1:9" x14ac:dyDescent="0.2">
      <c r="A495" s="2">
        <v>8</v>
      </c>
      <c r="B495" s="1" t="s">
        <v>90</v>
      </c>
      <c r="C495" s="4">
        <v>9</v>
      </c>
      <c r="D495" s="8">
        <v>3.41</v>
      </c>
      <c r="E495" s="4">
        <v>0</v>
      </c>
      <c r="F495" s="8">
        <v>0</v>
      </c>
      <c r="G495" s="4">
        <v>9</v>
      </c>
      <c r="H495" s="8">
        <v>8.74</v>
      </c>
      <c r="I495" s="4">
        <v>0</v>
      </c>
    </row>
    <row r="496" spans="1:9" x14ac:dyDescent="0.2">
      <c r="A496" s="2">
        <v>8</v>
      </c>
      <c r="B496" s="1" t="s">
        <v>74</v>
      </c>
      <c r="C496" s="4">
        <v>9</v>
      </c>
      <c r="D496" s="8">
        <v>3.41</v>
      </c>
      <c r="E496" s="4">
        <v>7</v>
      </c>
      <c r="F496" s="8">
        <v>4.55</v>
      </c>
      <c r="G496" s="4">
        <v>2</v>
      </c>
      <c r="H496" s="8">
        <v>1.94</v>
      </c>
      <c r="I496" s="4">
        <v>0</v>
      </c>
    </row>
    <row r="497" spans="1:9" x14ac:dyDescent="0.2">
      <c r="A497" s="2">
        <v>10</v>
      </c>
      <c r="B497" s="1" t="s">
        <v>69</v>
      </c>
      <c r="C497" s="4">
        <v>7</v>
      </c>
      <c r="D497" s="8">
        <v>2.65</v>
      </c>
      <c r="E497" s="4">
        <v>3</v>
      </c>
      <c r="F497" s="8">
        <v>1.95</v>
      </c>
      <c r="G497" s="4">
        <v>4</v>
      </c>
      <c r="H497" s="8">
        <v>3.88</v>
      </c>
      <c r="I497" s="4">
        <v>0</v>
      </c>
    </row>
    <row r="498" spans="1:9" x14ac:dyDescent="0.2">
      <c r="A498" s="2">
        <v>10</v>
      </c>
      <c r="B498" s="1" t="s">
        <v>80</v>
      </c>
      <c r="C498" s="4">
        <v>7</v>
      </c>
      <c r="D498" s="8">
        <v>2.65</v>
      </c>
      <c r="E498" s="4">
        <v>7</v>
      </c>
      <c r="F498" s="8">
        <v>4.55</v>
      </c>
      <c r="G498" s="4">
        <v>0</v>
      </c>
      <c r="H498" s="8">
        <v>0</v>
      </c>
      <c r="I498" s="4">
        <v>0</v>
      </c>
    </row>
    <row r="499" spans="1:9" x14ac:dyDescent="0.2">
      <c r="A499" s="2">
        <v>10</v>
      </c>
      <c r="B499" s="1" t="s">
        <v>86</v>
      </c>
      <c r="C499" s="4">
        <v>7</v>
      </c>
      <c r="D499" s="8">
        <v>2.65</v>
      </c>
      <c r="E499" s="4">
        <v>6</v>
      </c>
      <c r="F499" s="8">
        <v>3.9</v>
      </c>
      <c r="G499" s="4">
        <v>1</v>
      </c>
      <c r="H499" s="8">
        <v>0.97</v>
      </c>
      <c r="I499" s="4">
        <v>0</v>
      </c>
    </row>
    <row r="500" spans="1:9" x14ac:dyDescent="0.2">
      <c r="A500" s="2">
        <v>13</v>
      </c>
      <c r="B500" s="1" t="s">
        <v>110</v>
      </c>
      <c r="C500" s="4">
        <v>6</v>
      </c>
      <c r="D500" s="8">
        <v>2.27</v>
      </c>
      <c r="E500" s="4">
        <v>2</v>
      </c>
      <c r="F500" s="8">
        <v>1.3</v>
      </c>
      <c r="G500" s="4">
        <v>4</v>
      </c>
      <c r="H500" s="8">
        <v>3.88</v>
      </c>
      <c r="I500" s="4">
        <v>0</v>
      </c>
    </row>
    <row r="501" spans="1:9" x14ac:dyDescent="0.2">
      <c r="A501" s="2">
        <v>14</v>
      </c>
      <c r="B501" s="1" t="s">
        <v>78</v>
      </c>
      <c r="C501" s="4">
        <v>5</v>
      </c>
      <c r="D501" s="8">
        <v>1.89</v>
      </c>
      <c r="E501" s="4">
        <v>4</v>
      </c>
      <c r="F501" s="8">
        <v>2.6</v>
      </c>
      <c r="G501" s="4">
        <v>1</v>
      </c>
      <c r="H501" s="8">
        <v>0.97</v>
      </c>
      <c r="I501" s="4">
        <v>0</v>
      </c>
    </row>
    <row r="502" spans="1:9" x14ac:dyDescent="0.2">
      <c r="A502" s="2">
        <v>15</v>
      </c>
      <c r="B502" s="1" t="s">
        <v>98</v>
      </c>
      <c r="C502" s="4">
        <v>4</v>
      </c>
      <c r="D502" s="8">
        <v>1.52</v>
      </c>
      <c r="E502" s="4">
        <v>0</v>
      </c>
      <c r="F502" s="8">
        <v>0</v>
      </c>
      <c r="G502" s="4">
        <v>4</v>
      </c>
      <c r="H502" s="8">
        <v>3.88</v>
      </c>
      <c r="I502" s="4">
        <v>0</v>
      </c>
    </row>
    <row r="503" spans="1:9" x14ac:dyDescent="0.2">
      <c r="A503" s="2">
        <v>15</v>
      </c>
      <c r="B503" s="1" t="s">
        <v>84</v>
      </c>
      <c r="C503" s="4">
        <v>4</v>
      </c>
      <c r="D503" s="8">
        <v>1.52</v>
      </c>
      <c r="E503" s="4">
        <v>3</v>
      </c>
      <c r="F503" s="8">
        <v>1.95</v>
      </c>
      <c r="G503" s="4">
        <v>0</v>
      </c>
      <c r="H503" s="8">
        <v>0</v>
      </c>
      <c r="I503" s="4">
        <v>0</v>
      </c>
    </row>
    <row r="504" spans="1:9" x14ac:dyDescent="0.2">
      <c r="A504" s="2">
        <v>17</v>
      </c>
      <c r="B504" s="1" t="s">
        <v>109</v>
      </c>
      <c r="C504" s="4">
        <v>3</v>
      </c>
      <c r="D504" s="8">
        <v>1.1399999999999999</v>
      </c>
      <c r="E504" s="4">
        <v>2</v>
      </c>
      <c r="F504" s="8">
        <v>1.3</v>
      </c>
      <c r="G504" s="4">
        <v>1</v>
      </c>
      <c r="H504" s="8">
        <v>0.97</v>
      </c>
      <c r="I504" s="4">
        <v>0</v>
      </c>
    </row>
    <row r="505" spans="1:9" x14ac:dyDescent="0.2">
      <c r="A505" s="2">
        <v>17</v>
      </c>
      <c r="B505" s="1" t="s">
        <v>89</v>
      </c>
      <c r="C505" s="4">
        <v>3</v>
      </c>
      <c r="D505" s="8">
        <v>1.1399999999999999</v>
      </c>
      <c r="E505" s="4">
        <v>0</v>
      </c>
      <c r="F505" s="8">
        <v>0</v>
      </c>
      <c r="G505" s="4">
        <v>3</v>
      </c>
      <c r="H505" s="8">
        <v>2.91</v>
      </c>
      <c r="I505" s="4">
        <v>0</v>
      </c>
    </row>
    <row r="506" spans="1:9" x14ac:dyDescent="0.2">
      <c r="A506" s="2">
        <v>17</v>
      </c>
      <c r="B506" s="1" t="s">
        <v>77</v>
      </c>
      <c r="C506" s="4">
        <v>3</v>
      </c>
      <c r="D506" s="8">
        <v>1.1399999999999999</v>
      </c>
      <c r="E506" s="4">
        <v>3</v>
      </c>
      <c r="F506" s="8">
        <v>1.95</v>
      </c>
      <c r="G506" s="4">
        <v>0</v>
      </c>
      <c r="H506" s="8">
        <v>0</v>
      </c>
      <c r="I506" s="4">
        <v>0</v>
      </c>
    </row>
    <row r="507" spans="1:9" x14ac:dyDescent="0.2">
      <c r="A507" s="2">
        <v>17</v>
      </c>
      <c r="B507" s="1" t="s">
        <v>83</v>
      </c>
      <c r="C507" s="4">
        <v>3</v>
      </c>
      <c r="D507" s="8">
        <v>1.1399999999999999</v>
      </c>
      <c r="E507" s="4">
        <v>0</v>
      </c>
      <c r="F507" s="8">
        <v>0</v>
      </c>
      <c r="G507" s="4">
        <v>0</v>
      </c>
      <c r="H507" s="8">
        <v>0</v>
      </c>
      <c r="I507" s="4">
        <v>0</v>
      </c>
    </row>
    <row r="508" spans="1:9" x14ac:dyDescent="0.2">
      <c r="A508" s="2">
        <v>17</v>
      </c>
      <c r="B508" s="1" t="s">
        <v>85</v>
      </c>
      <c r="C508" s="4">
        <v>3</v>
      </c>
      <c r="D508" s="8">
        <v>1.1399999999999999</v>
      </c>
      <c r="E508" s="4">
        <v>0</v>
      </c>
      <c r="F508" s="8">
        <v>0</v>
      </c>
      <c r="G508" s="4">
        <v>2</v>
      </c>
      <c r="H508" s="8">
        <v>1.94</v>
      </c>
      <c r="I508" s="4">
        <v>0</v>
      </c>
    </row>
    <row r="509" spans="1:9" x14ac:dyDescent="0.2">
      <c r="A509" s="2">
        <v>17</v>
      </c>
      <c r="B509" s="1" t="s">
        <v>111</v>
      </c>
      <c r="C509" s="4">
        <v>3</v>
      </c>
      <c r="D509" s="8">
        <v>1.1399999999999999</v>
      </c>
      <c r="E509" s="4">
        <v>0</v>
      </c>
      <c r="F509" s="8">
        <v>0</v>
      </c>
      <c r="G509" s="4">
        <v>3</v>
      </c>
      <c r="H509" s="8">
        <v>2.91</v>
      </c>
      <c r="I509" s="4">
        <v>0</v>
      </c>
    </row>
    <row r="510" spans="1:9" x14ac:dyDescent="0.2">
      <c r="A510" s="2">
        <v>17</v>
      </c>
      <c r="B510" s="1" t="s">
        <v>99</v>
      </c>
      <c r="C510" s="4">
        <v>3</v>
      </c>
      <c r="D510" s="8">
        <v>1.1399999999999999</v>
      </c>
      <c r="E510" s="4">
        <v>3</v>
      </c>
      <c r="F510" s="8">
        <v>1.95</v>
      </c>
      <c r="G510" s="4">
        <v>0</v>
      </c>
      <c r="H510" s="8">
        <v>0</v>
      </c>
      <c r="I510" s="4">
        <v>0</v>
      </c>
    </row>
    <row r="511" spans="1:9" x14ac:dyDescent="0.2">
      <c r="A511" s="2">
        <v>17</v>
      </c>
      <c r="B511" s="1" t="s">
        <v>95</v>
      </c>
      <c r="C511" s="4">
        <v>3</v>
      </c>
      <c r="D511" s="8">
        <v>1.1399999999999999</v>
      </c>
      <c r="E511" s="4">
        <v>0</v>
      </c>
      <c r="F511" s="8">
        <v>0</v>
      </c>
      <c r="G511" s="4">
        <v>3</v>
      </c>
      <c r="H511" s="8">
        <v>2.91</v>
      </c>
      <c r="I511" s="4">
        <v>0</v>
      </c>
    </row>
    <row r="512" spans="1:9" x14ac:dyDescent="0.2">
      <c r="A512" s="1"/>
      <c r="C512" s="4"/>
      <c r="D512" s="8"/>
      <c r="E512" s="4"/>
      <c r="F512" s="8"/>
      <c r="G512" s="4"/>
      <c r="H512" s="8"/>
      <c r="I512" s="4"/>
    </row>
    <row r="513" spans="1:9" x14ac:dyDescent="0.2">
      <c r="A513" s="1" t="s">
        <v>24</v>
      </c>
      <c r="C513" s="4"/>
      <c r="D513" s="8"/>
      <c r="E513" s="4"/>
      <c r="F513" s="8"/>
      <c r="G513" s="4"/>
      <c r="H513" s="8"/>
      <c r="I513" s="4"/>
    </row>
    <row r="514" spans="1:9" x14ac:dyDescent="0.2">
      <c r="A514" s="2">
        <v>1</v>
      </c>
      <c r="B514" s="1" t="s">
        <v>75</v>
      </c>
      <c r="C514" s="4">
        <v>31</v>
      </c>
      <c r="D514" s="8">
        <v>10.84</v>
      </c>
      <c r="E514" s="4">
        <v>14</v>
      </c>
      <c r="F514" s="8">
        <v>7.91</v>
      </c>
      <c r="G514" s="4">
        <v>17</v>
      </c>
      <c r="H514" s="8">
        <v>16.190000000000001</v>
      </c>
      <c r="I514" s="4">
        <v>0</v>
      </c>
    </row>
    <row r="515" spans="1:9" x14ac:dyDescent="0.2">
      <c r="A515" s="2">
        <v>2</v>
      </c>
      <c r="B515" s="1" t="s">
        <v>82</v>
      </c>
      <c r="C515" s="4">
        <v>29</v>
      </c>
      <c r="D515" s="8">
        <v>10.14</v>
      </c>
      <c r="E515" s="4">
        <v>28</v>
      </c>
      <c r="F515" s="8">
        <v>15.82</v>
      </c>
      <c r="G515" s="4">
        <v>1</v>
      </c>
      <c r="H515" s="8">
        <v>0.95</v>
      </c>
      <c r="I515" s="4">
        <v>0</v>
      </c>
    </row>
    <row r="516" spans="1:9" x14ac:dyDescent="0.2">
      <c r="A516" s="2">
        <v>3</v>
      </c>
      <c r="B516" s="1" t="s">
        <v>81</v>
      </c>
      <c r="C516" s="4">
        <v>24</v>
      </c>
      <c r="D516" s="8">
        <v>8.39</v>
      </c>
      <c r="E516" s="4">
        <v>20</v>
      </c>
      <c r="F516" s="8">
        <v>11.3</v>
      </c>
      <c r="G516" s="4">
        <v>4</v>
      </c>
      <c r="H516" s="8">
        <v>3.81</v>
      </c>
      <c r="I516" s="4">
        <v>0</v>
      </c>
    </row>
    <row r="517" spans="1:9" x14ac:dyDescent="0.2">
      <c r="A517" s="2">
        <v>4</v>
      </c>
      <c r="B517" s="1" t="s">
        <v>73</v>
      </c>
      <c r="C517" s="4">
        <v>23</v>
      </c>
      <c r="D517" s="8">
        <v>8.0399999999999991</v>
      </c>
      <c r="E517" s="4">
        <v>20</v>
      </c>
      <c r="F517" s="8">
        <v>11.3</v>
      </c>
      <c r="G517" s="4">
        <v>3</v>
      </c>
      <c r="H517" s="8">
        <v>2.86</v>
      </c>
      <c r="I517" s="4">
        <v>0</v>
      </c>
    </row>
    <row r="518" spans="1:9" x14ac:dyDescent="0.2">
      <c r="A518" s="2">
        <v>5</v>
      </c>
      <c r="B518" s="1" t="s">
        <v>67</v>
      </c>
      <c r="C518" s="4">
        <v>21</v>
      </c>
      <c r="D518" s="8">
        <v>7.34</v>
      </c>
      <c r="E518" s="4">
        <v>0</v>
      </c>
      <c r="F518" s="8">
        <v>0</v>
      </c>
      <c r="G518" s="4">
        <v>21</v>
      </c>
      <c r="H518" s="8">
        <v>20</v>
      </c>
      <c r="I518" s="4">
        <v>0</v>
      </c>
    </row>
    <row r="519" spans="1:9" x14ac:dyDescent="0.2">
      <c r="A519" s="2">
        <v>6</v>
      </c>
      <c r="B519" s="1" t="s">
        <v>74</v>
      </c>
      <c r="C519" s="4">
        <v>16</v>
      </c>
      <c r="D519" s="8">
        <v>5.59</v>
      </c>
      <c r="E519" s="4">
        <v>10</v>
      </c>
      <c r="F519" s="8">
        <v>5.65</v>
      </c>
      <c r="G519" s="4">
        <v>6</v>
      </c>
      <c r="H519" s="8">
        <v>5.71</v>
      </c>
      <c r="I519" s="4">
        <v>0</v>
      </c>
    </row>
    <row r="520" spans="1:9" x14ac:dyDescent="0.2">
      <c r="A520" s="2">
        <v>7</v>
      </c>
      <c r="B520" s="1" t="s">
        <v>83</v>
      </c>
      <c r="C520" s="4">
        <v>14</v>
      </c>
      <c r="D520" s="8">
        <v>4.9000000000000004</v>
      </c>
      <c r="E520" s="4">
        <v>13</v>
      </c>
      <c r="F520" s="8">
        <v>7.34</v>
      </c>
      <c r="G520" s="4">
        <v>0</v>
      </c>
      <c r="H520" s="8">
        <v>0</v>
      </c>
      <c r="I520" s="4">
        <v>0</v>
      </c>
    </row>
    <row r="521" spans="1:9" x14ac:dyDescent="0.2">
      <c r="A521" s="2">
        <v>8</v>
      </c>
      <c r="B521" s="1" t="s">
        <v>68</v>
      </c>
      <c r="C521" s="4">
        <v>12</v>
      </c>
      <c r="D521" s="8">
        <v>4.2</v>
      </c>
      <c r="E521" s="4">
        <v>5</v>
      </c>
      <c r="F521" s="8">
        <v>2.82</v>
      </c>
      <c r="G521" s="4">
        <v>7</v>
      </c>
      <c r="H521" s="8">
        <v>6.67</v>
      </c>
      <c r="I521" s="4">
        <v>0</v>
      </c>
    </row>
    <row r="522" spans="1:9" x14ac:dyDescent="0.2">
      <c r="A522" s="2">
        <v>9</v>
      </c>
      <c r="B522" s="1" t="s">
        <v>84</v>
      </c>
      <c r="C522" s="4">
        <v>8</v>
      </c>
      <c r="D522" s="8">
        <v>2.8</v>
      </c>
      <c r="E522" s="4">
        <v>8</v>
      </c>
      <c r="F522" s="8">
        <v>4.5199999999999996</v>
      </c>
      <c r="G522" s="4">
        <v>0</v>
      </c>
      <c r="H522" s="8">
        <v>0</v>
      </c>
      <c r="I522" s="4">
        <v>0</v>
      </c>
    </row>
    <row r="523" spans="1:9" x14ac:dyDescent="0.2">
      <c r="A523" s="2">
        <v>10</v>
      </c>
      <c r="B523" s="1" t="s">
        <v>70</v>
      </c>
      <c r="C523" s="4">
        <v>7</v>
      </c>
      <c r="D523" s="8">
        <v>2.4500000000000002</v>
      </c>
      <c r="E523" s="4">
        <v>5</v>
      </c>
      <c r="F523" s="8">
        <v>2.82</v>
      </c>
      <c r="G523" s="4">
        <v>2</v>
      </c>
      <c r="H523" s="8">
        <v>1.9</v>
      </c>
      <c r="I523" s="4">
        <v>0</v>
      </c>
    </row>
    <row r="524" spans="1:9" x14ac:dyDescent="0.2">
      <c r="A524" s="2">
        <v>11</v>
      </c>
      <c r="B524" s="1" t="s">
        <v>104</v>
      </c>
      <c r="C524" s="4">
        <v>6</v>
      </c>
      <c r="D524" s="8">
        <v>2.1</v>
      </c>
      <c r="E524" s="4">
        <v>2</v>
      </c>
      <c r="F524" s="8">
        <v>1.1299999999999999</v>
      </c>
      <c r="G524" s="4">
        <v>4</v>
      </c>
      <c r="H524" s="8">
        <v>3.81</v>
      </c>
      <c r="I524" s="4">
        <v>0</v>
      </c>
    </row>
    <row r="525" spans="1:9" x14ac:dyDescent="0.2">
      <c r="A525" s="2">
        <v>11</v>
      </c>
      <c r="B525" s="1" t="s">
        <v>79</v>
      </c>
      <c r="C525" s="4">
        <v>6</v>
      </c>
      <c r="D525" s="8">
        <v>2.1</v>
      </c>
      <c r="E525" s="4">
        <v>5</v>
      </c>
      <c r="F525" s="8">
        <v>2.82</v>
      </c>
      <c r="G525" s="4">
        <v>1</v>
      </c>
      <c r="H525" s="8">
        <v>0.95</v>
      </c>
      <c r="I525" s="4">
        <v>0</v>
      </c>
    </row>
    <row r="526" spans="1:9" x14ac:dyDescent="0.2">
      <c r="A526" s="2">
        <v>11</v>
      </c>
      <c r="B526" s="1" t="s">
        <v>91</v>
      </c>
      <c r="C526" s="4">
        <v>6</v>
      </c>
      <c r="D526" s="8">
        <v>2.1</v>
      </c>
      <c r="E526" s="4">
        <v>4</v>
      </c>
      <c r="F526" s="8">
        <v>2.2599999999999998</v>
      </c>
      <c r="G526" s="4">
        <v>2</v>
      </c>
      <c r="H526" s="8">
        <v>1.9</v>
      </c>
      <c r="I526" s="4">
        <v>0</v>
      </c>
    </row>
    <row r="527" spans="1:9" x14ac:dyDescent="0.2">
      <c r="A527" s="2">
        <v>14</v>
      </c>
      <c r="B527" s="1" t="s">
        <v>69</v>
      </c>
      <c r="C527" s="4">
        <v>5</v>
      </c>
      <c r="D527" s="8">
        <v>1.75</v>
      </c>
      <c r="E527" s="4">
        <v>4</v>
      </c>
      <c r="F527" s="8">
        <v>2.2599999999999998</v>
      </c>
      <c r="G527" s="4">
        <v>1</v>
      </c>
      <c r="H527" s="8">
        <v>0.95</v>
      </c>
      <c r="I527" s="4">
        <v>0</v>
      </c>
    </row>
    <row r="528" spans="1:9" x14ac:dyDescent="0.2">
      <c r="A528" s="2">
        <v>14</v>
      </c>
      <c r="B528" s="1" t="s">
        <v>87</v>
      </c>
      <c r="C528" s="4">
        <v>5</v>
      </c>
      <c r="D528" s="8">
        <v>1.75</v>
      </c>
      <c r="E528" s="4">
        <v>2</v>
      </c>
      <c r="F528" s="8">
        <v>1.1299999999999999</v>
      </c>
      <c r="G528" s="4">
        <v>3</v>
      </c>
      <c r="H528" s="8">
        <v>2.86</v>
      </c>
      <c r="I528" s="4">
        <v>0</v>
      </c>
    </row>
    <row r="529" spans="1:9" x14ac:dyDescent="0.2">
      <c r="A529" s="2">
        <v>14</v>
      </c>
      <c r="B529" s="1" t="s">
        <v>78</v>
      </c>
      <c r="C529" s="4">
        <v>5</v>
      </c>
      <c r="D529" s="8">
        <v>1.75</v>
      </c>
      <c r="E529" s="4">
        <v>4</v>
      </c>
      <c r="F529" s="8">
        <v>2.2599999999999998</v>
      </c>
      <c r="G529" s="4">
        <v>1</v>
      </c>
      <c r="H529" s="8">
        <v>0.95</v>
      </c>
      <c r="I529" s="4">
        <v>0</v>
      </c>
    </row>
    <row r="530" spans="1:9" x14ac:dyDescent="0.2">
      <c r="A530" s="2">
        <v>14</v>
      </c>
      <c r="B530" s="1" t="s">
        <v>85</v>
      </c>
      <c r="C530" s="4">
        <v>5</v>
      </c>
      <c r="D530" s="8">
        <v>1.75</v>
      </c>
      <c r="E530" s="4">
        <v>0</v>
      </c>
      <c r="F530" s="8">
        <v>0</v>
      </c>
      <c r="G530" s="4">
        <v>5</v>
      </c>
      <c r="H530" s="8">
        <v>4.76</v>
      </c>
      <c r="I530" s="4">
        <v>0</v>
      </c>
    </row>
    <row r="531" spans="1:9" x14ac:dyDescent="0.2">
      <c r="A531" s="2">
        <v>18</v>
      </c>
      <c r="B531" s="1" t="s">
        <v>90</v>
      </c>
      <c r="C531" s="4">
        <v>4</v>
      </c>
      <c r="D531" s="8">
        <v>1.4</v>
      </c>
      <c r="E531" s="4">
        <v>2</v>
      </c>
      <c r="F531" s="8">
        <v>1.1299999999999999</v>
      </c>
      <c r="G531" s="4">
        <v>2</v>
      </c>
      <c r="H531" s="8">
        <v>1.9</v>
      </c>
      <c r="I531" s="4">
        <v>0</v>
      </c>
    </row>
    <row r="532" spans="1:9" x14ac:dyDescent="0.2">
      <c r="A532" s="2">
        <v>18</v>
      </c>
      <c r="B532" s="1" t="s">
        <v>102</v>
      </c>
      <c r="C532" s="4">
        <v>4</v>
      </c>
      <c r="D532" s="8">
        <v>1.4</v>
      </c>
      <c r="E532" s="4">
        <v>4</v>
      </c>
      <c r="F532" s="8">
        <v>2.2599999999999998</v>
      </c>
      <c r="G532" s="4">
        <v>0</v>
      </c>
      <c r="H532" s="8">
        <v>0</v>
      </c>
      <c r="I532" s="4">
        <v>0</v>
      </c>
    </row>
    <row r="533" spans="1:9" x14ac:dyDescent="0.2">
      <c r="A533" s="2">
        <v>18</v>
      </c>
      <c r="B533" s="1" t="s">
        <v>72</v>
      </c>
      <c r="C533" s="4">
        <v>4</v>
      </c>
      <c r="D533" s="8">
        <v>1.4</v>
      </c>
      <c r="E533" s="4">
        <v>3</v>
      </c>
      <c r="F533" s="8">
        <v>1.69</v>
      </c>
      <c r="G533" s="4">
        <v>1</v>
      </c>
      <c r="H533" s="8">
        <v>0.95</v>
      </c>
      <c r="I533" s="4">
        <v>0</v>
      </c>
    </row>
    <row r="534" spans="1:9" x14ac:dyDescent="0.2">
      <c r="A534" s="2">
        <v>18</v>
      </c>
      <c r="B534" s="1" t="s">
        <v>105</v>
      </c>
      <c r="C534" s="4">
        <v>4</v>
      </c>
      <c r="D534" s="8">
        <v>1.4</v>
      </c>
      <c r="E534" s="4">
        <v>3</v>
      </c>
      <c r="F534" s="8">
        <v>1.69</v>
      </c>
      <c r="G534" s="4">
        <v>1</v>
      </c>
      <c r="H534" s="8">
        <v>0.95</v>
      </c>
      <c r="I534" s="4">
        <v>0</v>
      </c>
    </row>
    <row r="535" spans="1:9" x14ac:dyDescent="0.2">
      <c r="A535" s="2">
        <v>18</v>
      </c>
      <c r="B535" s="1" t="s">
        <v>77</v>
      </c>
      <c r="C535" s="4">
        <v>4</v>
      </c>
      <c r="D535" s="8">
        <v>1.4</v>
      </c>
      <c r="E535" s="4">
        <v>3</v>
      </c>
      <c r="F535" s="8">
        <v>1.69</v>
      </c>
      <c r="G535" s="4">
        <v>1</v>
      </c>
      <c r="H535" s="8">
        <v>0.95</v>
      </c>
      <c r="I535" s="4">
        <v>0</v>
      </c>
    </row>
    <row r="536" spans="1:9" x14ac:dyDescent="0.2">
      <c r="A536" s="2">
        <v>18</v>
      </c>
      <c r="B536" s="1" t="s">
        <v>80</v>
      </c>
      <c r="C536" s="4">
        <v>4</v>
      </c>
      <c r="D536" s="8">
        <v>1.4</v>
      </c>
      <c r="E536" s="4">
        <v>2</v>
      </c>
      <c r="F536" s="8">
        <v>1.1299999999999999</v>
      </c>
      <c r="G536" s="4">
        <v>2</v>
      </c>
      <c r="H536" s="8">
        <v>1.9</v>
      </c>
      <c r="I536" s="4">
        <v>0</v>
      </c>
    </row>
    <row r="537" spans="1:9" x14ac:dyDescent="0.2">
      <c r="A537" s="1"/>
      <c r="C537" s="4"/>
      <c r="D537" s="8"/>
      <c r="E537" s="4"/>
      <c r="F537" s="8"/>
      <c r="G537" s="4"/>
      <c r="H537" s="8"/>
      <c r="I537" s="4"/>
    </row>
    <row r="538" spans="1:9" x14ac:dyDescent="0.2">
      <c r="A538" s="1" t="s">
        <v>25</v>
      </c>
      <c r="C538" s="4"/>
      <c r="D538" s="8"/>
      <c r="E538" s="4"/>
      <c r="F538" s="8"/>
      <c r="G538" s="4"/>
      <c r="H538" s="8"/>
      <c r="I538" s="4"/>
    </row>
    <row r="539" spans="1:9" x14ac:dyDescent="0.2">
      <c r="A539" s="2">
        <v>1</v>
      </c>
      <c r="B539" s="1" t="s">
        <v>75</v>
      </c>
      <c r="C539" s="4">
        <v>37</v>
      </c>
      <c r="D539" s="8">
        <v>11.14</v>
      </c>
      <c r="E539" s="4">
        <v>19</v>
      </c>
      <c r="F539" s="8">
        <v>9.69</v>
      </c>
      <c r="G539" s="4">
        <v>18</v>
      </c>
      <c r="H539" s="8">
        <v>14.06</v>
      </c>
      <c r="I539" s="4">
        <v>0</v>
      </c>
    </row>
    <row r="540" spans="1:9" x14ac:dyDescent="0.2">
      <c r="A540" s="2">
        <v>2</v>
      </c>
      <c r="B540" s="1" t="s">
        <v>82</v>
      </c>
      <c r="C540" s="4">
        <v>36</v>
      </c>
      <c r="D540" s="8">
        <v>10.84</v>
      </c>
      <c r="E540" s="4">
        <v>36</v>
      </c>
      <c r="F540" s="8">
        <v>18.37</v>
      </c>
      <c r="G540" s="4">
        <v>0</v>
      </c>
      <c r="H540" s="8">
        <v>0</v>
      </c>
      <c r="I540" s="4">
        <v>0</v>
      </c>
    </row>
    <row r="541" spans="1:9" x14ac:dyDescent="0.2">
      <c r="A541" s="2">
        <v>3</v>
      </c>
      <c r="B541" s="1" t="s">
        <v>81</v>
      </c>
      <c r="C541" s="4">
        <v>27</v>
      </c>
      <c r="D541" s="8">
        <v>8.1300000000000008</v>
      </c>
      <c r="E541" s="4">
        <v>24</v>
      </c>
      <c r="F541" s="8">
        <v>12.24</v>
      </c>
      <c r="G541" s="4">
        <v>3</v>
      </c>
      <c r="H541" s="8">
        <v>2.34</v>
      </c>
      <c r="I541" s="4">
        <v>0</v>
      </c>
    </row>
    <row r="542" spans="1:9" x14ac:dyDescent="0.2">
      <c r="A542" s="2">
        <v>4</v>
      </c>
      <c r="B542" s="1" t="s">
        <v>74</v>
      </c>
      <c r="C542" s="4">
        <v>19</v>
      </c>
      <c r="D542" s="8">
        <v>5.72</v>
      </c>
      <c r="E542" s="4">
        <v>11</v>
      </c>
      <c r="F542" s="8">
        <v>5.61</v>
      </c>
      <c r="G542" s="4">
        <v>8</v>
      </c>
      <c r="H542" s="8">
        <v>6.25</v>
      </c>
      <c r="I542" s="4">
        <v>0</v>
      </c>
    </row>
    <row r="543" spans="1:9" x14ac:dyDescent="0.2">
      <c r="A543" s="2">
        <v>5</v>
      </c>
      <c r="B543" s="1" t="s">
        <v>67</v>
      </c>
      <c r="C543" s="4">
        <v>18</v>
      </c>
      <c r="D543" s="8">
        <v>5.42</v>
      </c>
      <c r="E543" s="4">
        <v>4</v>
      </c>
      <c r="F543" s="8">
        <v>2.04</v>
      </c>
      <c r="G543" s="4">
        <v>14</v>
      </c>
      <c r="H543" s="8">
        <v>10.94</v>
      </c>
      <c r="I543" s="4">
        <v>0</v>
      </c>
    </row>
    <row r="544" spans="1:9" x14ac:dyDescent="0.2">
      <c r="A544" s="2">
        <v>5</v>
      </c>
      <c r="B544" s="1" t="s">
        <v>73</v>
      </c>
      <c r="C544" s="4">
        <v>18</v>
      </c>
      <c r="D544" s="8">
        <v>5.42</v>
      </c>
      <c r="E544" s="4">
        <v>17</v>
      </c>
      <c r="F544" s="8">
        <v>8.67</v>
      </c>
      <c r="G544" s="4">
        <v>1</v>
      </c>
      <c r="H544" s="8">
        <v>0.78</v>
      </c>
      <c r="I544" s="4">
        <v>0</v>
      </c>
    </row>
    <row r="545" spans="1:9" x14ac:dyDescent="0.2">
      <c r="A545" s="2">
        <v>7</v>
      </c>
      <c r="B545" s="1" t="s">
        <v>68</v>
      </c>
      <c r="C545" s="4">
        <v>13</v>
      </c>
      <c r="D545" s="8">
        <v>3.92</v>
      </c>
      <c r="E545" s="4">
        <v>6</v>
      </c>
      <c r="F545" s="8">
        <v>3.06</v>
      </c>
      <c r="G545" s="4">
        <v>7</v>
      </c>
      <c r="H545" s="8">
        <v>5.47</v>
      </c>
      <c r="I545" s="4">
        <v>0</v>
      </c>
    </row>
    <row r="546" spans="1:9" x14ac:dyDescent="0.2">
      <c r="A546" s="2">
        <v>8</v>
      </c>
      <c r="B546" s="1" t="s">
        <v>69</v>
      </c>
      <c r="C546" s="4">
        <v>12</v>
      </c>
      <c r="D546" s="8">
        <v>3.61</v>
      </c>
      <c r="E546" s="4">
        <v>5</v>
      </c>
      <c r="F546" s="8">
        <v>2.5499999999999998</v>
      </c>
      <c r="G546" s="4">
        <v>7</v>
      </c>
      <c r="H546" s="8">
        <v>5.47</v>
      </c>
      <c r="I546" s="4">
        <v>0</v>
      </c>
    </row>
    <row r="547" spans="1:9" x14ac:dyDescent="0.2">
      <c r="A547" s="2">
        <v>8</v>
      </c>
      <c r="B547" s="1" t="s">
        <v>86</v>
      </c>
      <c r="C547" s="4">
        <v>12</v>
      </c>
      <c r="D547" s="8">
        <v>3.61</v>
      </c>
      <c r="E547" s="4">
        <v>12</v>
      </c>
      <c r="F547" s="8">
        <v>6.12</v>
      </c>
      <c r="G547" s="4">
        <v>0</v>
      </c>
      <c r="H547" s="8">
        <v>0</v>
      </c>
      <c r="I547" s="4">
        <v>0</v>
      </c>
    </row>
    <row r="548" spans="1:9" x14ac:dyDescent="0.2">
      <c r="A548" s="2">
        <v>10</v>
      </c>
      <c r="B548" s="1" t="s">
        <v>70</v>
      </c>
      <c r="C548" s="4">
        <v>11</v>
      </c>
      <c r="D548" s="8">
        <v>3.31</v>
      </c>
      <c r="E548" s="4">
        <v>4</v>
      </c>
      <c r="F548" s="8">
        <v>2.04</v>
      </c>
      <c r="G548" s="4">
        <v>7</v>
      </c>
      <c r="H548" s="8">
        <v>5.47</v>
      </c>
      <c r="I548" s="4">
        <v>0</v>
      </c>
    </row>
    <row r="549" spans="1:9" x14ac:dyDescent="0.2">
      <c r="A549" s="2">
        <v>11</v>
      </c>
      <c r="B549" s="1" t="s">
        <v>84</v>
      </c>
      <c r="C549" s="4">
        <v>10</v>
      </c>
      <c r="D549" s="8">
        <v>3.01</v>
      </c>
      <c r="E549" s="4">
        <v>9</v>
      </c>
      <c r="F549" s="8">
        <v>4.59</v>
      </c>
      <c r="G549" s="4">
        <v>1</v>
      </c>
      <c r="H549" s="8">
        <v>0.78</v>
      </c>
      <c r="I549" s="4">
        <v>0</v>
      </c>
    </row>
    <row r="550" spans="1:9" x14ac:dyDescent="0.2">
      <c r="A550" s="2">
        <v>12</v>
      </c>
      <c r="B550" s="1" t="s">
        <v>78</v>
      </c>
      <c r="C550" s="4">
        <v>8</v>
      </c>
      <c r="D550" s="8">
        <v>2.41</v>
      </c>
      <c r="E550" s="4">
        <v>7</v>
      </c>
      <c r="F550" s="8">
        <v>3.57</v>
      </c>
      <c r="G550" s="4">
        <v>1</v>
      </c>
      <c r="H550" s="8">
        <v>0.78</v>
      </c>
      <c r="I550" s="4">
        <v>0</v>
      </c>
    </row>
    <row r="551" spans="1:9" x14ac:dyDescent="0.2">
      <c r="A551" s="2">
        <v>12</v>
      </c>
      <c r="B551" s="1" t="s">
        <v>83</v>
      </c>
      <c r="C551" s="4">
        <v>8</v>
      </c>
      <c r="D551" s="8">
        <v>2.41</v>
      </c>
      <c r="E551" s="4">
        <v>4</v>
      </c>
      <c r="F551" s="8">
        <v>2.04</v>
      </c>
      <c r="G551" s="4">
        <v>3</v>
      </c>
      <c r="H551" s="8">
        <v>2.34</v>
      </c>
      <c r="I551" s="4">
        <v>0</v>
      </c>
    </row>
    <row r="552" spans="1:9" x14ac:dyDescent="0.2">
      <c r="A552" s="2">
        <v>14</v>
      </c>
      <c r="B552" s="1" t="s">
        <v>90</v>
      </c>
      <c r="C552" s="4">
        <v>7</v>
      </c>
      <c r="D552" s="8">
        <v>2.11</v>
      </c>
      <c r="E552" s="4">
        <v>1</v>
      </c>
      <c r="F552" s="8">
        <v>0.51</v>
      </c>
      <c r="G552" s="4">
        <v>6</v>
      </c>
      <c r="H552" s="8">
        <v>4.6900000000000004</v>
      </c>
      <c r="I552" s="4">
        <v>0</v>
      </c>
    </row>
    <row r="553" spans="1:9" x14ac:dyDescent="0.2">
      <c r="A553" s="2">
        <v>14</v>
      </c>
      <c r="B553" s="1" t="s">
        <v>85</v>
      </c>
      <c r="C553" s="4">
        <v>7</v>
      </c>
      <c r="D553" s="8">
        <v>2.11</v>
      </c>
      <c r="E553" s="4">
        <v>0</v>
      </c>
      <c r="F553" s="8">
        <v>0</v>
      </c>
      <c r="G553" s="4">
        <v>7</v>
      </c>
      <c r="H553" s="8">
        <v>5.47</v>
      </c>
      <c r="I553" s="4">
        <v>0</v>
      </c>
    </row>
    <row r="554" spans="1:9" x14ac:dyDescent="0.2">
      <c r="A554" s="2">
        <v>16</v>
      </c>
      <c r="B554" s="1" t="s">
        <v>71</v>
      </c>
      <c r="C554" s="4">
        <v>6</v>
      </c>
      <c r="D554" s="8">
        <v>1.81</v>
      </c>
      <c r="E554" s="4">
        <v>0</v>
      </c>
      <c r="F554" s="8">
        <v>0</v>
      </c>
      <c r="G554" s="4">
        <v>6</v>
      </c>
      <c r="H554" s="8">
        <v>4.6900000000000004</v>
      </c>
      <c r="I554" s="4">
        <v>0</v>
      </c>
    </row>
    <row r="555" spans="1:9" x14ac:dyDescent="0.2">
      <c r="A555" s="2">
        <v>16</v>
      </c>
      <c r="B555" s="1" t="s">
        <v>93</v>
      </c>
      <c r="C555" s="4">
        <v>6</v>
      </c>
      <c r="D555" s="8">
        <v>1.81</v>
      </c>
      <c r="E555" s="4">
        <v>3</v>
      </c>
      <c r="F555" s="8">
        <v>1.53</v>
      </c>
      <c r="G555" s="4">
        <v>2</v>
      </c>
      <c r="H555" s="8">
        <v>1.56</v>
      </c>
      <c r="I555" s="4">
        <v>0</v>
      </c>
    </row>
    <row r="556" spans="1:9" x14ac:dyDescent="0.2">
      <c r="A556" s="2">
        <v>18</v>
      </c>
      <c r="B556" s="1" t="s">
        <v>72</v>
      </c>
      <c r="C556" s="4">
        <v>5</v>
      </c>
      <c r="D556" s="8">
        <v>1.51</v>
      </c>
      <c r="E556" s="4">
        <v>5</v>
      </c>
      <c r="F556" s="8">
        <v>2.5499999999999998</v>
      </c>
      <c r="G556" s="4">
        <v>0</v>
      </c>
      <c r="H556" s="8">
        <v>0</v>
      </c>
      <c r="I556" s="4">
        <v>0</v>
      </c>
    </row>
    <row r="557" spans="1:9" x14ac:dyDescent="0.2">
      <c r="A557" s="2">
        <v>18</v>
      </c>
      <c r="B557" s="1" t="s">
        <v>79</v>
      </c>
      <c r="C557" s="4">
        <v>5</v>
      </c>
      <c r="D557" s="8">
        <v>1.51</v>
      </c>
      <c r="E557" s="4">
        <v>3</v>
      </c>
      <c r="F557" s="8">
        <v>1.53</v>
      </c>
      <c r="G557" s="4">
        <v>2</v>
      </c>
      <c r="H557" s="8">
        <v>1.56</v>
      </c>
      <c r="I557" s="4">
        <v>0</v>
      </c>
    </row>
    <row r="558" spans="1:9" x14ac:dyDescent="0.2">
      <c r="A558" s="2">
        <v>18</v>
      </c>
      <c r="B558" s="1" t="s">
        <v>94</v>
      </c>
      <c r="C558" s="4">
        <v>5</v>
      </c>
      <c r="D558" s="8">
        <v>1.51</v>
      </c>
      <c r="E558" s="4">
        <v>2</v>
      </c>
      <c r="F558" s="8">
        <v>1.02</v>
      </c>
      <c r="G558" s="4">
        <v>2</v>
      </c>
      <c r="H558" s="8">
        <v>1.56</v>
      </c>
      <c r="I558" s="4">
        <v>0</v>
      </c>
    </row>
    <row r="559" spans="1:9" x14ac:dyDescent="0.2">
      <c r="A559" s="2">
        <v>18</v>
      </c>
      <c r="B559" s="1" t="s">
        <v>95</v>
      </c>
      <c r="C559" s="4">
        <v>5</v>
      </c>
      <c r="D559" s="8">
        <v>1.51</v>
      </c>
      <c r="E559" s="4">
        <v>3</v>
      </c>
      <c r="F559" s="8">
        <v>1.53</v>
      </c>
      <c r="G559" s="4">
        <v>2</v>
      </c>
      <c r="H559" s="8">
        <v>1.56</v>
      </c>
      <c r="I559" s="4">
        <v>0</v>
      </c>
    </row>
    <row r="560" spans="1:9" x14ac:dyDescent="0.2">
      <c r="A560" s="2">
        <v>18</v>
      </c>
      <c r="B560" s="1" t="s">
        <v>107</v>
      </c>
      <c r="C560" s="4">
        <v>5</v>
      </c>
      <c r="D560" s="8">
        <v>1.51</v>
      </c>
      <c r="E560" s="4">
        <v>0</v>
      </c>
      <c r="F560" s="8">
        <v>0</v>
      </c>
      <c r="G560" s="4">
        <v>0</v>
      </c>
      <c r="H560" s="8">
        <v>0</v>
      </c>
      <c r="I560" s="4">
        <v>0</v>
      </c>
    </row>
    <row r="561" spans="1:9" x14ac:dyDescent="0.2">
      <c r="A561" s="1"/>
      <c r="C561" s="4"/>
      <c r="D561" s="8"/>
      <c r="E561" s="4"/>
      <c r="F561" s="8"/>
      <c r="G561" s="4"/>
      <c r="H561" s="8"/>
      <c r="I561" s="4"/>
    </row>
    <row r="562" spans="1:9" x14ac:dyDescent="0.2">
      <c r="A562" s="1" t="s">
        <v>26</v>
      </c>
      <c r="C562" s="4"/>
      <c r="D562" s="8"/>
      <c r="E562" s="4"/>
      <c r="F562" s="8"/>
      <c r="G562" s="4"/>
      <c r="H562" s="8"/>
      <c r="I562" s="4"/>
    </row>
    <row r="563" spans="1:9" x14ac:dyDescent="0.2">
      <c r="A563" s="2">
        <v>1</v>
      </c>
      <c r="B563" s="1" t="s">
        <v>73</v>
      </c>
      <c r="C563" s="4">
        <v>23</v>
      </c>
      <c r="D563" s="8">
        <v>11.33</v>
      </c>
      <c r="E563" s="4">
        <v>22</v>
      </c>
      <c r="F563" s="8">
        <v>16.670000000000002</v>
      </c>
      <c r="G563" s="4">
        <v>1</v>
      </c>
      <c r="H563" s="8">
        <v>1.54</v>
      </c>
      <c r="I563" s="4">
        <v>0</v>
      </c>
    </row>
    <row r="564" spans="1:9" x14ac:dyDescent="0.2">
      <c r="A564" s="2">
        <v>1</v>
      </c>
      <c r="B564" s="1" t="s">
        <v>82</v>
      </c>
      <c r="C564" s="4">
        <v>23</v>
      </c>
      <c r="D564" s="8">
        <v>11.33</v>
      </c>
      <c r="E564" s="4">
        <v>23</v>
      </c>
      <c r="F564" s="8">
        <v>17.420000000000002</v>
      </c>
      <c r="G564" s="4">
        <v>0</v>
      </c>
      <c r="H564" s="8">
        <v>0</v>
      </c>
      <c r="I564" s="4">
        <v>0</v>
      </c>
    </row>
    <row r="565" spans="1:9" x14ac:dyDescent="0.2">
      <c r="A565" s="2">
        <v>3</v>
      </c>
      <c r="B565" s="1" t="s">
        <v>75</v>
      </c>
      <c r="C565" s="4">
        <v>22</v>
      </c>
      <c r="D565" s="8">
        <v>10.84</v>
      </c>
      <c r="E565" s="4">
        <v>13</v>
      </c>
      <c r="F565" s="8">
        <v>9.85</v>
      </c>
      <c r="G565" s="4">
        <v>9</v>
      </c>
      <c r="H565" s="8">
        <v>13.85</v>
      </c>
      <c r="I565" s="4">
        <v>0</v>
      </c>
    </row>
    <row r="566" spans="1:9" x14ac:dyDescent="0.2">
      <c r="A566" s="2">
        <v>4</v>
      </c>
      <c r="B566" s="1" t="s">
        <v>67</v>
      </c>
      <c r="C566" s="4">
        <v>15</v>
      </c>
      <c r="D566" s="8">
        <v>7.39</v>
      </c>
      <c r="E566" s="4">
        <v>4</v>
      </c>
      <c r="F566" s="8">
        <v>3.03</v>
      </c>
      <c r="G566" s="4">
        <v>11</v>
      </c>
      <c r="H566" s="8">
        <v>16.920000000000002</v>
      </c>
      <c r="I566" s="4">
        <v>0</v>
      </c>
    </row>
    <row r="567" spans="1:9" x14ac:dyDescent="0.2">
      <c r="A567" s="2">
        <v>5</v>
      </c>
      <c r="B567" s="1" t="s">
        <v>68</v>
      </c>
      <c r="C567" s="4">
        <v>10</v>
      </c>
      <c r="D567" s="8">
        <v>4.93</v>
      </c>
      <c r="E567" s="4">
        <v>9</v>
      </c>
      <c r="F567" s="8">
        <v>6.82</v>
      </c>
      <c r="G567" s="4">
        <v>1</v>
      </c>
      <c r="H567" s="8">
        <v>1.54</v>
      </c>
      <c r="I567" s="4">
        <v>0</v>
      </c>
    </row>
    <row r="568" spans="1:9" x14ac:dyDescent="0.2">
      <c r="A568" s="2">
        <v>6</v>
      </c>
      <c r="B568" s="1" t="s">
        <v>86</v>
      </c>
      <c r="C568" s="4">
        <v>9</v>
      </c>
      <c r="D568" s="8">
        <v>4.43</v>
      </c>
      <c r="E568" s="4">
        <v>9</v>
      </c>
      <c r="F568" s="8">
        <v>6.82</v>
      </c>
      <c r="G568" s="4">
        <v>0</v>
      </c>
      <c r="H568" s="8">
        <v>0</v>
      </c>
      <c r="I568" s="4">
        <v>0</v>
      </c>
    </row>
    <row r="569" spans="1:9" x14ac:dyDescent="0.2">
      <c r="A569" s="2">
        <v>7</v>
      </c>
      <c r="B569" s="1" t="s">
        <v>85</v>
      </c>
      <c r="C569" s="4">
        <v>8</v>
      </c>
      <c r="D569" s="8">
        <v>3.94</v>
      </c>
      <c r="E569" s="4">
        <v>0</v>
      </c>
      <c r="F569" s="8">
        <v>0</v>
      </c>
      <c r="G569" s="4">
        <v>8</v>
      </c>
      <c r="H569" s="8">
        <v>12.31</v>
      </c>
      <c r="I569" s="4">
        <v>0</v>
      </c>
    </row>
    <row r="570" spans="1:9" x14ac:dyDescent="0.2">
      <c r="A570" s="2">
        <v>8</v>
      </c>
      <c r="B570" s="1" t="s">
        <v>70</v>
      </c>
      <c r="C570" s="4">
        <v>7</v>
      </c>
      <c r="D570" s="8">
        <v>3.45</v>
      </c>
      <c r="E570" s="4">
        <v>3</v>
      </c>
      <c r="F570" s="8">
        <v>2.27</v>
      </c>
      <c r="G570" s="4">
        <v>4</v>
      </c>
      <c r="H570" s="8">
        <v>6.15</v>
      </c>
      <c r="I570" s="4">
        <v>0</v>
      </c>
    </row>
    <row r="571" spans="1:9" x14ac:dyDescent="0.2">
      <c r="A571" s="2">
        <v>9</v>
      </c>
      <c r="B571" s="1" t="s">
        <v>69</v>
      </c>
      <c r="C571" s="4">
        <v>6</v>
      </c>
      <c r="D571" s="8">
        <v>2.96</v>
      </c>
      <c r="E571" s="4">
        <v>3</v>
      </c>
      <c r="F571" s="8">
        <v>2.27</v>
      </c>
      <c r="G571" s="4">
        <v>3</v>
      </c>
      <c r="H571" s="8">
        <v>4.62</v>
      </c>
      <c r="I571" s="4">
        <v>0</v>
      </c>
    </row>
    <row r="572" spans="1:9" x14ac:dyDescent="0.2">
      <c r="A572" s="2">
        <v>9</v>
      </c>
      <c r="B572" s="1" t="s">
        <v>90</v>
      </c>
      <c r="C572" s="4">
        <v>6</v>
      </c>
      <c r="D572" s="8">
        <v>2.96</v>
      </c>
      <c r="E572" s="4">
        <v>2</v>
      </c>
      <c r="F572" s="8">
        <v>1.52</v>
      </c>
      <c r="G572" s="4">
        <v>2</v>
      </c>
      <c r="H572" s="8">
        <v>3.08</v>
      </c>
      <c r="I572" s="4">
        <v>1</v>
      </c>
    </row>
    <row r="573" spans="1:9" x14ac:dyDescent="0.2">
      <c r="A573" s="2">
        <v>9</v>
      </c>
      <c r="B573" s="1" t="s">
        <v>81</v>
      </c>
      <c r="C573" s="4">
        <v>6</v>
      </c>
      <c r="D573" s="8">
        <v>2.96</v>
      </c>
      <c r="E573" s="4">
        <v>4</v>
      </c>
      <c r="F573" s="8">
        <v>3.03</v>
      </c>
      <c r="G573" s="4">
        <v>2</v>
      </c>
      <c r="H573" s="8">
        <v>3.08</v>
      </c>
      <c r="I573" s="4">
        <v>0</v>
      </c>
    </row>
    <row r="574" spans="1:9" x14ac:dyDescent="0.2">
      <c r="A574" s="2">
        <v>9</v>
      </c>
      <c r="B574" s="1" t="s">
        <v>83</v>
      </c>
      <c r="C574" s="4">
        <v>6</v>
      </c>
      <c r="D574" s="8">
        <v>2.96</v>
      </c>
      <c r="E574" s="4">
        <v>5</v>
      </c>
      <c r="F574" s="8">
        <v>3.79</v>
      </c>
      <c r="G574" s="4">
        <v>0</v>
      </c>
      <c r="H574" s="8">
        <v>0</v>
      </c>
      <c r="I574" s="4">
        <v>0</v>
      </c>
    </row>
    <row r="575" spans="1:9" x14ac:dyDescent="0.2">
      <c r="A575" s="2">
        <v>9</v>
      </c>
      <c r="B575" s="1" t="s">
        <v>84</v>
      </c>
      <c r="C575" s="4">
        <v>6</v>
      </c>
      <c r="D575" s="8">
        <v>2.96</v>
      </c>
      <c r="E575" s="4">
        <v>5</v>
      </c>
      <c r="F575" s="8">
        <v>3.79</v>
      </c>
      <c r="G575" s="4">
        <v>1</v>
      </c>
      <c r="H575" s="8">
        <v>1.54</v>
      </c>
      <c r="I575" s="4">
        <v>0</v>
      </c>
    </row>
    <row r="576" spans="1:9" x14ac:dyDescent="0.2">
      <c r="A576" s="2">
        <v>9</v>
      </c>
      <c r="B576" s="1" t="s">
        <v>95</v>
      </c>
      <c r="C576" s="4">
        <v>6</v>
      </c>
      <c r="D576" s="8">
        <v>2.96</v>
      </c>
      <c r="E576" s="4">
        <v>3</v>
      </c>
      <c r="F576" s="8">
        <v>2.27</v>
      </c>
      <c r="G576" s="4">
        <v>3</v>
      </c>
      <c r="H576" s="8">
        <v>4.62</v>
      </c>
      <c r="I576" s="4">
        <v>0</v>
      </c>
    </row>
    <row r="577" spans="1:9" x14ac:dyDescent="0.2">
      <c r="A577" s="2">
        <v>15</v>
      </c>
      <c r="B577" s="1" t="s">
        <v>74</v>
      </c>
      <c r="C577" s="4">
        <v>5</v>
      </c>
      <c r="D577" s="8">
        <v>2.46</v>
      </c>
      <c r="E577" s="4">
        <v>4</v>
      </c>
      <c r="F577" s="8">
        <v>3.03</v>
      </c>
      <c r="G577" s="4">
        <v>1</v>
      </c>
      <c r="H577" s="8">
        <v>1.54</v>
      </c>
      <c r="I577" s="4">
        <v>0</v>
      </c>
    </row>
    <row r="578" spans="1:9" x14ac:dyDescent="0.2">
      <c r="A578" s="2">
        <v>16</v>
      </c>
      <c r="B578" s="1" t="s">
        <v>92</v>
      </c>
      <c r="C578" s="4">
        <v>3</v>
      </c>
      <c r="D578" s="8">
        <v>1.48</v>
      </c>
      <c r="E578" s="4">
        <v>0</v>
      </c>
      <c r="F578" s="8">
        <v>0</v>
      </c>
      <c r="G578" s="4">
        <v>3</v>
      </c>
      <c r="H578" s="8">
        <v>4.62</v>
      </c>
      <c r="I578" s="4">
        <v>0</v>
      </c>
    </row>
    <row r="579" spans="1:9" x14ac:dyDescent="0.2">
      <c r="A579" s="2">
        <v>16</v>
      </c>
      <c r="B579" s="1" t="s">
        <v>87</v>
      </c>
      <c r="C579" s="4">
        <v>3</v>
      </c>
      <c r="D579" s="8">
        <v>1.48</v>
      </c>
      <c r="E579" s="4">
        <v>2</v>
      </c>
      <c r="F579" s="8">
        <v>1.52</v>
      </c>
      <c r="G579" s="4">
        <v>1</v>
      </c>
      <c r="H579" s="8">
        <v>1.54</v>
      </c>
      <c r="I579" s="4">
        <v>0</v>
      </c>
    </row>
    <row r="580" spans="1:9" x14ac:dyDescent="0.2">
      <c r="A580" s="2">
        <v>16</v>
      </c>
      <c r="B580" s="1" t="s">
        <v>72</v>
      </c>
      <c r="C580" s="4">
        <v>3</v>
      </c>
      <c r="D580" s="8">
        <v>1.48</v>
      </c>
      <c r="E580" s="4">
        <v>2</v>
      </c>
      <c r="F580" s="8">
        <v>1.52</v>
      </c>
      <c r="G580" s="4">
        <v>1</v>
      </c>
      <c r="H580" s="8">
        <v>1.54</v>
      </c>
      <c r="I580" s="4">
        <v>0</v>
      </c>
    </row>
    <row r="581" spans="1:9" x14ac:dyDescent="0.2">
      <c r="A581" s="2">
        <v>16</v>
      </c>
      <c r="B581" s="1" t="s">
        <v>78</v>
      </c>
      <c r="C581" s="4">
        <v>3</v>
      </c>
      <c r="D581" s="8">
        <v>1.48</v>
      </c>
      <c r="E581" s="4">
        <v>3</v>
      </c>
      <c r="F581" s="8">
        <v>2.27</v>
      </c>
      <c r="G581" s="4">
        <v>0</v>
      </c>
      <c r="H581" s="8">
        <v>0</v>
      </c>
      <c r="I581" s="4">
        <v>0</v>
      </c>
    </row>
    <row r="582" spans="1:9" x14ac:dyDescent="0.2">
      <c r="A582" s="2">
        <v>16</v>
      </c>
      <c r="B582" s="1" t="s">
        <v>79</v>
      </c>
      <c r="C582" s="4">
        <v>3</v>
      </c>
      <c r="D582" s="8">
        <v>1.48</v>
      </c>
      <c r="E582" s="4">
        <v>3</v>
      </c>
      <c r="F582" s="8">
        <v>2.27</v>
      </c>
      <c r="G582" s="4">
        <v>0</v>
      </c>
      <c r="H582" s="8">
        <v>0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27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75</v>
      </c>
      <c r="C585" s="4">
        <v>24</v>
      </c>
      <c r="D585" s="8">
        <v>12.97</v>
      </c>
      <c r="E585" s="4">
        <v>11</v>
      </c>
      <c r="F585" s="8">
        <v>9.09</v>
      </c>
      <c r="G585" s="4">
        <v>13</v>
      </c>
      <c r="H585" s="8">
        <v>21.67</v>
      </c>
      <c r="I585" s="4">
        <v>0</v>
      </c>
    </row>
    <row r="586" spans="1:9" x14ac:dyDescent="0.2">
      <c r="A586" s="2">
        <v>2</v>
      </c>
      <c r="B586" s="1" t="s">
        <v>82</v>
      </c>
      <c r="C586" s="4">
        <v>23</v>
      </c>
      <c r="D586" s="8">
        <v>12.43</v>
      </c>
      <c r="E586" s="4">
        <v>22</v>
      </c>
      <c r="F586" s="8">
        <v>18.18</v>
      </c>
      <c r="G586" s="4">
        <v>1</v>
      </c>
      <c r="H586" s="8">
        <v>1.67</v>
      </c>
      <c r="I586" s="4">
        <v>0</v>
      </c>
    </row>
    <row r="587" spans="1:9" x14ac:dyDescent="0.2">
      <c r="A587" s="2">
        <v>3</v>
      </c>
      <c r="B587" s="1" t="s">
        <v>73</v>
      </c>
      <c r="C587" s="4">
        <v>22</v>
      </c>
      <c r="D587" s="8">
        <v>11.89</v>
      </c>
      <c r="E587" s="4">
        <v>20</v>
      </c>
      <c r="F587" s="8">
        <v>16.53</v>
      </c>
      <c r="G587" s="4">
        <v>2</v>
      </c>
      <c r="H587" s="8">
        <v>3.33</v>
      </c>
      <c r="I587" s="4">
        <v>0</v>
      </c>
    </row>
    <row r="588" spans="1:9" x14ac:dyDescent="0.2">
      <c r="A588" s="2">
        <v>4</v>
      </c>
      <c r="B588" s="1" t="s">
        <v>81</v>
      </c>
      <c r="C588" s="4">
        <v>13</v>
      </c>
      <c r="D588" s="8">
        <v>7.03</v>
      </c>
      <c r="E588" s="4">
        <v>10</v>
      </c>
      <c r="F588" s="8">
        <v>8.26</v>
      </c>
      <c r="G588" s="4">
        <v>3</v>
      </c>
      <c r="H588" s="8">
        <v>5</v>
      </c>
      <c r="I588" s="4">
        <v>0</v>
      </c>
    </row>
    <row r="589" spans="1:9" x14ac:dyDescent="0.2">
      <c r="A589" s="2">
        <v>5</v>
      </c>
      <c r="B589" s="1" t="s">
        <v>74</v>
      </c>
      <c r="C589" s="4">
        <v>10</v>
      </c>
      <c r="D589" s="8">
        <v>5.41</v>
      </c>
      <c r="E589" s="4">
        <v>9</v>
      </c>
      <c r="F589" s="8">
        <v>7.44</v>
      </c>
      <c r="G589" s="4">
        <v>1</v>
      </c>
      <c r="H589" s="8">
        <v>1.67</v>
      </c>
      <c r="I589" s="4">
        <v>0</v>
      </c>
    </row>
    <row r="590" spans="1:9" x14ac:dyDescent="0.2">
      <c r="A590" s="2">
        <v>6</v>
      </c>
      <c r="B590" s="1" t="s">
        <v>67</v>
      </c>
      <c r="C590" s="4">
        <v>9</v>
      </c>
      <c r="D590" s="8">
        <v>4.8600000000000003</v>
      </c>
      <c r="E590" s="4">
        <v>1</v>
      </c>
      <c r="F590" s="8">
        <v>0.83</v>
      </c>
      <c r="G590" s="4">
        <v>8</v>
      </c>
      <c r="H590" s="8">
        <v>13.33</v>
      </c>
      <c r="I590" s="4">
        <v>0</v>
      </c>
    </row>
    <row r="591" spans="1:9" x14ac:dyDescent="0.2">
      <c r="A591" s="2">
        <v>6</v>
      </c>
      <c r="B591" s="1" t="s">
        <v>86</v>
      </c>
      <c r="C591" s="4">
        <v>9</v>
      </c>
      <c r="D591" s="8">
        <v>4.8600000000000003</v>
      </c>
      <c r="E591" s="4">
        <v>9</v>
      </c>
      <c r="F591" s="8">
        <v>7.44</v>
      </c>
      <c r="G591" s="4">
        <v>0</v>
      </c>
      <c r="H591" s="8">
        <v>0</v>
      </c>
      <c r="I591" s="4">
        <v>0</v>
      </c>
    </row>
    <row r="592" spans="1:9" x14ac:dyDescent="0.2">
      <c r="A592" s="2">
        <v>8</v>
      </c>
      <c r="B592" s="1" t="s">
        <v>84</v>
      </c>
      <c r="C592" s="4">
        <v>7</v>
      </c>
      <c r="D592" s="8">
        <v>3.78</v>
      </c>
      <c r="E592" s="4">
        <v>7</v>
      </c>
      <c r="F592" s="8">
        <v>5.79</v>
      </c>
      <c r="G592" s="4">
        <v>0</v>
      </c>
      <c r="H592" s="8">
        <v>0</v>
      </c>
      <c r="I592" s="4">
        <v>0</v>
      </c>
    </row>
    <row r="593" spans="1:9" x14ac:dyDescent="0.2">
      <c r="A593" s="2">
        <v>9</v>
      </c>
      <c r="B593" s="1" t="s">
        <v>69</v>
      </c>
      <c r="C593" s="4">
        <v>6</v>
      </c>
      <c r="D593" s="8">
        <v>3.24</v>
      </c>
      <c r="E593" s="4">
        <v>3</v>
      </c>
      <c r="F593" s="8">
        <v>2.48</v>
      </c>
      <c r="G593" s="4">
        <v>3</v>
      </c>
      <c r="H593" s="8">
        <v>5</v>
      </c>
      <c r="I593" s="4">
        <v>0</v>
      </c>
    </row>
    <row r="594" spans="1:9" x14ac:dyDescent="0.2">
      <c r="A594" s="2">
        <v>9</v>
      </c>
      <c r="B594" s="1" t="s">
        <v>72</v>
      </c>
      <c r="C594" s="4">
        <v>6</v>
      </c>
      <c r="D594" s="8">
        <v>3.24</v>
      </c>
      <c r="E594" s="4">
        <v>5</v>
      </c>
      <c r="F594" s="8">
        <v>4.13</v>
      </c>
      <c r="G594" s="4">
        <v>1</v>
      </c>
      <c r="H594" s="8">
        <v>1.67</v>
      </c>
      <c r="I594" s="4">
        <v>0</v>
      </c>
    </row>
    <row r="595" spans="1:9" x14ac:dyDescent="0.2">
      <c r="A595" s="2">
        <v>11</v>
      </c>
      <c r="B595" s="1" t="s">
        <v>68</v>
      </c>
      <c r="C595" s="4">
        <v>5</v>
      </c>
      <c r="D595" s="8">
        <v>2.7</v>
      </c>
      <c r="E595" s="4">
        <v>5</v>
      </c>
      <c r="F595" s="8">
        <v>4.13</v>
      </c>
      <c r="G595" s="4">
        <v>0</v>
      </c>
      <c r="H595" s="8">
        <v>0</v>
      </c>
      <c r="I595" s="4">
        <v>0</v>
      </c>
    </row>
    <row r="596" spans="1:9" x14ac:dyDescent="0.2">
      <c r="A596" s="2">
        <v>11</v>
      </c>
      <c r="B596" s="1" t="s">
        <v>71</v>
      </c>
      <c r="C596" s="4">
        <v>5</v>
      </c>
      <c r="D596" s="8">
        <v>2.7</v>
      </c>
      <c r="E596" s="4">
        <v>3</v>
      </c>
      <c r="F596" s="8">
        <v>2.48</v>
      </c>
      <c r="G596" s="4">
        <v>2</v>
      </c>
      <c r="H596" s="8">
        <v>3.33</v>
      </c>
      <c r="I596" s="4">
        <v>0</v>
      </c>
    </row>
    <row r="597" spans="1:9" x14ac:dyDescent="0.2">
      <c r="A597" s="2">
        <v>11</v>
      </c>
      <c r="B597" s="1" t="s">
        <v>85</v>
      </c>
      <c r="C597" s="4">
        <v>5</v>
      </c>
      <c r="D597" s="8">
        <v>2.7</v>
      </c>
      <c r="E597" s="4">
        <v>0</v>
      </c>
      <c r="F597" s="8">
        <v>0</v>
      </c>
      <c r="G597" s="4">
        <v>5</v>
      </c>
      <c r="H597" s="8">
        <v>8.33</v>
      </c>
      <c r="I597" s="4">
        <v>0</v>
      </c>
    </row>
    <row r="598" spans="1:9" x14ac:dyDescent="0.2">
      <c r="A598" s="2">
        <v>14</v>
      </c>
      <c r="B598" s="1" t="s">
        <v>70</v>
      </c>
      <c r="C598" s="4">
        <v>4</v>
      </c>
      <c r="D598" s="8">
        <v>2.16</v>
      </c>
      <c r="E598" s="4">
        <v>2</v>
      </c>
      <c r="F598" s="8">
        <v>1.65</v>
      </c>
      <c r="G598" s="4">
        <v>2</v>
      </c>
      <c r="H598" s="8">
        <v>3.33</v>
      </c>
      <c r="I598" s="4">
        <v>0</v>
      </c>
    </row>
    <row r="599" spans="1:9" x14ac:dyDescent="0.2">
      <c r="A599" s="2">
        <v>14</v>
      </c>
      <c r="B599" s="1" t="s">
        <v>90</v>
      </c>
      <c r="C599" s="4">
        <v>4</v>
      </c>
      <c r="D599" s="8">
        <v>2.16</v>
      </c>
      <c r="E599" s="4">
        <v>0</v>
      </c>
      <c r="F599" s="8">
        <v>0</v>
      </c>
      <c r="G599" s="4">
        <v>4</v>
      </c>
      <c r="H599" s="8">
        <v>6.67</v>
      </c>
      <c r="I599" s="4">
        <v>0</v>
      </c>
    </row>
    <row r="600" spans="1:9" x14ac:dyDescent="0.2">
      <c r="A600" s="2">
        <v>14</v>
      </c>
      <c r="B600" s="1" t="s">
        <v>83</v>
      </c>
      <c r="C600" s="4">
        <v>4</v>
      </c>
      <c r="D600" s="8">
        <v>2.16</v>
      </c>
      <c r="E600" s="4">
        <v>3</v>
      </c>
      <c r="F600" s="8">
        <v>2.48</v>
      </c>
      <c r="G600" s="4">
        <v>0</v>
      </c>
      <c r="H600" s="8">
        <v>0</v>
      </c>
      <c r="I600" s="4">
        <v>0</v>
      </c>
    </row>
    <row r="601" spans="1:9" x14ac:dyDescent="0.2">
      <c r="A601" s="2">
        <v>17</v>
      </c>
      <c r="B601" s="1" t="s">
        <v>87</v>
      </c>
      <c r="C601" s="4">
        <v>3</v>
      </c>
      <c r="D601" s="8">
        <v>1.62</v>
      </c>
      <c r="E601" s="4">
        <v>2</v>
      </c>
      <c r="F601" s="8">
        <v>1.65</v>
      </c>
      <c r="G601" s="4">
        <v>1</v>
      </c>
      <c r="H601" s="8">
        <v>1.67</v>
      </c>
      <c r="I601" s="4">
        <v>0</v>
      </c>
    </row>
    <row r="602" spans="1:9" x14ac:dyDescent="0.2">
      <c r="A602" s="2">
        <v>18</v>
      </c>
      <c r="B602" s="1" t="s">
        <v>104</v>
      </c>
      <c r="C602" s="4">
        <v>2</v>
      </c>
      <c r="D602" s="8">
        <v>1.08</v>
      </c>
      <c r="E602" s="4">
        <v>0</v>
      </c>
      <c r="F602" s="8">
        <v>0</v>
      </c>
      <c r="G602" s="4">
        <v>2</v>
      </c>
      <c r="H602" s="8">
        <v>3.33</v>
      </c>
      <c r="I602" s="4">
        <v>0</v>
      </c>
    </row>
    <row r="603" spans="1:9" x14ac:dyDescent="0.2">
      <c r="A603" s="2">
        <v>18</v>
      </c>
      <c r="B603" s="1" t="s">
        <v>88</v>
      </c>
      <c r="C603" s="4">
        <v>2</v>
      </c>
      <c r="D603" s="8">
        <v>1.08</v>
      </c>
      <c r="E603" s="4">
        <v>0</v>
      </c>
      <c r="F603" s="8">
        <v>0</v>
      </c>
      <c r="G603" s="4">
        <v>2</v>
      </c>
      <c r="H603" s="8">
        <v>3.33</v>
      </c>
      <c r="I603" s="4">
        <v>0</v>
      </c>
    </row>
    <row r="604" spans="1:9" x14ac:dyDescent="0.2">
      <c r="A604" s="2">
        <v>18</v>
      </c>
      <c r="B604" s="1" t="s">
        <v>89</v>
      </c>
      <c r="C604" s="4">
        <v>2</v>
      </c>
      <c r="D604" s="8">
        <v>1.08</v>
      </c>
      <c r="E604" s="4">
        <v>1</v>
      </c>
      <c r="F604" s="8">
        <v>0.83</v>
      </c>
      <c r="G604" s="4">
        <v>1</v>
      </c>
      <c r="H604" s="8">
        <v>1.67</v>
      </c>
      <c r="I604" s="4">
        <v>0</v>
      </c>
    </row>
    <row r="605" spans="1:9" x14ac:dyDescent="0.2">
      <c r="A605" s="2">
        <v>18</v>
      </c>
      <c r="B605" s="1" t="s">
        <v>77</v>
      </c>
      <c r="C605" s="4">
        <v>2</v>
      </c>
      <c r="D605" s="8">
        <v>1.08</v>
      </c>
      <c r="E605" s="4">
        <v>0</v>
      </c>
      <c r="F605" s="8">
        <v>0</v>
      </c>
      <c r="G605" s="4">
        <v>1</v>
      </c>
      <c r="H605" s="8">
        <v>1.67</v>
      </c>
      <c r="I605" s="4">
        <v>0</v>
      </c>
    </row>
    <row r="606" spans="1:9" x14ac:dyDescent="0.2">
      <c r="A606" s="2">
        <v>18</v>
      </c>
      <c r="B606" s="1" t="s">
        <v>80</v>
      </c>
      <c r="C606" s="4">
        <v>2</v>
      </c>
      <c r="D606" s="8">
        <v>1.08</v>
      </c>
      <c r="E606" s="4">
        <v>0</v>
      </c>
      <c r="F606" s="8">
        <v>0</v>
      </c>
      <c r="G606" s="4">
        <v>2</v>
      </c>
      <c r="H606" s="8">
        <v>3.33</v>
      </c>
      <c r="I606" s="4">
        <v>0</v>
      </c>
    </row>
    <row r="607" spans="1:9" x14ac:dyDescent="0.2">
      <c r="A607" s="2">
        <v>18</v>
      </c>
      <c r="B607" s="1" t="s">
        <v>91</v>
      </c>
      <c r="C607" s="4">
        <v>2</v>
      </c>
      <c r="D607" s="8">
        <v>1.08</v>
      </c>
      <c r="E607" s="4">
        <v>1</v>
      </c>
      <c r="F607" s="8">
        <v>0.83</v>
      </c>
      <c r="G607" s="4">
        <v>1</v>
      </c>
      <c r="H607" s="8">
        <v>1.67</v>
      </c>
      <c r="I607" s="4">
        <v>0</v>
      </c>
    </row>
    <row r="608" spans="1:9" x14ac:dyDescent="0.2">
      <c r="A608" s="2">
        <v>18</v>
      </c>
      <c r="B608" s="1" t="s">
        <v>94</v>
      </c>
      <c r="C608" s="4">
        <v>2</v>
      </c>
      <c r="D608" s="8">
        <v>1.08</v>
      </c>
      <c r="E608" s="4">
        <v>2</v>
      </c>
      <c r="F608" s="8">
        <v>1.65</v>
      </c>
      <c r="G608" s="4">
        <v>0</v>
      </c>
      <c r="H608" s="8">
        <v>0</v>
      </c>
      <c r="I608" s="4">
        <v>0</v>
      </c>
    </row>
    <row r="609" spans="1:9" x14ac:dyDescent="0.2">
      <c r="A609" s="2">
        <v>18</v>
      </c>
      <c r="B609" s="1" t="s">
        <v>111</v>
      </c>
      <c r="C609" s="4">
        <v>2</v>
      </c>
      <c r="D609" s="8">
        <v>1.08</v>
      </c>
      <c r="E609" s="4">
        <v>0</v>
      </c>
      <c r="F609" s="8">
        <v>0</v>
      </c>
      <c r="G609" s="4">
        <v>1</v>
      </c>
      <c r="H609" s="8">
        <v>1.67</v>
      </c>
      <c r="I609" s="4">
        <v>0</v>
      </c>
    </row>
    <row r="610" spans="1:9" x14ac:dyDescent="0.2">
      <c r="A610" s="1"/>
      <c r="C610" s="4"/>
      <c r="D610" s="8"/>
      <c r="E610" s="4"/>
      <c r="F610" s="8"/>
      <c r="G610" s="4"/>
      <c r="H610" s="8"/>
      <c r="I610" s="4"/>
    </row>
    <row r="611" spans="1:9" x14ac:dyDescent="0.2">
      <c r="A611" s="1" t="s">
        <v>28</v>
      </c>
      <c r="C611" s="4"/>
      <c r="D611" s="8"/>
      <c r="E611" s="4"/>
      <c r="F611" s="8"/>
      <c r="G611" s="4"/>
      <c r="H611" s="8"/>
      <c r="I611" s="4"/>
    </row>
    <row r="612" spans="1:9" x14ac:dyDescent="0.2">
      <c r="A612" s="2">
        <v>1</v>
      </c>
      <c r="B612" s="1" t="s">
        <v>73</v>
      </c>
      <c r="C612" s="4">
        <v>28</v>
      </c>
      <c r="D612" s="8">
        <v>14.07</v>
      </c>
      <c r="E612" s="4">
        <v>25</v>
      </c>
      <c r="F612" s="8">
        <v>18.940000000000001</v>
      </c>
      <c r="G612" s="4">
        <v>3</v>
      </c>
      <c r="H612" s="8">
        <v>4.92</v>
      </c>
      <c r="I612" s="4">
        <v>0</v>
      </c>
    </row>
    <row r="613" spans="1:9" x14ac:dyDescent="0.2">
      <c r="A613" s="2">
        <v>2</v>
      </c>
      <c r="B613" s="1" t="s">
        <v>82</v>
      </c>
      <c r="C613" s="4">
        <v>21</v>
      </c>
      <c r="D613" s="8">
        <v>10.55</v>
      </c>
      <c r="E613" s="4">
        <v>21</v>
      </c>
      <c r="F613" s="8">
        <v>15.91</v>
      </c>
      <c r="G613" s="4">
        <v>0</v>
      </c>
      <c r="H613" s="8">
        <v>0</v>
      </c>
      <c r="I613" s="4">
        <v>0</v>
      </c>
    </row>
    <row r="614" spans="1:9" x14ac:dyDescent="0.2">
      <c r="A614" s="2">
        <v>3</v>
      </c>
      <c r="B614" s="1" t="s">
        <v>75</v>
      </c>
      <c r="C614" s="4">
        <v>17</v>
      </c>
      <c r="D614" s="8">
        <v>8.5399999999999991</v>
      </c>
      <c r="E614" s="4">
        <v>9</v>
      </c>
      <c r="F614" s="8">
        <v>6.82</v>
      </c>
      <c r="G614" s="4">
        <v>8</v>
      </c>
      <c r="H614" s="8">
        <v>13.11</v>
      </c>
      <c r="I614" s="4">
        <v>0</v>
      </c>
    </row>
    <row r="615" spans="1:9" x14ac:dyDescent="0.2">
      <c r="A615" s="2">
        <v>4</v>
      </c>
      <c r="B615" s="1" t="s">
        <v>67</v>
      </c>
      <c r="C615" s="4">
        <v>14</v>
      </c>
      <c r="D615" s="8">
        <v>7.04</v>
      </c>
      <c r="E615" s="4">
        <v>3</v>
      </c>
      <c r="F615" s="8">
        <v>2.27</v>
      </c>
      <c r="G615" s="4">
        <v>11</v>
      </c>
      <c r="H615" s="8">
        <v>18.03</v>
      </c>
      <c r="I615" s="4">
        <v>0</v>
      </c>
    </row>
    <row r="616" spans="1:9" x14ac:dyDescent="0.2">
      <c r="A616" s="2">
        <v>4</v>
      </c>
      <c r="B616" s="1" t="s">
        <v>81</v>
      </c>
      <c r="C616" s="4">
        <v>14</v>
      </c>
      <c r="D616" s="8">
        <v>7.04</v>
      </c>
      <c r="E616" s="4">
        <v>13</v>
      </c>
      <c r="F616" s="8">
        <v>9.85</v>
      </c>
      <c r="G616" s="4">
        <v>1</v>
      </c>
      <c r="H616" s="8">
        <v>1.64</v>
      </c>
      <c r="I616" s="4">
        <v>0</v>
      </c>
    </row>
    <row r="617" spans="1:9" x14ac:dyDescent="0.2">
      <c r="A617" s="2">
        <v>6</v>
      </c>
      <c r="B617" s="1" t="s">
        <v>68</v>
      </c>
      <c r="C617" s="4">
        <v>8</v>
      </c>
      <c r="D617" s="8">
        <v>4.0199999999999996</v>
      </c>
      <c r="E617" s="4">
        <v>6</v>
      </c>
      <c r="F617" s="8">
        <v>4.55</v>
      </c>
      <c r="G617" s="4">
        <v>2</v>
      </c>
      <c r="H617" s="8">
        <v>3.28</v>
      </c>
      <c r="I617" s="4">
        <v>0</v>
      </c>
    </row>
    <row r="618" spans="1:9" x14ac:dyDescent="0.2">
      <c r="A618" s="2">
        <v>6</v>
      </c>
      <c r="B618" s="1" t="s">
        <v>94</v>
      </c>
      <c r="C618" s="4">
        <v>8</v>
      </c>
      <c r="D618" s="8">
        <v>4.0199999999999996</v>
      </c>
      <c r="E618" s="4">
        <v>8</v>
      </c>
      <c r="F618" s="8">
        <v>6.06</v>
      </c>
      <c r="G618" s="4">
        <v>0</v>
      </c>
      <c r="H618" s="8">
        <v>0</v>
      </c>
      <c r="I618" s="4">
        <v>0</v>
      </c>
    </row>
    <row r="619" spans="1:9" x14ac:dyDescent="0.2">
      <c r="A619" s="2">
        <v>8</v>
      </c>
      <c r="B619" s="1" t="s">
        <v>69</v>
      </c>
      <c r="C619" s="4">
        <v>6</v>
      </c>
      <c r="D619" s="8">
        <v>3.02</v>
      </c>
      <c r="E619" s="4">
        <v>6</v>
      </c>
      <c r="F619" s="8">
        <v>4.55</v>
      </c>
      <c r="G619" s="4">
        <v>0</v>
      </c>
      <c r="H619" s="8">
        <v>0</v>
      </c>
      <c r="I619" s="4">
        <v>0</v>
      </c>
    </row>
    <row r="620" spans="1:9" x14ac:dyDescent="0.2">
      <c r="A620" s="2">
        <v>9</v>
      </c>
      <c r="B620" s="1" t="s">
        <v>70</v>
      </c>
      <c r="C620" s="4">
        <v>5</v>
      </c>
      <c r="D620" s="8">
        <v>2.5099999999999998</v>
      </c>
      <c r="E620" s="4">
        <v>3</v>
      </c>
      <c r="F620" s="8">
        <v>2.27</v>
      </c>
      <c r="G620" s="4">
        <v>2</v>
      </c>
      <c r="H620" s="8">
        <v>3.28</v>
      </c>
      <c r="I620" s="4">
        <v>0</v>
      </c>
    </row>
    <row r="621" spans="1:9" x14ac:dyDescent="0.2">
      <c r="A621" s="2">
        <v>9</v>
      </c>
      <c r="B621" s="1" t="s">
        <v>74</v>
      </c>
      <c r="C621" s="4">
        <v>5</v>
      </c>
      <c r="D621" s="8">
        <v>2.5099999999999998</v>
      </c>
      <c r="E621" s="4">
        <v>3</v>
      </c>
      <c r="F621" s="8">
        <v>2.27</v>
      </c>
      <c r="G621" s="4">
        <v>2</v>
      </c>
      <c r="H621" s="8">
        <v>3.28</v>
      </c>
      <c r="I621" s="4">
        <v>0</v>
      </c>
    </row>
    <row r="622" spans="1:9" x14ac:dyDescent="0.2">
      <c r="A622" s="2">
        <v>9</v>
      </c>
      <c r="B622" s="1" t="s">
        <v>77</v>
      </c>
      <c r="C622" s="4">
        <v>5</v>
      </c>
      <c r="D622" s="8">
        <v>2.5099999999999998</v>
      </c>
      <c r="E622" s="4">
        <v>5</v>
      </c>
      <c r="F622" s="8">
        <v>3.79</v>
      </c>
      <c r="G622" s="4">
        <v>0</v>
      </c>
      <c r="H622" s="8">
        <v>0</v>
      </c>
      <c r="I622" s="4">
        <v>0</v>
      </c>
    </row>
    <row r="623" spans="1:9" x14ac:dyDescent="0.2">
      <c r="A623" s="2">
        <v>9</v>
      </c>
      <c r="B623" s="1" t="s">
        <v>83</v>
      </c>
      <c r="C623" s="4">
        <v>5</v>
      </c>
      <c r="D623" s="8">
        <v>2.5099999999999998</v>
      </c>
      <c r="E623" s="4">
        <v>3</v>
      </c>
      <c r="F623" s="8">
        <v>2.27</v>
      </c>
      <c r="G623" s="4">
        <v>1</v>
      </c>
      <c r="H623" s="8">
        <v>1.64</v>
      </c>
      <c r="I623" s="4">
        <v>0</v>
      </c>
    </row>
    <row r="624" spans="1:9" x14ac:dyDescent="0.2">
      <c r="A624" s="2">
        <v>9</v>
      </c>
      <c r="B624" s="1" t="s">
        <v>84</v>
      </c>
      <c r="C624" s="4">
        <v>5</v>
      </c>
      <c r="D624" s="8">
        <v>2.5099999999999998</v>
      </c>
      <c r="E624" s="4">
        <v>5</v>
      </c>
      <c r="F624" s="8">
        <v>3.79</v>
      </c>
      <c r="G624" s="4">
        <v>0</v>
      </c>
      <c r="H624" s="8">
        <v>0</v>
      </c>
      <c r="I624" s="4">
        <v>0</v>
      </c>
    </row>
    <row r="625" spans="1:9" x14ac:dyDescent="0.2">
      <c r="A625" s="2">
        <v>14</v>
      </c>
      <c r="B625" s="1" t="s">
        <v>79</v>
      </c>
      <c r="C625" s="4">
        <v>4</v>
      </c>
      <c r="D625" s="8">
        <v>2.0099999999999998</v>
      </c>
      <c r="E625" s="4">
        <v>1</v>
      </c>
      <c r="F625" s="8">
        <v>0.76</v>
      </c>
      <c r="G625" s="4">
        <v>3</v>
      </c>
      <c r="H625" s="8">
        <v>4.92</v>
      </c>
      <c r="I625" s="4">
        <v>0</v>
      </c>
    </row>
    <row r="626" spans="1:9" x14ac:dyDescent="0.2">
      <c r="A626" s="2">
        <v>14</v>
      </c>
      <c r="B626" s="1" t="s">
        <v>80</v>
      </c>
      <c r="C626" s="4">
        <v>4</v>
      </c>
      <c r="D626" s="8">
        <v>2.0099999999999998</v>
      </c>
      <c r="E626" s="4">
        <v>3</v>
      </c>
      <c r="F626" s="8">
        <v>2.27</v>
      </c>
      <c r="G626" s="4">
        <v>1</v>
      </c>
      <c r="H626" s="8">
        <v>1.64</v>
      </c>
      <c r="I626" s="4">
        <v>0</v>
      </c>
    </row>
    <row r="627" spans="1:9" x14ac:dyDescent="0.2">
      <c r="A627" s="2">
        <v>14</v>
      </c>
      <c r="B627" s="1" t="s">
        <v>85</v>
      </c>
      <c r="C627" s="4">
        <v>4</v>
      </c>
      <c r="D627" s="8">
        <v>2.0099999999999998</v>
      </c>
      <c r="E627" s="4">
        <v>0</v>
      </c>
      <c r="F627" s="8">
        <v>0</v>
      </c>
      <c r="G627" s="4">
        <v>3</v>
      </c>
      <c r="H627" s="8">
        <v>4.92</v>
      </c>
      <c r="I627" s="4">
        <v>0</v>
      </c>
    </row>
    <row r="628" spans="1:9" x14ac:dyDescent="0.2">
      <c r="A628" s="2">
        <v>14</v>
      </c>
      <c r="B628" s="1" t="s">
        <v>86</v>
      </c>
      <c r="C628" s="4">
        <v>4</v>
      </c>
      <c r="D628" s="8">
        <v>2.0099999999999998</v>
      </c>
      <c r="E628" s="4">
        <v>4</v>
      </c>
      <c r="F628" s="8">
        <v>3.03</v>
      </c>
      <c r="G628" s="4">
        <v>0</v>
      </c>
      <c r="H628" s="8">
        <v>0</v>
      </c>
      <c r="I628" s="4">
        <v>0</v>
      </c>
    </row>
    <row r="629" spans="1:9" x14ac:dyDescent="0.2">
      <c r="A629" s="2">
        <v>18</v>
      </c>
      <c r="B629" s="1" t="s">
        <v>90</v>
      </c>
      <c r="C629" s="4">
        <v>3</v>
      </c>
      <c r="D629" s="8">
        <v>1.51</v>
      </c>
      <c r="E629" s="4">
        <v>0</v>
      </c>
      <c r="F629" s="8">
        <v>0</v>
      </c>
      <c r="G629" s="4">
        <v>2</v>
      </c>
      <c r="H629" s="8">
        <v>3.28</v>
      </c>
      <c r="I629" s="4">
        <v>1</v>
      </c>
    </row>
    <row r="630" spans="1:9" x14ac:dyDescent="0.2">
      <c r="A630" s="2">
        <v>18</v>
      </c>
      <c r="B630" s="1" t="s">
        <v>103</v>
      </c>
      <c r="C630" s="4">
        <v>3</v>
      </c>
      <c r="D630" s="8">
        <v>1.51</v>
      </c>
      <c r="E630" s="4">
        <v>2</v>
      </c>
      <c r="F630" s="8">
        <v>1.52</v>
      </c>
      <c r="G630" s="4">
        <v>1</v>
      </c>
      <c r="H630" s="8">
        <v>1.64</v>
      </c>
      <c r="I630" s="4">
        <v>0</v>
      </c>
    </row>
    <row r="631" spans="1:9" x14ac:dyDescent="0.2">
      <c r="A631" s="2">
        <v>18</v>
      </c>
      <c r="B631" s="1" t="s">
        <v>71</v>
      </c>
      <c r="C631" s="4">
        <v>3</v>
      </c>
      <c r="D631" s="8">
        <v>1.51</v>
      </c>
      <c r="E631" s="4">
        <v>0</v>
      </c>
      <c r="F631" s="8">
        <v>0</v>
      </c>
      <c r="G631" s="4">
        <v>3</v>
      </c>
      <c r="H631" s="8">
        <v>4.92</v>
      </c>
      <c r="I631" s="4">
        <v>0</v>
      </c>
    </row>
    <row r="632" spans="1:9" x14ac:dyDescent="0.2">
      <c r="A632" s="2">
        <v>18</v>
      </c>
      <c r="B632" s="1" t="s">
        <v>72</v>
      </c>
      <c r="C632" s="4">
        <v>3</v>
      </c>
      <c r="D632" s="8">
        <v>1.51</v>
      </c>
      <c r="E632" s="4">
        <v>2</v>
      </c>
      <c r="F632" s="8">
        <v>1.52</v>
      </c>
      <c r="G632" s="4">
        <v>1</v>
      </c>
      <c r="H632" s="8">
        <v>1.64</v>
      </c>
      <c r="I632" s="4">
        <v>0</v>
      </c>
    </row>
    <row r="633" spans="1:9" x14ac:dyDescent="0.2">
      <c r="A633" s="2">
        <v>18</v>
      </c>
      <c r="B633" s="1" t="s">
        <v>111</v>
      </c>
      <c r="C633" s="4">
        <v>3</v>
      </c>
      <c r="D633" s="8">
        <v>1.51</v>
      </c>
      <c r="E633" s="4">
        <v>0</v>
      </c>
      <c r="F633" s="8">
        <v>0</v>
      </c>
      <c r="G633" s="4">
        <v>3</v>
      </c>
      <c r="H633" s="8">
        <v>4.92</v>
      </c>
      <c r="I633" s="4">
        <v>0</v>
      </c>
    </row>
    <row r="634" spans="1:9" x14ac:dyDescent="0.2">
      <c r="A634" s="1"/>
      <c r="C634" s="4"/>
      <c r="D634" s="8"/>
      <c r="E634" s="4"/>
      <c r="F634" s="8"/>
      <c r="G634" s="4"/>
      <c r="H634" s="8"/>
      <c r="I634" s="4"/>
    </row>
    <row r="635" spans="1:9" x14ac:dyDescent="0.2">
      <c r="A635" s="1" t="s">
        <v>29</v>
      </c>
      <c r="C635" s="4"/>
      <c r="D635" s="8"/>
      <c r="E635" s="4"/>
      <c r="F635" s="8"/>
      <c r="G635" s="4"/>
      <c r="H635" s="8"/>
      <c r="I635" s="4"/>
    </row>
    <row r="636" spans="1:9" x14ac:dyDescent="0.2">
      <c r="A636" s="2">
        <v>1</v>
      </c>
      <c r="B636" s="1" t="s">
        <v>82</v>
      </c>
      <c r="C636" s="4">
        <v>58</v>
      </c>
      <c r="D636" s="8">
        <v>14.76</v>
      </c>
      <c r="E636" s="4">
        <v>54</v>
      </c>
      <c r="F636" s="8">
        <v>21.69</v>
      </c>
      <c r="G636" s="4">
        <v>4</v>
      </c>
      <c r="H636" s="8">
        <v>3.17</v>
      </c>
      <c r="I636" s="4">
        <v>0</v>
      </c>
    </row>
    <row r="637" spans="1:9" x14ac:dyDescent="0.2">
      <c r="A637" s="2">
        <v>2</v>
      </c>
      <c r="B637" s="1" t="s">
        <v>73</v>
      </c>
      <c r="C637" s="4">
        <v>39</v>
      </c>
      <c r="D637" s="8">
        <v>9.92</v>
      </c>
      <c r="E637" s="4">
        <v>30</v>
      </c>
      <c r="F637" s="8">
        <v>12.05</v>
      </c>
      <c r="G637" s="4">
        <v>8</v>
      </c>
      <c r="H637" s="8">
        <v>6.35</v>
      </c>
      <c r="I637" s="4">
        <v>1</v>
      </c>
    </row>
    <row r="638" spans="1:9" x14ac:dyDescent="0.2">
      <c r="A638" s="2">
        <v>3</v>
      </c>
      <c r="B638" s="1" t="s">
        <v>75</v>
      </c>
      <c r="C638" s="4">
        <v>36</v>
      </c>
      <c r="D638" s="8">
        <v>9.16</v>
      </c>
      <c r="E638" s="4">
        <v>27</v>
      </c>
      <c r="F638" s="8">
        <v>10.84</v>
      </c>
      <c r="G638" s="4">
        <v>9</v>
      </c>
      <c r="H638" s="8">
        <v>7.14</v>
      </c>
      <c r="I638" s="4">
        <v>0</v>
      </c>
    </row>
    <row r="639" spans="1:9" x14ac:dyDescent="0.2">
      <c r="A639" s="2">
        <v>4</v>
      </c>
      <c r="B639" s="1" t="s">
        <v>81</v>
      </c>
      <c r="C639" s="4">
        <v>32</v>
      </c>
      <c r="D639" s="8">
        <v>8.14</v>
      </c>
      <c r="E639" s="4">
        <v>31</v>
      </c>
      <c r="F639" s="8">
        <v>12.45</v>
      </c>
      <c r="G639" s="4">
        <v>1</v>
      </c>
      <c r="H639" s="8">
        <v>0.79</v>
      </c>
      <c r="I639" s="4">
        <v>0</v>
      </c>
    </row>
    <row r="640" spans="1:9" x14ac:dyDescent="0.2">
      <c r="A640" s="2">
        <v>5</v>
      </c>
      <c r="B640" s="1" t="s">
        <v>67</v>
      </c>
      <c r="C640" s="4">
        <v>31</v>
      </c>
      <c r="D640" s="8">
        <v>7.89</v>
      </c>
      <c r="E640" s="4">
        <v>12</v>
      </c>
      <c r="F640" s="8">
        <v>4.82</v>
      </c>
      <c r="G640" s="4">
        <v>19</v>
      </c>
      <c r="H640" s="8">
        <v>15.08</v>
      </c>
      <c r="I640" s="4">
        <v>0</v>
      </c>
    </row>
    <row r="641" spans="1:9" x14ac:dyDescent="0.2">
      <c r="A641" s="2">
        <v>6</v>
      </c>
      <c r="B641" s="1" t="s">
        <v>74</v>
      </c>
      <c r="C641" s="4">
        <v>30</v>
      </c>
      <c r="D641" s="8">
        <v>7.63</v>
      </c>
      <c r="E641" s="4">
        <v>21</v>
      </c>
      <c r="F641" s="8">
        <v>8.43</v>
      </c>
      <c r="G641" s="4">
        <v>9</v>
      </c>
      <c r="H641" s="8">
        <v>7.14</v>
      </c>
      <c r="I641" s="4">
        <v>0</v>
      </c>
    </row>
    <row r="642" spans="1:9" x14ac:dyDescent="0.2">
      <c r="A642" s="2">
        <v>7</v>
      </c>
      <c r="B642" s="1" t="s">
        <v>83</v>
      </c>
      <c r="C642" s="4">
        <v>19</v>
      </c>
      <c r="D642" s="8">
        <v>4.83</v>
      </c>
      <c r="E642" s="4">
        <v>6</v>
      </c>
      <c r="F642" s="8">
        <v>2.41</v>
      </c>
      <c r="G642" s="4">
        <v>0</v>
      </c>
      <c r="H642" s="8">
        <v>0</v>
      </c>
      <c r="I642" s="4">
        <v>0</v>
      </c>
    </row>
    <row r="643" spans="1:9" x14ac:dyDescent="0.2">
      <c r="A643" s="2">
        <v>8</v>
      </c>
      <c r="B643" s="1" t="s">
        <v>68</v>
      </c>
      <c r="C643" s="4">
        <v>15</v>
      </c>
      <c r="D643" s="8">
        <v>3.82</v>
      </c>
      <c r="E643" s="4">
        <v>12</v>
      </c>
      <c r="F643" s="8">
        <v>4.82</v>
      </c>
      <c r="G643" s="4">
        <v>3</v>
      </c>
      <c r="H643" s="8">
        <v>2.38</v>
      </c>
      <c r="I643" s="4">
        <v>0</v>
      </c>
    </row>
    <row r="644" spans="1:9" x14ac:dyDescent="0.2">
      <c r="A644" s="2">
        <v>9</v>
      </c>
      <c r="B644" s="1" t="s">
        <v>84</v>
      </c>
      <c r="C644" s="4">
        <v>11</v>
      </c>
      <c r="D644" s="8">
        <v>2.8</v>
      </c>
      <c r="E644" s="4">
        <v>9</v>
      </c>
      <c r="F644" s="8">
        <v>3.61</v>
      </c>
      <c r="G644" s="4">
        <v>2</v>
      </c>
      <c r="H644" s="8">
        <v>1.59</v>
      </c>
      <c r="I644" s="4">
        <v>0</v>
      </c>
    </row>
    <row r="645" spans="1:9" x14ac:dyDescent="0.2">
      <c r="A645" s="2">
        <v>10</v>
      </c>
      <c r="B645" s="1" t="s">
        <v>69</v>
      </c>
      <c r="C645" s="4">
        <v>10</v>
      </c>
      <c r="D645" s="8">
        <v>2.54</v>
      </c>
      <c r="E645" s="4">
        <v>6</v>
      </c>
      <c r="F645" s="8">
        <v>2.41</v>
      </c>
      <c r="G645" s="4">
        <v>4</v>
      </c>
      <c r="H645" s="8">
        <v>3.17</v>
      </c>
      <c r="I645" s="4">
        <v>0</v>
      </c>
    </row>
    <row r="646" spans="1:9" x14ac:dyDescent="0.2">
      <c r="A646" s="2">
        <v>11</v>
      </c>
      <c r="B646" s="1" t="s">
        <v>70</v>
      </c>
      <c r="C646" s="4">
        <v>9</v>
      </c>
      <c r="D646" s="8">
        <v>2.29</v>
      </c>
      <c r="E646" s="4">
        <v>6</v>
      </c>
      <c r="F646" s="8">
        <v>2.41</v>
      </c>
      <c r="G646" s="4">
        <v>3</v>
      </c>
      <c r="H646" s="8">
        <v>2.38</v>
      </c>
      <c r="I646" s="4">
        <v>0</v>
      </c>
    </row>
    <row r="647" spans="1:9" x14ac:dyDescent="0.2">
      <c r="A647" s="2">
        <v>11</v>
      </c>
      <c r="B647" s="1" t="s">
        <v>79</v>
      </c>
      <c r="C647" s="4">
        <v>9</v>
      </c>
      <c r="D647" s="8">
        <v>2.29</v>
      </c>
      <c r="E647" s="4">
        <v>2</v>
      </c>
      <c r="F647" s="8">
        <v>0.8</v>
      </c>
      <c r="G647" s="4">
        <v>6</v>
      </c>
      <c r="H647" s="8">
        <v>4.76</v>
      </c>
      <c r="I647" s="4">
        <v>0</v>
      </c>
    </row>
    <row r="648" spans="1:9" x14ac:dyDescent="0.2">
      <c r="A648" s="2">
        <v>13</v>
      </c>
      <c r="B648" s="1" t="s">
        <v>86</v>
      </c>
      <c r="C648" s="4">
        <v>8</v>
      </c>
      <c r="D648" s="8">
        <v>2.04</v>
      </c>
      <c r="E648" s="4">
        <v>6</v>
      </c>
      <c r="F648" s="8">
        <v>2.41</v>
      </c>
      <c r="G648" s="4">
        <v>2</v>
      </c>
      <c r="H648" s="8">
        <v>1.59</v>
      </c>
      <c r="I648" s="4">
        <v>0</v>
      </c>
    </row>
    <row r="649" spans="1:9" x14ac:dyDescent="0.2">
      <c r="A649" s="2">
        <v>14</v>
      </c>
      <c r="B649" s="1" t="s">
        <v>71</v>
      </c>
      <c r="C649" s="4">
        <v>7</v>
      </c>
      <c r="D649" s="8">
        <v>1.78</v>
      </c>
      <c r="E649" s="4">
        <v>3</v>
      </c>
      <c r="F649" s="8">
        <v>1.2</v>
      </c>
      <c r="G649" s="4">
        <v>4</v>
      </c>
      <c r="H649" s="8">
        <v>3.17</v>
      </c>
      <c r="I649" s="4">
        <v>0</v>
      </c>
    </row>
    <row r="650" spans="1:9" x14ac:dyDescent="0.2">
      <c r="A650" s="2">
        <v>15</v>
      </c>
      <c r="B650" s="1" t="s">
        <v>80</v>
      </c>
      <c r="C650" s="4">
        <v>6</v>
      </c>
      <c r="D650" s="8">
        <v>1.53</v>
      </c>
      <c r="E650" s="4">
        <v>4</v>
      </c>
      <c r="F650" s="8">
        <v>1.61</v>
      </c>
      <c r="G650" s="4">
        <v>2</v>
      </c>
      <c r="H650" s="8">
        <v>1.59</v>
      </c>
      <c r="I650" s="4">
        <v>0</v>
      </c>
    </row>
    <row r="651" spans="1:9" x14ac:dyDescent="0.2">
      <c r="A651" s="2">
        <v>16</v>
      </c>
      <c r="B651" s="1" t="s">
        <v>104</v>
      </c>
      <c r="C651" s="4">
        <v>5</v>
      </c>
      <c r="D651" s="8">
        <v>1.27</v>
      </c>
      <c r="E651" s="4">
        <v>2</v>
      </c>
      <c r="F651" s="8">
        <v>0.8</v>
      </c>
      <c r="G651" s="4">
        <v>3</v>
      </c>
      <c r="H651" s="8">
        <v>2.38</v>
      </c>
      <c r="I651" s="4">
        <v>0</v>
      </c>
    </row>
    <row r="652" spans="1:9" x14ac:dyDescent="0.2">
      <c r="A652" s="2">
        <v>16</v>
      </c>
      <c r="B652" s="1" t="s">
        <v>87</v>
      </c>
      <c r="C652" s="4">
        <v>5</v>
      </c>
      <c r="D652" s="8">
        <v>1.27</v>
      </c>
      <c r="E652" s="4">
        <v>2</v>
      </c>
      <c r="F652" s="8">
        <v>0.8</v>
      </c>
      <c r="G652" s="4">
        <v>3</v>
      </c>
      <c r="H652" s="8">
        <v>2.38</v>
      </c>
      <c r="I652" s="4">
        <v>0</v>
      </c>
    </row>
    <row r="653" spans="1:9" x14ac:dyDescent="0.2">
      <c r="A653" s="2">
        <v>16</v>
      </c>
      <c r="B653" s="1" t="s">
        <v>72</v>
      </c>
      <c r="C653" s="4">
        <v>5</v>
      </c>
      <c r="D653" s="8">
        <v>1.27</v>
      </c>
      <c r="E653" s="4">
        <v>2</v>
      </c>
      <c r="F653" s="8">
        <v>0.8</v>
      </c>
      <c r="G653" s="4">
        <v>3</v>
      </c>
      <c r="H653" s="8">
        <v>2.38</v>
      </c>
      <c r="I653" s="4">
        <v>0</v>
      </c>
    </row>
    <row r="654" spans="1:9" x14ac:dyDescent="0.2">
      <c r="A654" s="2">
        <v>16</v>
      </c>
      <c r="B654" s="1" t="s">
        <v>77</v>
      </c>
      <c r="C654" s="4">
        <v>5</v>
      </c>
      <c r="D654" s="8">
        <v>1.27</v>
      </c>
      <c r="E654" s="4">
        <v>0</v>
      </c>
      <c r="F654" s="8">
        <v>0</v>
      </c>
      <c r="G654" s="4">
        <v>4</v>
      </c>
      <c r="H654" s="8">
        <v>3.17</v>
      </c>
      <c r="I654" s="4">
        <v>0</v>
      </c>
    </row>
    <row r="655" spans="1:9" x14ac:dyDescent="0.2">
      <c r="A655" s="2">
        <v>16</v>
      </c>
      <c r="B655" s="1" t="s">
        <v>112</v>
      </c>
      <c r="C655" s="4">
        <v>5</v>
      </c>
      <c r="D655" s="8">
        <v>1.27</v>
      </c>
      <c r="E655" s="4">
        <v>0</v>
      </c>
      <c r="F655" s="8">
        <v>0</v>
      </c>
      <c r="G655" s="4">
        <v>5</v>
      </c>
      <c r="H655" s="8">
        <v>3.97</v>
      </c>
      <c r="I655" s="4">
        <v>0</v>
      </c>
    </row>
    <row r="656" spans="1:9" x14ac:dyDescent="0.2">
      <c r="A656" s="2">
        <v>16</v>
      </c>
      <c r="B656" s="1" t="s">
        <v>93</v>
      </c>
      <c r="C656" s="4">
        <v>5</v>
      </c>
      <c r="D656" s="8">
        <v>1.27</v>
      </c>
      <c r="E656" s="4">
        <v>1</v>
      </c>
      <c r="F656" s="8">
        <v>0.4</v>
      </c>
      <c r="G656" s="4">
        <v>3</v>
      </c>
      <c r="H656" s="8">
        <v>2.38</v>
      </c>
      <c r="I656" s="4">
        <v>0</v>
      </c>
    </row>
    <row r="657" spans="1:9" x14ac:dyDescent="0.2">
      <c r="A657" s="1"/>
      <c r="C657" s="4"/>
      <c r="D657" s="8"/>
      <c r="E657" s="4"/>
      <c r="F657" s="8"/>
      <c r="G657" s="4"/>
      <c r="H657" s="8"/>
      <c r="I657" s="4"/>
    </row>
    <row r="658" spans="1:9" x14ac:dyDescent="0.2">
      <c r="A658" s="1" t="s">
        <v>30</v>
      </c>
      <c r="C658" s="4"/>
      <c r="D658" s="8"/>
      <c r="E658" s="4"/>
      <c r="F658" s="8"/>
      <c r="G658" s="4"/>
      <c r="H658" s="8"/>
      <c r="I658" s="4"/>
    </row>
    <row r="659" spans="1:9" x14ac:dyDescent="0.2">
      <c r="A659" s="2">
        <v>1</v>
      </c>
      <c r="B659" s="1" t="s">
        <v>81</v>
      </c>
      <c r="C659" s="4">
        <v>36</v>
      </c>
      <c r="D659" s="8">
        <v>14.29</v>
      </c>
      <c r="E659" s="4">
        <v>33</v>
      </c>
      <c r="F659" s="8">
        <v>19.53</v>
      </c>
      <c r="G659" s="4">
        <v>3</v>
      </c>
      <c r="H659" s="8">
        <v>3.9</v>
      </c>
      <c r="I659" s="4">
        <v>0</v>
      </c>
    </row>
    <row r="660" spans="1:9" x14ac:dyDescent="0.2">
      <c r="A660" s="2">
        <v>2</v>
      </c>
      <c r="B660" s="1" t="s">
        <v>82</v>
      </c>
      <c r="C660" s="4">
        <v>25</v>
      </c>
      <c r="D660" s="8">
        <v>9.92</v>
      </c>
      <c r="E660" s="4">
        <v>24</v>
      </c>
      <c r="F660" s="8">
        <v>14.2</v>
      </c>
      <c r="G660" s="4">
        <v>1</v>
      </c>
      <c r="H660" s="8">
        <v>1.3</v>
      </c>
      <c r="I660" s="4">
        <v>0</v>
      </c>
    </row>
    <row r="661" spans="1:9" x14ac:dyDescent="0.2">
      <c r="A661" s="2">
        <v>3</v>
      </c>
      <c r="B661" s="1" t="s">
        <v>75</v>
      </c>
      <c r="C661" s="4">
        <v>24</v>
      </c>
      <c r="D661" s="8">
        <v>9.52</v>
      </c>
      <c r="E661" s="4">
        <v>10</v>
      </c>
      <c r="F661" s="8">
        <v>5.92</v>
      </c>
      <c r="G661" s="4">
        <v>14</v>
      </c>
      <c r="H661" s="8">
        <v>18.18</v>
      </c>
      <c r="I661" s="4">
        <v>0</v>
      </c>
    </row>
    <row r="662" spans="1:9" x14ac:dyDescent="0.2">
      <c r="A662" s="2">
        <v>4</v>
      </c>
      <c r="B662" s="1" t="s">
        <v>73</v>
      </c>
      <c r="C662" s="4">
        <v>23</v>
      </c>
      <c r="D662" s="8">
        <v>9.1300000000000008</v>
      </c>
      <c r="E662" s="4">
        <v>20</v>
      </c>
      <c r="F662" s="8">
        <v>11.83</v>
      </c>
      <c r="G662" s="4">
        <v>2</v>
      </c>
      <c r="H662" s="8">
        <v>2.6</v>
      </c>
      <c r="I662" s="4">
        <v>1</v>
      </c>
    </row>
    <row r="663" spans="1:9" x14ac:dyDescent="0.2">
      <c r="A663" s="2">
        <v>5</v>
      </c>
      <c r="B663" s="1" t="s">
        <v>67</v>
      </c>
      <c r="C663" s="4">
        <v>11</v>
      </c>
      <c r="D663" s="8">
        <v>4.37</v>
      </c>
      <c r="E663" s="4">
        <v>2</v>
      </c>
      <c r="F663" s="8">
        <v>1.18</v>
      </c>
      <c r="G663" s="4">
        <v>9</v>
      </c>
      <c r="H663" s="8">
        <v>11.69</v>
      </c>
      <c r="I663" s="4">
        <v>0</v>
      </c>
    </row>
    <row r="664" spans="1:9" x14ac:dyDescent="0.2">
      <c r="A664" s="2">
        <v>5</v>
      </c>
      <c r="B664" s="1" t="s">
        <v>79</v>
      </c>
      <c r="C664" s="4">
        <v>11</v>
      </c>
      <c r="D664" s="8">
        <v>4.37</v>
      </c>
      <c r="E664" s="4">
        <v>7</v>
      </c>
      <c r="F664" s="8">
        <v>4.1399999999999997</v>
      </c>
      <c r="G664" s="4">
        <v>4</v>
      </c>
      <c r="H664" s="8">
        <v>5.19</v>
      </c>
      <c r="I664" s="4">
        <v>0</v>
      </c>
    </row>
    <row r="665" spans="1:9" x14ac:dyDescent="0.2">
      <c r="A665" s="2">
        <v>7</v>
      </c>
      <c r="B665" s="1" t="s">
        <v>68</v>
      </c>
      <c r="C665" s="4">
        <v>10</v>
      </c>
      <c r="D665" s="8">
        <v>3.97</v>
      </c>
      <c r="E665" s="4">
        <v>9</v>
      </c>
      <c r="F665" s="8">
        <v>5.33</v>
      </c>
      <c r="G665" s="4">
        <v>1</v>
      </c>
      <c r="H665" s="8">
        <v>1.3</v>
      </c>
      <c r="I665" s="4">
        <v>0</v>
      </c>
    </row>
    <row r="666" spans="1:9" x14ac:dyDescent="0.2">
      <c r="A666" s="2">
        <v>8</v>
      </c>
      <c r="B666" s="1" t="s">
        <v>74</v>
      </c>
      <c r="C666" s="4">
        <v>8</v>
      </c>
      <c r="D666" s="8">
        <v>3.17</v>
      </c>
      <c r="E666" s="4">
        <v>4</v>
      </c>
      <c r="F666" s="8">
        <v>2.37</v>
      </c>
      <c r="G666" s="4">
        <v>4</v>
      </c>
      <c r="H666" s="8">
        <v>5.19</v>
      </c>
      <c r="I666" s="4">
        <v>0</v>
      </c>
    </row>
    <row r="667" spans="1:9" x14ac:dyDescent="0.2">
      <c r="A667" s="2">
        <v>8</v>
      </c>
      <c r="B667" s="1" t="s">
        <v>80</v>
      </c>
      <c r="C667" s="4">
        <v>8</v>
      </c>
      <c r="D667" s="8">
        <v>3.17</v>
      </c>
      <c r="E667" s="4">
        <v>7</v>
      </c>
      <c r="F667" s="8">
        <v>4.1399999999999997</v>
      </c>
      <c r="G667" s="4">
        <v>1</v>
      </c>
      <c r="H667" s="8">
        <v>1.3</v>
      </c>
      <c r="I667" s="4">
        <v>0</v>
      </c>
    </row>
    <row r="668" spans="1:9" x14ac:dyDescent="0.2">
      <c r="A668" s="2">
        <v>8</v>
      </c>
      <c r="B668" s="1" t="s">
        <v>83</v>
      </c>
      <c r="C668" s="4">
        <v>8</v>
      </c>
      <c r="D668" s="8">
        <v>3.17</v>
      </c>
      <c r="E668" s="4">
        <v>6</v>
      </c>
      <c r="F668" s="8">
        <v>3.55</v>
      </c>
      <c r="G668" s="4">
        <v>0</v>
      </c>
      <c r="H668" s="8">
        <v>0</v>
      </c>
      <c r="I668" s="4">
        <v>0</v>
      </c>
    </row>
    <row r="669" spans="1:9" x14ac:dyDescent="0.2">
      <c r="A669" s="2">
        <v>8</v>
      </c>
      <c r="B669" s="1" t="s">
        <v>84</v>
      </c>
      <c r="C669" s="4">
        <v>8</v>
      </c>
      <c r="D669" s="8">
        <v>3.17</v>
      </c>
      <c r="E669" s="4">
        <v>8</v>
      </c>
      <c r="F669" s="8">
        <v>4.7300000000000004</v>
      </c>
      <c r="G669" s="4">
        <v>0</v>
      </c>
      <c r="H669" s="8">
        <v>0</v>
      </c>
      <c r="I669" s="4">
        <v>0</v>
      </c>
    </row>
    <row r="670" spans="1:9" x14ac:dyDescent="0.2">
      <c r="A670" s="2">
        <v>12</v>
      </c>
      <c r="B670" s="1" t="s">
        <v>69</v>
      </c>
      <c r="C670" s="4">
        <v>7</v>
      </c>
      <c r="D670" s="8">
        <v>2.78</v>
      </c>
      <c r="E670" s="4">
        <v>4</v>
      </c>
      <c r="F670" s="8">
        <v>2.37</v>
      </c>
      <c r="G670" s="4">
        <v>3</v>
      </c>
      <c r="H670" s="8">
        <v>3.9</v>
      </c>
      <c r="I670" s="4">
        <v>0</v>
      </c>
    </row>
    <row r="671" spans="1:9" x14ac:dyDescent="0.2">
      <c r="A671" s="2">
        <v>12</v>
      </c>
      <c r="B671" s="1" t="s">
        <v>70</v>
      </c>
      <c r="C671" s="4">
        <v>7</v>
      </c>
      <c r="D671" s="8">
        <v>2.78</v>
      </c>
      <c r="E671" s="4">
        <v>4</v>
      </c>
      <c r="F671" s="8">
        <v>2.37</v>
      </c>
      <c r="G671" s="4">
        <v>3</v>
      </c>
      <c r="H671" s="8">
        <v>3.9</v>
      </c>
      <c r="I671" s="4">
        <v>0</v>
      </c>
    </row>
    <row r="672" spans="1:9" x14ac:dyDescent="0.2">
      <c r="A672" s="2">
        <v>12</v>
      </c>
      <c r="B672" s="1" t="s">
        <v>86</v>
      </c>
      <c r="C672" s="4">
        <v>7</v>
      </c>
      <c r="D672" s="8">
        <v>2.78</v>
      </c>
      <c r="E672" s="4">
        <v>7</v>
      </c>
      <c r="F672" s="8">
        <v>4.1399999999999997</v>
      </c>
      <c r="G672" s="4">
        <v>0</v>
      </c>
      <c r="H672" s="8">
        <v>0</v>
      </c>
      <c r="I672" s="4">
        <v>0</v>
      </c>
    </row>
    <row r="673" spans="1:9" x14ac:dyDescent="0.2">
      <c r="A673" s="2">
        <v>15</v>
      </c>
      <c r="B673" s="1" t="s">
        <v>113</v>
      </c>
      <c r="C673" s="4">
        <v>6</v>
      </c>
      <c r="D673" s="8">
        <v>2.38</v>
      </c>
      <c r="E673" s="4">
        <v>0</v>
      </c>
      <c r="F673" s="8">
        <v>0</v>
      </c>
      <c r="G673" s="4">
        <v>6</v>
      </c>
      <c r="H673" s="8">
        <v>7.79</v>
      </c>
      <c r="I673" s="4">
        <v>0</v>
      </c>
    </row>
    <row r="674" spans="1:9" x14ac:dyDescent="0.2">
      <c r="A674" s="2">
        <v>16</v>
      </c>
      <c r="B674" s="1" t="s">
        <v>91</v>
      </c>
      <c r="C674" s="4">
        <v>5</v>
      </c>
      <c r="D674" s="8">
        <v>1.98</v>
      </c>
      <c r="E674" s="4">
        <v>3</v>
      </c>
      <c r="F674" s="8">
        <v>1.78</v>
      </c>
      <c r="G674" s="4">
        <v>1</v>
      </c>
      <c r="H674" s="8">
        <v>1.3</v>
      </c>
      <c r="I674" s="4">
        <v>0</v>
      </c>
    </row>
    <row r="675" spans="1:9" x14ac:dyDescent="0.2">
      <c r="A675" s="2">
        <v>17</v>
      </c>
      <c r="B675" s="1" t="s">
        <v>99</v>
      </c>
      <c r="C675" s="4">
        <v>4</v>
      </c>
      <c r="D675" s="8">
        <v>1.59</v>
      </c>
      <c r="E675" s="4">
        <v>3</v>
      </c>
      <c r="F675" s="8">
        <v>1.78</v>
      </c>
      <c r="G675" s="4">
        <v>1</v>
      </c>
      <c r="H675" s="8">
        <v>1.3</v>
      </c>
      <c r="I675" s="4">
        <v>0</v>
      </c>
    </row>
    <row r="676" spans="1:9" x14ac:dyDescent="0.2">
      <c r="A676" s="2">
        <v>18</v>
      </c>
      <c r="B676" s="1" t="s">
        <v>90</v>
      </c>
      <c r="C676" s="4">
        <v>3</v>
      </c>
      <c r="D676" s="8">
        <v>1.19</v>
      </c>
      <c r="E676" s="4">
        <v>2</v>
      </c>
      <c r="F676" s="8">
        <v>1.18</v>
      </c>
      <c r="G676" s="4">
        <v>1</v>
      </c>
      <c r="H676" s="8">
        <v>1.3</v>
      </c>
      <c r="I676" s="4">
        <v>0</v>
      </c>
    </row>
    <row r="677" spans="1:9" x14ac:dyDescent="0.2">
      <c r="A677" s="2">
        <v>18</v>
      </c>
      <c r="B677" s="1" t="s">
        <v>71</v>
      </c>
      <c r="C677" s="4">
        <v>3</v>
      </c>
      <c r="D677" s="8">
        <v>1.19</v>
      </c>
      <c r="E677" s="4">
        <v>2</v>
      </c>
      <c r="F677" s="8">
        <v>1.18</v>
      </c>
      <c r="G677" s="4">
        <v>1</v>
      </c>
      <c r="H677" s="8">
        <v>1.3</v>
      </c>
      <c r="I677" s="4">
        <v>0</v>
      </c>
    </row>
    <row r="678" spans="1:9" x14ac:dyDescent="0.2">
      <c r="A678" s="2">
        <v>18</v>
      </c>
      <c r="B678" s="1" t="s">
        <v>87</v>
      </c>
      <c r="C678" s="4">
        <v>3</v>
      </c>
      <c r="D678" s="8">
        <v>1.19</v>
      </c>
      <c r="E678" s="4">
        <v>1</v>
      </c>
      <c r="F678" s="8">
        <v>0.59</v>
      </c>
      <c r="G678" s="4">
        <v>2</v>
      </c>
      <c r="H678" s="8">
        <v>2.6</v>
      </c>
      <c r="I678" s="4">
        <v>0</v>
      </c>
    </row>
    <row r="679" spans="1:9" x14ac:dyDescent="0.2">
      <c r="A679" s="2">
        <v>18</v>
      </c>
      <c r="B679" s="1" t="s">
        <v>88</v>
      </c>
      <c r="C679" s="4">
        <v>3</v>
      </c>
      <c r="D679" s="8">
        <v>1.19</v>
      </c>
      <c r="E679" s="4">
        <v>0</v>
      </c>
      <c r="F679" s="8">
        <v>0</v>
      </c>
      <c r="G679" s="4">
        <v>3</v>
      </c>
      <c r="H679" s="8">
        <v>3.9</v>
      </c>
      <c r="I679" s="4">
        <v>0</v>
      </c>
    </row>
    <row r="680" spans="1:9" x14ac:dyDescent="0.2">
      <c r="A680" s="2">
        <v>18</v>
      </c>
      <c r="B680" s="1" t="s">
        <v>72</v>
      </c>
      <c r="C680" s="4">
        <v>3</v>
      </c>
      <c r="D680" s="8">
        <v>1.19</v>
      </c>
      <c r="E680" s="4">
        <v>1</v>
      </c>
      <c r="F680" s="8">
        <v>0.59</v>
      </c>
      <c r="G680" s="4">
        <v>2</v>
      </c>
      <c r="H680" s="8">
        <v>2.6</v>
      </c>
      <c r="I680" s="4">
        <v>0</v>
      </c>
    </row>
    <row r="681" spans="1:9" x14ac:dyDescent="0.2">
      <c r="A681" s="2">
        <v>18</v>
      </c>
      <c r="B681" s="1" t="s">
        <v>85</v>
      </c>
      <c r="C681" s="4">
        <v>3</v>
      </c>
      <c r="D681" s="8">
        <v>1.19</v>
      </c>
      <c r="E681" s="4">
        <v>0</v>
      </c>
      <c r="F681" s="8">
        <v>0</v>
      </c>
      <c r="G681" s="4">
        <v>3</v>
      </c>
      <c r="H681" s="8">
        <v>3.9</v>
      </c>
      <c r="I681" s="4">
        <v>0</v>
      </c>
    </row>
    <row r="682" spans="1:9" x14ac:dyDescent="0.2">
      <c r="A682" s="1"/>
      <c r="C682" s="4"/>
      <c r="D682" s="8"/>
      <c r="E682" s="4"/>
      <c r="F682" s="8"/>
      <c r="G682" s="4"/>
      <c r="H682" s="8"/>
      <c r="I682" s="4"/>
    </row>
    <row r="683" spans="1:9" x14ac:dyDescent="0.2">
      <c r="A683" s="1" t="s">
        <v>31</v>
      </c>
      <c r="C683" s="4"/>
      <c r="D683" s="8"/>
      <c r="E683" s="4"/>
      <c r="F683" s="8"/>
      <c r="G683" s="4"/>
      <c r="H683" s="8"/>
      <c r="I683" s="4"/>
    </row>
    <row r="684" spans="1:9" x14ac:dyDescent="0.2">
      <c r="A684" s="2">
        <v>1</v>
      </c>
      <c r="B684" s="1" t="s">
        <v>81</v>
      </c>
      <c r="C684" s="4">
        <v>31</v>
      </c>
      <c r="D684" s="8">
        <v>13.78</v>
      </c>
      <c r="E684" s="4">
        <v>30</v>
      </c>
      <c r="F684" s="8">
        <v>20.13</v>
      </c>
      <c r="G684" s="4">
        <v>1</v>
      </c>
      <c r="H684" s="8">
        <v>1.45</v>
      </c>
      <c r="I684" s="4">
        <v>0</v>
      </c>
    </row>
    <row r="685" spans="1:9" x14ac:dyDescent="0.2">
      <c r="A685" s="2">
        <v>2</v>
      </c>
      <c r="B685" s="1" t="s">
        <v>80</v>
      </c>
      <c r="C685" s="4">
        <v>26</v>
      </c>
      <c r="D685" s="8">
        <v>11.56</v>
      </c>
      <c r="E685" s="4">
        <v>18</v>
      </c>
      <c r="F685" s="8">
        <v>12.08</v>
      </c>
      <c r="G685" s="4">
        <v>8</v>
      </c>
      <c r="H685" s="8">
        <v>11.59</v>
      </c>
      <c r="I685" s="4">
        <v>0</v>
      </c>
    </row>
    <row r="686" spans="1:9" x14ac:dyDescent="0.2">
      <c r="A686" s="2">
        <v>3</v>
      </c>
      <c r="B686" s="1" t="s">
        <v>73</v>
      </c>
      <c r="C686" s="4">
        <v>22</v>
      </c>
      <c r="D686" s="8">
        <v>9.7799999999999994</v>
      </c>
      <c r="E686" s="4">
        <v>21</v>
      </c>
      <c r="F686" s="8">
        <v>14.09</v>
      </c>
      <c r="G686" s="4">
        <v>0</v>
      </c>
      <c r="H686" s="8">
        <v>0</v>
      </c>
      <c r="I686" s="4">
        <v>1</v>
      </c>
    </row>
    <row r="687" spans="1:9" x14ac:dyDescent="0.2">
      <c r="A687" s="2">
        <v>4</v>
      </c>
      <c r="B687" s="1" t="s">
        <v>82</v>
      </c>
      <c r="C687" s="4">
        <v>21</v>
      </c>
      <c r="D687" s="8">
        <v>9.33</v>
      </c>
      <c r="E687" s="4">
        <v>19</v>
      </c>
      <c r="F687" s="8">
        <v>12.75</v>
      </c>
      <c r="G687" s="4">
        <v>1</v>
      </c>
      <c r="H687" s="8">
        <v>1.45</v>
      </c>
      <c r="I687" s="4">
        <v>1</v>
      </c>
    </row>
    <row r="688" spans="1:9" x14ac:dyDescent="0.2">
      <c r="A688" s="2">
        <v>5</v>
      </c>
      <c r="B688" s="1" t="s">
        <v>75</v>
      </c>
      <c r="C688" s="4">
        <v>19</v>
      </c>
      <c r="D688" s="8">
        <v>8.44</v>
      </c>
      <c r="E688" s="4">
        <v>10</v>
      </c>
      <c r="F688" s="8">
        <v>6.71</v>
      </c>
      <c r="G688" s="4">
        <v>9</v>
      </c>
      <c r="H688" s="8">
        <v>13.04</v>
      </c>
      <c r="I688" s="4">
        <v>0</v>
      </c>
    </row>
    <row r="689" spans="1:9" x14ac:dyDescent="0.2">
      <c r="A689" s="2">
        <v>6</v>
      </c>
      <c r="B689" s="1" t="s">
        <v>67</v>
      </c>
      <c r="C689" s="4">
        <v>17</v>
      </c>
      <c r="D689" s="8">
        <v>7.56</v>
      </c>
      <c r="E689" s="4">
        <v>4</v>
      </c>
      <c r="F689" s="8">
        <v>2.68</v>
      </c>
      <c r="G689" s="4">
        <v>13</v>
      </c>
      <c r="H689" s="8">
        <v>18.84</v>
      </c>
      <c r="I689" s="4">
        <v>0</v>
      </c>
    </row>
    <row r="690" spans="1:9" x14ac:dyDescent="0.2">
      <c r="A690" s="2">
        <v>7</v>
      </c>
      <c r="B690" s="1" t="s">
        <v>83</v>
      </c>
      <c r="C690" s="4">
        <v>11</v>
      </c>
      <c r="D690" s="8">
        <v>4.8899999999999997</v>
      </c>
      <c r="E690" s="4">
        <v>6</v>
      </c>
      <c r="F690" s="8">
        <v>4.03</v>
      </c>
      <c r="G690" s="4">
        <v>0</v>
      </c>
      <c r="H690" s="8">
        <v>0</v>
      </c>
      <c r="I690" s="4">
        <v>0</v>
      </c>
    </row>
    <row r="691" spans="1:9" x14ac:dyDescent="0.2">
      <c r="A691" s="2">
        <v>8</v>
      </c>
      <c r="B691" s="1" t="s">
        <v>74</v>
      </c>
      <c r="C691" s="4">
        <v>10</v>
      </c>
      <c r="D691" s="8">
        <v>4.4400000000000004</v>
      </c>
      <c r="E691" s="4">
        <v>7</v>
      </c>
      <c r="F691" s="8">
        <v>4.7</v>
      </c>
      <c r="G691" s="4">
        <v>3</v>
      </c>
      <c r="H691" s="8">
        <v>4.3499999999999996</v>
      </c>
      <c r="I691" s="4">
        <v>0</v>
      </c>
    </row>
    <row r="692" spans="1:9" x14ac:dyDescent="0.2">
      <c r="A692" s="2">
        <v>9</v>
      </c>
      <c r="B692" s="1" t="s">
        <v>69</v>
      </c>
      <c r="C692" s="4">
        <v>7</v>
      </c>
      <c r="D692" s="8">
        <v>3.11</v>
      </c>
      <c r="E692" s="4">
        <v>4</v>
      </c>
      <c r="F692" s="8">
        <v>2.68</v>
      </c>
      <c r="G692" s="4">
        <v>3</v>
      </c>
      <c r="H692" s="8">
        <v>4.3499999999999996</v>
      </c>
      <c r="I692" s="4">
        <v>0</v>
      </c>
    </row>
    <row r="693" spans="1:9" x14ac:dyDescent="0.2">
      <c r="A693" s="2">
        <v>10</v>
      </c>
      <c r="B693" s="1" t="s">
        <v>91</v>
      </c>
      <c r="C693" s="4">
        <v>6</v>
      </c>
      <c r="D693" s="8">
        <v>2.67</v>
      </c>
      <c r="E693" s="4">
        <v>5</v>
      </c>
      <c r="F693" s="8">
        <v>3.36</v>
      </c>
      <c r="G693" s="4">
        <v>1</v>
      </c>
      <c r="H693" s="8">
        <v>1.45</v>
      </c>
      <c r="I693" s="4">
        <v>0</v>
      </c>
    </row>
    <row r="694" spans="1:9" x14ac:dyDescent="0.2">
      <c r="A694" s="2">
        <v>11</v>
      </c>
      <c r="B694" s="1" t="s">
        <v>79</v>
      </c>
      <c r="C694" s="4">
        <v>5</v>
      </c>
      <c r="D694" s="8">
        <v>2.2200000000000002</v>
      </c>
      <c r="E694" s="4">
        <v>0</v>
      </c>
      <c r="F694" s="8">
        <v>0</v>
      </c>
      <c r="G694" s="4">
        <v>5</v>
      </c>
      <c r="H694" s="8">
        <v>7.25</v>
      </c>
      <c r="I694" s="4">
        <v>0</v>
      </c>
    </row>
    <row r="695" spans="1:9" x14ac:dyDescent="0.2">
      <c r="A695" s="2">
        <v>12</v>
      </c>
      <c r="B695" s="1" t="s">
        <v>70</v>
      </c>
      <c r="C695" s="4">
        <v>4</v>
      </c>
      <c r="D695" s="8">
        <v>1.78</v>
      </c>
      <c r="E695" s="4">
        <v>4</v>
      </c>
      <c r="F695" s="8">
        <v>2.68</v>
      </c>
      <c r="G695" s="4">
        <v>0</v>
      </c>
      <c r="H695" s="8">
        <v>0</v>
      </c>
      <c r="I695" s="4">
        <v>0</v>
      </c>
    </row>
    <row r="696" spans="1:9" x14ac:dyDescent="0.2">
      <c r="A696" s="2">
        <v>12</v>
      </c>
      <c r="B696" s="1" t="s">
        <v>99</v>
      </c>
      <c r="C696" s="4">
        <v>4</v>
      </c>
      <c r="D696" s="8">
        <v>1.78</v>
      </c>
      <c r="E696" s="4">
        <v>3</v>
      </c>
      <c r="F696" s="8">
        <v>2.0099999999999998</v>
      </c>
      <c r="G696" s="4">
        <v>1</v>
      </c>
      <c r="H696" s="8">
        <v>1.45</v>
      </c>
      <c r="I696" s="4">
        <v>0</v>
      </c>
    </row>
    <row r="697" spans="1:9" x14ac:dyDescent="0.2">
      <c r="A697" s="2">
        <v>14</v>
      </c>
      <c r="B697" s="1" t="s">
        <v>68</v>
      </c>
      <c r="C697" s="4">
        <v>3</v>
      </c>
      <c r="D697" s="8">
        <v>1.33</v>
      </c>
      <c r="E697" s="4">
        <v>0</v>
      </c>
      <c r="F697" s="8">
        <v>0</v>
      </c>
      <c r="G697" s="4">
        <v>3</v>
      </c>
      <c r="H697" s="8">
        <v>4.3499999999999996</v>
      </c>
      <c r="I697" s="4">
        <v>0</v>
      </c>
    </row>
    <row r="698" spans="1:9" x14ac:dyDescent="0.2">
      <c r="A698" s="2">
        <v>14</v>
      </c>
      <c r="B698" s="1" t="s">
        <v>90</v>
      </c>
      <c r="C698" s="4">
        <v>3</v>
      </c>
      <c r="D698" s="8">
        <v>1.33</v>
      </c>
      <c r="E698" s="4">
        <v>1</v>
      </c>
      <c r="F698" s="8">
        <v>0.67</v>
      </c>
      <c r="G698" s="4">
        <v>2</v>
      </c>
      <c r="H698" s="8">
        <v>2.9</v>
      </c>
      <c r="I698" s="4">
        <v>0</v>
      </c>
    </row>
    <row r="699" spans="1:9" x14ac:dyDescent="0.2">
      <c r="A699" s="2">
        <v>14</v>
      </c>
      <c r="B699" s="1" t="s">
        <v>98</v>
      </c>
      <c r="C699" s="4">
        <v>3</v>
      </c>
      <c r="D699" s="8">
        <v>1.33</v>
      </c>
      <c r="E699" s="4">
        <v>0</v>
      </c>
      <c r="F699" s="8">
        <v>0</v>
      </c>
      <c r="G699" s="4">
        <v>3</v>
      </c>
      <c r="H699" s="8">
        <v>4.3499999999999996</v>
      </c>
      <c r="I699" s="4">
        <v>0</v>
      </c>
    </row>
    <row r="700" spans="1:9" x14ac:dyDescent="0.2">
      <c r="A700" s="2">
        <v>14</v>
      </c>
      <c r="B700" s="1" t="s">
        <v>114</v>
      </c>
      <c r="C700" s="4">
        <v>3</v>
      </c>
      <c r="D700" s="8">
        <v>1.33</v>
      </c>
      <c r="E700" s="4">
        <v>1</v>
      </c>
      <c r="F700" s="8">
        <v>0.67</v>
      </c>
      <c r="G700" s="4">
        <v>2</v>
      </c>
      <c r="H700" s="8">
        <v>2.9</v>
      </c>
      <c r="I700" s="4">
        <v>0</v>
      </c>
    </row>
    <row r="701" spans="1:9" x14ac:dyDescent="0.2">
      <c r="A701" s="2">
        <v>14</v>
      </c>
      <c r="B701" s="1" t="s">
        <v>105</v>
      </c>
      <c r="C701" s="4">
        <v>3</v>
      </c>
      <c r="D701" s="8">
        <v>1.33</v>
      </c>
      <c r="E701" s="4">
        <v>1</v>
      </c>
      <c r="F701" s="8">
        <v>0.67</v>
      </c>
      <c r="G701" s="4">
        <v>2</v>
      </c>
      <c r="H701" s="8">
        <v>2.9</v>
      </c>
      <c r="I701" s="4">
        <v>0</v>
      </c>
    </row>
    <row r="702" spans="1:9" x14ac:dyDescent="0.2">
      <c r="A702" s="2">
        <v>14</v>
      </c>
      <c r="B702" s="1" t="s">
        <v>93</v>
      </c>
      <c r="C702" s="4">
        <v>3</v>
      </c>
      <c r="D702" s="8">
        <v>1.33</v>
      </c>
      <c r="E702" s="4">
        <v>2</v>
      </c>
      <c r="F702" s="8">
        <v>1.34</v>
      </c>
      <c r="G702" s="4">
        <v>1</v>
      </c>
      <c r="H702" s="8">
        <v>1.45</v>
      </c>
      <c r="I702" s="4">
        <v>0</v>
      </c>
    </row>
    <row r="703" spans="1:9" x14ac:dyDescent="0.2">
      <c r="A703" s="2">
        <v>14</v>
      </c>
      <c r="B703" s="1" t="s">
        <v>86</v>
      </c>
      <c r="C703" s="4">
        <v>3</v>
      </c>
      <c r="D703" s="8">
        <v>1.33</v>
      </c>
      <c r="E703" s="4">
        <v>2</v>
      </c>
      <c r="F703" s="8">
        <v>1.34</v>
      </c>
      <c r="G703" s="4">
        <v>1</v>
      </c>
      <c r="H703" s="8">
        <v>1.45</v>
      </c>
      <c r="I703" s="4">
        <v>0</v>
      </c>
    </row>
    <row r="704" spans="1:9" x14ac:dyDescent="0.2">
      <c r="A704" s="1"/>
      <c r="C704" s="4"/>
      <c r="D704" s="8"/>
      <c r="E704" s="4"/>
      <c r="F704" s="8"/>
      <c r="G704" s="4"/>
      <c r="H704" s="8"/>
      <c r="I704" s="4"/>
    </row>
    <row r="705" spans="1:9" x14ac:dyDescent="0.2">
      <c r="A705" s="1" t="s">
        <v>32</v>
      </c>
      <c r="C705" s="4"/>
      <c r="D705" s="8"/>
      <c r="E705" s="4"/>
      <c r="F705" s="8"/>
      <c r="G705" s="4"/>
      <c r="H705" s="8"/>
      <c r="I705" s="4"/>
    </row>
    <row r="706" spans="1:9" x14ac:dyDescent="0.2">
      <c r="A706" s="2">
        <v>1</v>
      </c>
      <c r="B706" s="1" t="s">
        <v>80</v>
      </c>
      <c r="C706" s="4">
        <v>115</v>
      </c>
      <c r="D706" s="8">
        <v>17.27</v>
      </c>
      <c r="E706" s="4">
        <v>102</v>
      </c>
      <c r="F706" s="8">
        <v>22.27</v>
      </c>
      <c r="G706" s="4">
        <v>13</v>
      </c>
      <c r="H706" s="8">
        <v>6.88</v>
      </c>
      <c r="I706" s="4">
        <v>0</v>
      </c>
    </row>
    <row r="707" spans="1:9" x14ac:dyDescent="0.2">
      <c r="A707" s="2">
        <v>2</v>
      </c>
      <c r="B707" s="1" t="s">
        <v>81</v>
      </c>
      <c r="C707" s="4">
        <v>99</v>
      </c>
      <c r="D707" s="8">
        <v>14.86</v>
      </c>
      <c r="E707" s="4">
        <v>93</v>
      </c>
      <c r="F707" s="8">
        <v>20.309999999999999</v>
      </c>
      <c r="G707" s="4">
        <v>5</v>
      </c>
      <c r="H707" s="8">
        <v>2.65</v>
      </c>
      <c r="I707" s="4">
        <v>1</v>
      </c>
    </row>
    <row r="708" spans="1:9" x14ac:dyDescent="0.2">
      <c r="A708" s="2">
        <v>3</v>
      </c>
      <c r="B708" s="1" t="s">
        <v>73</v>
      </c>
      <c r="C708" s="4">
        <v>62</v>
      </c>
      <c r="D708" s="8">
        <v>9.31</v>
      </c>
      <c r="E708" s="4">
        <v>48</v>
      </c>
      <c r="F708" s="8">
        <v>10.48</v>
      </c>
      <c r="G708" s="4">
        <v>13</v>
      </c>
      <c r="H708" s="8">
        <v>6.88</v>
      </c>
      <c r="I708" s="4">
        <v>1</v>
      </c>
    </row>
    <row r="709" spans="1:9" x14ac:dyDescent="0.2">
      <c r="A709" s="2">
        <v>4</v>
      </c>
      <c r="B709" s="1" t="s">
        <v>75</v>
      </c>
      <c r="C709" s="4">
        <v>50</v>
      </c>
      <c r="D709" s="8">
        <v>7.51</v>
      </c>
      <c r="E709" s="4">
        <v>28</v>
      </c>
      <c r="F709" s="8">
        <v>6.11</v>
      </c>
      <c r="G709" s="4">
        <v>20</v>
      </c>
      <c r="H709" s="8">
        <v>10.58</v>
      </c>
      <c r="I709" s="4">
        <v>2</v>
      </c>
    </row>
    <row r="710" spans="1:9" x14ac:dyDescent="0.2">
      <c r="A710" s="2">
        <v>5</v>
      </c>
      <c r="B710" s="1" t="s">
        <v>67</v>
      </c>
      <c r="C710" s="4">
        <v>39</v>
      </c>
      <c r="D710" s="8">
        <v>5.86</v>
      </c>
      <c r="E710" s="4">
        <v>12</v>
      </c>
      <c r="F710" s="8">
        <v>2.62</v>
      </c>
      <c r="G710" s="4">
        <v>27</v>
      </c>
      <c r="H710" s="8">
        <v>14.29</v>
      </c>
      <c r="I710" s="4">
        <v>0</v>
      </c>
    </row>
    <row r="711" spans="1:9" x14ac:dyDescent="0.2">
      <c r="A711" s="2">
        <v>6</v>
      </c>
      <c r="B711" s="1" t="s">
        <v>82</v>
      </c>
      <c r="C711" s="4">
        <v>36</v>
      </c>
      <c r="D711" s="8">
        <v>5.41</v>
      </c>
      <c r="E711" s="4">
        <v>33</v>
      </c>
      <c r="F711" s="8">
        <v>7.21</v>
      </c>
      <c r="G711" s="4">
        <v>2</v>
      </c>
      <c r="H711" s="8">
        <v>1.06</v>
      </c>
      <c r="I711" s="4">
        <v>1</v>
      </c>
    </row>
    <row r="712" spans="1:9" x14ac:dyDescent="0.2">
      <c r="A712" s="2">
        <v>7</v>
      </c>
      <c r="B712" s="1" t="s">
        <v>94</v>
      </c>
      <c r="C712" s="4">
        <v>32</v>
      </c>
      <c r="D712" s="8">
        <v>4.8</v>
      </c>
      <c r="E712" s="4">
        <v>26</v>
      </c>
      <c r="F712" s="8">
        <v>5.68</v>
      </c>
      <c r="G712" s="4">
        <v>6</v>
      </c>
      <c r="H712" s="8">
        <v>3.17</v>
      </c>
      <c r="I712" s="4">
        <v>0</v>
      </c>
    </row>
    <row r="713" spans="1:9" x14ac:dyDescent="0.2">
      <c r="A713" s="2">
        <v>8</v>
      </c>
      <c r="B713" s="1" t="s">
        <v>83</v>
      </c>
      <c r="C713" s="4">
        <v>17</v>
      </c>
      <c r="D713" s="8">
        <v>2.5499999999999998</v>
      </c>
      <c r="E713" s="4">
        <v>11</v>
      </c>
      <c r="F713" s="8">
        <v>2.4</v>
      </c>
      <c r="G713" s="4">
        <v>1</v>
      </c>
      <c r="H713" s="8">
        <v>0.53</v>
      </c>
      <c r="I713" s="4">
        <v>2</v>
      </c>
    </row>
    <row r="714" spans="1:9" x14ac:dyDescent="0.2">
      <c r="A714" s="2">
        <v>9</v>
      </c>
      <c r="B714" s="1" t="s">
        <v>91</v>
      </c>
      <c r="C714" s="4">
        <v>14</v>
      </c>
      <c r="D714" s="8">
        <v>2.1</v>
      </c>
      <c r="E714" s="4">
        <v>7</v>
      </c>
      <c r="F714" s="8">
        <v>1.53</v>
      </c>
      <c r="G714" s="4">
        <v>6</v>
      </c>
      <c r="H714" s="8">
        <v>3.17</v>
      </c>
      <c r="I714" s="4">
        <v>0</v>
      </c>
    </row>
    <row r="715" spans="1:9" x14ac:dyDescent="0.2">
      <c r="A715" s="2">
        <v>10</v>
      </c>
      <c r="B715" s="1" t="s">
        <v>68</v>
      </c>
      <c r="C715" s="4">
        <v>13</v>
      </c>
      <c r="D715" s="8">
        <v>1.95</v>
      </c>
      <c r="E715" s="4">
        <v>7</v>
      </c>
      <c r="F715" s="8">
        <v>1.53</v>
      </c>
      <c r="G715" s="4">
        <v>6</v>
      </c>
      <c r="H715" s="8">
        <v>3.17</v>
      </c>
      <c r="I715" s="4">
        <v>0</v>
      </c>
    </row>
    <row r="716" spans="1:9" x14ac:dyDescent="0.2">
      <c r="A716" s="2">
        <v>10</v>
      </c>
      <c r="B716" s="1" t="s">
        <v>70</v>
      </c>
      <c r="C716" s="4">
        <v>13</v>
      </c>
      <c r="D716" s="8">
        <v>1.95</v>
      </c>
      <c r="E716" s="4">
        <v>6</v>
      </c>
      <c r="F716" s="8">
        <v>1.31</v>
      </c>
      <c r="G716" s="4">
        <v>7</v>
      </c>
      <c r="H716" s="8">
        <v>3.7</v>
      </c>
      <c r="I716" s="4">
        <v>0</v>
      </c>
    </row>
    <row r="717" spans="1:9" x14ac:dyDescent="0.2">
      <c r="A717" s="2">
        <v>10</v>
      </c>
      <c r="B717" s="1" t="s">
        <v>113</v>
      </c>
      <c r="C717" s="4">
        <v>13</v>
      </c>
      <c r="D717" s="8">
        <v>1.95</v>
      </c>
      <c r="E717" s="4">
        <v>2</v>
      </c>
      <c r="F717" s="8">
        <v>0.44</v>
      </c>
      <c r="G717" s="4">
        <v>11</v>
      </c>
      <c r="H717" s="8">
        <v>5.82</v>
      </c>
      <c r="I717" s="4">
        <v>0</v>
      </c>
    </row>
    <row r="718" spans="1:9" x14ac:dyDescent="0.2">
      <c r="A718" s="2">
        <v>13</v>
      </c>
      <c r="B718" s="1" t="s">
        <v>74</v>
      </c>
      <c r="C718" s="4">
        <v>12</v>
      </c>
      <c r="D718" s="8">
        <v>1.8</v>
      </c>
      <c r="E718" s="4">
        <v>6</v>
      </c>
      <c r="F718" s="8">
        <v>1.31</v>
      </c>
      <c r="G718" s="4">
        <v>6</v>
      </c>
      <c r="H718" s="8">
        <v>3.17</v>
      </c>
      <c r="I718" s="4">
        <v>0</v>
      </c>
    </row>
    <row r="719" spans="1:9" x14ac:dyDescent="0.2">
      <c r="A719" s="2">
        <v>14</v>
      </c>
      <c r="B719" s="1" t="s">
        <v>69</v>
      </c>
      <c r="C719" s="4">
        <v>11</v>
      </c>
      <c r="D719" s="8">
        <v>1.65</v>
      </c>
      <c r="E719" s="4">
        <v>6</v>
      </c>
      <c r="F719" s="8">
        <v>1.31</v>
      </c>
      <c r="G719" s="4">
        <v>5</v>
      </c>
      <c r="H719" s="8">
        <v>2.65</v>
      </c>
      <c r="I719" s="4">
        <v>0</v>
      </c>
    </row>
    <row r="720" spans="1:9" x14ac:dyDescent="0.2">
      <c r="A720" s="2">
        <v>14</v>
      </c>
      <c r="B720" s="1" t="s">
        <v>104</v>
      </c>
      <c r="C720" s="4">
        <v>11</v>
      </c>
      <c r="D720" s="8">
        <v>1.65</v>
      </c>
      <c r="E720" s="4">
        <v>8</v>
      </c>
      <c r="F720" s="8">
        <v>1.75</v>
      </c>
      <c r="G720" s="4">
        <v>2</v>
      </c>
      <c r="H720" s="8">
        <v>1.06</v>
      </c>
      <c r="I720" s="4">
        <v>1</v>
      </c>
    </row>
    <row r="721" spans="1:9" x14ac:dyDescent="0.2">
      <c r="A721" s="2">
        <v>14</v>
      </c>
      <c r="B721" s="1" t="s">
        <v>84</v>
      </c>
      <c r="C721" s="4">
        <v>11</v>
      </c>
      <c r="D721" s="8">
        <v>1.65</v>
      </c>
      <c r="E721" s="4">
        <v>11</v>
      </c>
      <c r="F721" s="8">
        <v>2.4</v>
      </c>
      <c r="G721" s="4">
        <v>0</v>
      </c>
      <c r="H721" s="8">
        <v>0</v>
      </c>
      <c r="I721" s="4">
        <v>0</v>
      </c>
    </row>
    <row r="722" spans="1:9" x14ac:dyDescent="0.2">
      <c r="A722" s="2">
        <v>14</v>
      </c>
      <c r="B722" s="1" t="s">
        <v>85</v>
      </c>
      <c r="C722" s="4">
        <v>11</v>
      </c>
      <c r="D722" s="8">
        <v>1.65</v>
      </c>
      <c r="E722" s="4">
        <v>0</v>
      </c>
      <c r="F722" s="8">
        <v>0</v>
      </c>
      <c r="G722" s="4">
        <v>8</v>
      </c>
      <c r="H722" s="8">
        <v>4.2300000000000004</v>
      </c>
      <c r="I722" s="4">
        <v>1</v>
      </c>
    </row>
    <row r="723" spans="1:9" x14ac:dyDescent="0.2">
      <c r="A723" s="2">
        <v>18</v>
      </c>
      <c r="B723" s="1" t="s">
        <v>90</v>
      </c>
      <c r="C723" s="4">
        <v>9</v>
      </c>
      <c r="D723" s="8">
        <v>1.35</v>
      </c>
      <c r="E723" s="4">
        <v>2</v>
      </c>
      <c r="F723" s="8">
        <v>0.44</v>
      </c>
      <c r="G723" s="4">
        <v>7</v>
      </c>
      <c r="H723" s="8">
        <v>3.7</v>
      </c>
      <c r="I723" s="4">
        <v>0</v>
      </c>
    </row>
    <row r="724" spans="1:9" x14ac:dyDescent="0.2">
      <c r="A724" s="2">
        <v>19</v>
      </c>
      <c r="B724" s="1" t="s">
        <v>89</v>
      </c>
      <c r="C724" s="4">
        <v>8</v>
      </c>
      <c r="D724" s="8">
        <v>1.2</v>
      </c>
      <c r="E724" s="4">
        <v>2</v>
      </c>
      <c r="F724" s="8">
        <v>0.44</v>
      </c>
      <c r="G724" s="4">
        <v>6</v>
      </c>
      <c r="H724" s="8">
        <v>3.17</v>
      </c>
      <c r="I724" s="4">
        <v>0</v>
      </c>
    </row>
    <row r="725" spans="1:9" x14ac:dyDescent="0.2">
      <c r="A725" s="2">
        <v>19</v>
      </c>
      <c r="B725" s="1" t="s">
        <v>86</v>
      </c>
      <c r="C725" s="4">
        <v>8</v>
      </c>
      <c r="D725" s="8">
        <v>1.2</v>
      </c>
      <c r="E725" s="4">
        <v>8</v>
      </c>
      <c r="F725" s="8">
        <v>1.75</v>
      </c>
      <c r="G725" s="4">
        <v>0</v>
      </c>
      <c r="H725" s="8">
        <v>0</v>
      </c>
      <c r="I725" s="4">
        <v>0</v>
      </c>
    </row>
    <row r="726" spans="1:9" x14ac:dyDescent="0.2">
      <c r="A726" s="1"/>
      <c r="C726" s="4"/>
      <c r="D726" s="8"/>
      <c r="E726" s="4"/>
      <c r="F726" s="8"/>
      <c r="G726" s="4"/>
      <c r="H726" s="8"/>
      <c r="I726" s="4"/>
    </row>
    <row r="727" spans="1:9" x14ac:dyDescent="0.2">
      <c r="A727" s="1" t="s">
        <v>33</v>
      </c>
      <c r="C727" s="4"/>
      <c r="D727" s="8"/>
      <c r="E727" s="4"/>
      <c r="F727" s="8"/>
      <c r="G727" s="4"/>
      <c r="H727" s="8"/>
      <c r="I727" s="4"/>
    </row>
    <row r="728" spans="1:9" x14ac:dyDescent="0.2">
      <c r="A728" s="2">
        <v>1</v>
      </c>
      <c r="B728" s="1" t="s">
        <v>101</v>
      </c>
      <c r="C728" s="4">
        <v>11</v>
      </c>
      <c r="D728" s="8">
        <v>18.329999999999998</v>
      </c>
      <c r="E728" s="4">
        <v>11</v>
      </c>
      <c r="F728" s="8">
        <v>26.83</v>
      </c>
      <c r="G728" s="4">
        <v>0</v>
      </c>
      <c r="H728" s="8">
        <v>0</v>
      </c>
      <c r="I728" s="4">
        <v>0</v>
      </c>
    </row>
    <row r="729" spans="1:9" x14ac:dyDescent="0.2">
      <c r="A729" s="2">
        <v>2</v>
      </c>
      <c r="B729" s="1" t="s">
        <v>73</v>
      </c>
      <c r="C729" s="4">
        <v>8</v>
      </c>
      <c r="D729" s="8">
        <v>13.33</v>
      </c>
      <c r="E729" s="4">
        <v>8</v>
      </c>
      <c r="F729" s="8">
        <v>19.510000000000002</v>
      </c>
      <c r="G729" s="4">
        <v>0</v>
      </c>
      <c r="H729" s="8">
        <v>0</v>
      </c>
      <c r="I729" s="4">
        <v>0</v>
      </c>
    </row>
    <row r="730" spans="1:9" x14ac:dyDescent="0.2">
      <c r="A730" s="2">
        <v>3</v>
      </c>
      <c r="B730" s="1" t="s">
        <v>67</v>
      </c>
      <c r="C730" s="4">
        <v>6</v>
      </c>
      <c r="D730" s="8">
        <v>10</v>
      </c>
      <c r="E730" s="4">
        <v>0</v>
      </c>
      <c r="F730" s="8">
        <v>0</v>
      </c>
      <c r="G730" s="4">
        <v>6</v>
      </c>
      <c r="H730" s="8">
        <v>46.15</v>
      </c>
      <c r="I730" s="4">
        <v>0</v>
      </c>
    </row>
    <row r="731" spans="1:9" x14ac:dyDescent="0.2">
      <c r="A731" s="2">
        <v>4</v>
      </c>
      <c r="B731" s="1" t="s">
        <v>75</v>
      </c>
      <c r="C731" s="4">
        <v>5</v>
      </c>
      <c r="D731" s="8">
        <v>8.33</v>
      </c>
      <c r="E731" s="4">
        <v>4</v>
      </c>
      <c r="F731" s="8">
        <v>9.76</v>
      </c>
      <c r="G731" s="4">
        <v>1</v>
      </c>
      <c r="H731" s="8">
        <v>7.69</v>
      </c>
      <c r="I731" s="4">
        <v>0</v>
      </c>
    </row>
    <row r="732" spans="1:9" x14ac:dyDescent="0.2">
      <c r="A732" s="2">
        <v>4</v>
      </c>
      <c r="B732" s="1" t="s">
        <v>80</v>
      </c>
      <c r="C732" s="4">
        <v>5</v>
      </c>
      <c r="D732" s="8">
        <v>8.33</v>
      </c>
      <c r="E732" s="4">
        <v>5</v>
      </c>
      <c r="F732" s="8">
        <v>12.2</v>
      </c>
      <c r="G732" s="4">
        <v>0</v>
      </c>
      <c r="H732" s="8">
        <v>0</v>
      </c>
      <c r="I732" s="4">
        <v>0</v>
      </c>
    </row>
    <row r="733" spans="1:9" x14ac:dyDescent="0.2">
      <c r="A733" s="2">
        <v>6</v>
      </c>
      <c r="B733" s="1" t="s">
        <v>81</v>
      </c>
      <c r="C733" s="4">
        <v>3</v>
      </c>
      <c r="D733" s="8">
        <v>5</v>
      </c>
      <c r="E733" s="4">
        <v>3</v>
      </c>
      <c r="F733" s="8">
        <v>7.32</v>
      </c>
      <c r="G733" s="4">
        <v>0</v>
      </c>
      <c r="H733" s="8">
        <v>0</v>
      </c>
      <c r="I733" s="4">
        <v>0</v>
      </c>
    </row>
    <row r="734" spans="1:9" x14ac:dyDescent="0.2">
      <c r="A734" s="2">
        <v>6</v>
      </c>
      <c r="B734" s="1" t="s">
        <v>85</v>
      </c>
      <c r="C734" s="4">
        <v>3</v>
      </c>
      <c r="D734" s="8">
        <v>5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2">
      <c r="A735" s="2">
        <v>8</v>
      </c>
      <c r="B735" s="1" t="s">
        <v>77</v>
      </c>
      <c r="C735" s="4">
        <v>2</v>
      </c>
      <c r="D735" s="8">
        <v>3.33</v>
      </c>
      <c r="E735" s="4">
        <v>0</v>
      </c>
      <c r="F735" s="8">
        <v>0</v>
      </c>
      <c r="G735" s="4">
        <v>1</v>
      </c>
      <c r="H735" s="8">
        <v>7.69</v>
      </c>
      <c r="I735" s="4">
        <v>0</v>
      </c>
    </row>
    <row r="736" spans="1:9" x14ac:dyDescent="0.2">
      <c r="A736" s="2">
        <v>8</v>
      </c>
      <c r="B736" s="1" t="s">
        <v>94</v>
      </c>
      <c r="C736" s="4">
        <v>2</v>
      </c>
      <c r="D736" s="8">
        <v>3.33</v>
      </c>
      <c r="E736" s="4">
        <v>2</v>
      </c>
      <c r="F736" s="8">
        <v>4.88</v>
      </c>
      <c r="G736" s="4">
        <v>0</v>
      </c>
      <c r="H736" s="8">
        <v>0</v>
      </c>
      <c r="I736" s="4">
        <v>0</v>
      </c>
    </row>
    <row r="737" spans="1:9" x14ac:dyDescent="0.2">
      <c r="A737" s="2">
        <v>8</v>
      </c>
      <c r="B737" s="1" t="s">
        <v>84</v>
      </c>
      <c r="C737" s="4">
        <v>2</v>
      </c>
      <c r="D737" s="8">
        <v>3.33</v>
      </c>
      <c r="E737" s="4">
        <v>2</v>
      </c>
      <c r="F737" s="8">
        <v>4.88</v>
      </c>
      <c r="G737" s="4">
        <v>0</v>
      </c>
      <c r="H737" s="8">
        <v>0</v>
      </c>
      <c r="I737" s="4">
        <v>0</v>
      </c>
    </row>
    <row r="738" spans="1:9" x14ac:dyDescent="0.2">
      <c r="A738" s="2">
        <v>8</v>
      </c>
      <c r="B738" s="1" t="s">
        <v>111</v>
      </c>
      <c r="C738" s="4">
        <v>2</v>
      </c>
      <c r="D738" s="8">
        <v>3.33</v>
      </c>
      <c r="E738" s="4">
        <v>0</v>
      </c>
      <c r="F738" s="8">
        <v>0</v>
      </c>
      <c r="G738" s="4">
        <v>2</v>
      </c>
      <c r="H738" s="8">
        <v>15.38</v>
      </c>
      <c r="I738" s="4">
        <v>0</v>
      </c>
    </row>
    <row r="739" spans="1:9" x14ac:dyDescent="0.2">
      <c r="A739" s="2">
        <v>8</v>
      </c>
      <c r="B739" s="1" t="s">
        <v>99</v>
      </c>
      <c r="C739" s="4">
        <v>2</v>
      </c>
      <c r="D739" s="8">
        <v>3.33</v>
      </c>
      <c r="E739" s="4">
        <v>2</v>
      </c>
      <c r="F739" s="8">
        <v>4.88</v>
      </c>
      <c r="G739" s="4">
        <v>0</v>
      </c>
      <c r="H739" s="8">
        <v>0</v>
      </c>
      <c r="I739" s="4">
        <v>0</v>
      </c>
    </row>
    <row r="740" spans="1:9" x14ac:dyDescent="0.2">
      <c r="A740" s="2">
        <v>13</v>
      </c>
      <c r="B740" s="1" t="s">
        <v>115</v>
      </c>
      <c r="C740" s="4">
        <v>1</v>
      </c>
      <c r="D740" s="8">
        <v>1.67</v>
      </c>
      <c r="E740" s="4">
        <v>0</v>
      </c>
      <c r="F740" s="8">
        <v>0</v>
      </c>
      <c r="G740" s="4">
        <v>1</v>
      </c>
      <c r="H740" s="8">
        <v>7.69</v>
      </c>
      <c r="I740" s="4">
        <v>0</v>
      </c>
    </row>
    <row r="741" spans="1:9" x14ac:dyDescent="0.2">
      <c r="A741" s="2">
        <v>13</v>
      </c>
      <c r="B741" s="1" t="s">
        <v>116</v>
      </c>
      <c r="C741" s="4">
        <v>1</v>
      </c>
      <c r="D741" s="8">
        <v>1.67</v>
      </c>
      <c r="E741" s="4">
        <v>0</v>
      </c>
      <c r="F741" s="8">
        <v>0</v>
      </c>
      <c r="G741" s="4">
        <v>1</v>
      </c>
      <c r="H741" s="8">
        <v>7.69</v>
      </c>
      <c r="I741" s="4">
        <v>0</v>
      </c>
    </row>
    <row r="742" spans="1:9" x14ac:dyDescent="0.2">
      <c r="A742" s="2">
        <v>13</v>
      </c>
      <c r="B742" s="1" t="s">
        <v>103</v>
      </c>
      <c r="C742" s="4">
        <v>1</v>
      </c>
      <c r="D742" s="8">
        <v>1.67</v>
      </c>
      <c r="E742" s="4">
        <v>1</v>
      </c>
      <c r="F742" s="8">
        <v>2.44</v>
      </c>
      <c r="G742" s="4">
        <v>0</v>
      </c>
      <c r="H742" s="8">
        <v>0</v>
      </c>
      <c r="I742" s="4">
        <v>0</v>
      </c>
    </row>
    <row r="743" spans="1:9" x14ac:dyDescent="0.2">
      <c r="A743" s="2">
        <v>13</v>
      </c>
      <c r="B743" s="1" t="s">
        <v>117</v>
      </c>
      <c r="C743" s="4">
        <v>1</v>
      </c>
      <c r="D743" s="8">
        <v>1.67</v>
      </c>
      <c r="E743" s="4">
        <v>0</v>
      </c>
      <c r="F743" s="8">
        <v>0</v>
      </c>
      <c r="G743" s="4">
        <v>0</v>
      </c>
      <c r="H743" s="8">
        <v>0</v>
      </c>
      <c r="I743" s="4">
        <v>0</v>
      </c>
    </row>
    <row r="744" spans="1:9" x14ac:dyDescent="0.2">
      <c r="A744" s="2">
        <v>13</v>
      </c>
      <c r="B744" s="1" t="s">
        <v>105</v>
      </c>
      <c r="C744" s="4">
        <v>1</v>
      </c>
      <c r="D744" s="8">
        <v>1.67</v>
      </c>
      <c r="E744" s="4">
        <v>0</v>
      </c>
      <c r="F744" s="8">
        <v>0</v>
      </c>
      <c r="G744" s="4">
        <v>1</v>
      </c>
      <c r="H744" s="8">
        <v>7.69</v>
      </c>
      <c r="I744" s="4">
        <v>0</v>
      </c>
    </row>
    <row r="745" spans="1:9" x14ac:dyDescent="0.2">
      <c r="A745" s="2">
        <v>13</v>
      </c>
      <c r="B745" s="1" t="s">
        <v>78</v>
      </c>
      <c r="C745" s="4">
        <v>1</v>
      </c>
      <c r="D745" s="8">
        <v>1.67</v>
      </c>
      <c r="E745" s="4">
        <v>1</v>
      </c>
      <c r="F745" s="8">
        <v>2.44</v>
      </c>
      <c r="G745" s="4">
        <v>0</v>
      </c>
      <c r="H745" s="8">
        <v>0</v>
      </c>
      <c r="I745" s="4">
        <v>0</v>
      </c>
    </row>
    <row r="746" spans="1:9" x14ac:dyDescent="0.2">
      <c r="A746" s="2">
        <v>13</v>
      </c>
      <c r="B746" s="1" t="s">
        <v>93</v>
      </c>
      <c r="C746" s="4">
        <v>1</v>
      </c>
      <c r="D746" s="8">
        <v>1.67</v>
      </c>
      <c r="E746" s="4">
        <v>1</v>
      </c>
      <c r="F746" s="8">
        <v>2.44</v>
      </c>
      <c r="G746" s="4">
        <v>0</v>
      </c>
      <c r="H746" s="8">
        <v>0</v>
      </c>
      <c r="I746" s="4">
        <v>0</v>
      </c>
    </row>
    <row r="747" spans="1:9" x14ac:dyDescent="0.2">
      <c r="A747" s="2">
        <v>13</v>
      </c>
      <c r="B747" s="1" t="s">
        <v>82</v>
      </c>
      <c r="C747" s="4">
        <v>1</v>
      </c>
      <c r="D747" s="8">
        <v>1.67</v>
      </c>
      <c r="E747" s="4">
        <v>1</v>
      </c>
      <c r="F747" s="8">
        <v>2.44</v>
      </c>
      <c r="G747" s="4">
        <v>0</v>
      </c>
      <c r="H747" s="8">
        <v>0</v>
      </c>
      <c r="I747" s="4">
        <v>0</v>
      </c>
    </row>
    <row r="748" spans="1:9" x14ac:dyDescent="0.2">
      <c r="A748" s="2">
        <v>13</v>
      </c>
      <c r="B748" s="1" t="s">
        <v>83</v>
      </c>
      <c r="C748" s="4">
        <v>1</v>
      </c>
      <c r="D748" s="8">
        <v>1.67</v>
      </c>
      <c r="E748" s="4">
        <v>0</v>
      </c>
      <c r="F748" s="8">
        <v>0</v>
      </c>
      <c r="G748" s="4">
        <v>0</v>
      </c>
      <c r="H748" s="8">
        <v>0</v>
      </c>
      <c r="I748" s="4">
        <v>0</v>
      </c>
    </row>
    <row r="749" spans="1:9" x14ac:dyDescent="0.2">
      <c r="A749" s="1"/>
      <c r="C749" s="4"/>
      <c r="D749" s="8"/>
      <c r="E749" s="4"/>
      <c r="F749" s="8"/>
      <c r="G749" s="4"/>
      <c r="H749" s="8"/>
      <c r="I749" s="4"/>
    </row>
    <row r="750" spans="1:9" x14ac:dyDescent="0.2">
      <c r="A750" s="1" t="s">
        <v>34</v>
      </c>
      <c r="C750" s="4"/>
      <c r="D750" s="8"/>
      <c r="E750" s="4"/>
      <c r="F750" s="8"/>
      <c r="G750" s="4"/>
      <c r="H750" s="8"/>
      <c r="I750" s="4"/>
    </row>
    <row r="751" spans="1:9" x14ac:dyDescent="0.2">
      <c r="A751" s="2">
        <v>1</v>
      </c>
      <c r="B751" s="1" t="s">
        <v>73</v>
      </c>
      <c r="C751" s="4">
        <v>12</v>
      </c>
      <c r="D751" s="8">
        <v>19.670000000000002</v>
      </c>
      <c r="E751" s="4">
        <v>7</v>
      </c>
      <c r="F751" s="8">
        <v>21.21</v>
      </c>
      <c r="G751" s="4">
        <v>5</v>
      </c>
      <c r="H751" s="8">
        <v>20</v>
      </c>
      <c r="I751" s="4">
        <v>0</v>
      </c>
    </row>
    <row r="752" spans="1:9" x14ac:dyDescent="0.2">
      <c r="A752" s="2">
        <v>2</v>
      </c>
      <c r="B752" s="1" t="s">
        <v>81</v>
      </c>
      <c r="C752" s="4">
        <v>7</v>
      </c>
      <c r="D752" s="8">
        <v>11.48</v>
      </c>
      <c r="E752" s="4">
        <v>6</v>
      </c>
      <c r="F752" s="8">
        <v>18.18</v>
      </c>
      <c r="G752" s="4">
        <v>1</v>
      </c>
      <c r="H752" s="8">
        <v>4</v>
      </c>
      <c r="I752" s="4">
        <v>0</v>
      </c>
    </row>
    <row r="753" spans="1:9" x14ac:dyDescent="0.2">
      <c r="A753" s="2">
        <v>3</v>
      </c>
      <c r="B753" s="1" t="s">
        <v>67</v>
      </c>
      <c r="C753" s="4">
        <v>6</v>
      </c>
      <c r="D753" s="8">
        <v>9.84</v>
      </c>
      <c r="E753" s="4">
        <v>2</v>
      </c>
      <c r="F753" s="8">
        <v>6.06</v>
      </c>
      <c r="G753" s="4">
        <v>4</v>
      </c>
      <c r="H753" s="8">
        <v>16</v>
      </c>
      <c r="I753" s="4">
        <v>0</v>
      </c>
    </row>
    <row r="754" spans="1:9" x14ac:dyDescent="0.2">
      <c r="A754" s="2">
        <v>3</v>
      </c>
      <c r="B754" s="1" t="s">
        <v>82</v>
      </c>
      <c r="C754" s="4">
        <v>6</v>
      </c>
      <c r="D754" s="8">
        <v>9.84</v>
      </c>
      <c r="E754" s="4">
        <v>6</v>
      </c>
      <c r="F754" s="8">
        <v>18.18</v>
      </c>
      <c r="G754" s="4">
        <v>0</v>
      </c>
      <c r="H754" s="8">
        <v>0</v>
      </c>
      <c r="I754" s="4">
        <v>0</v>
      </c>
    </row>
    <row r="755" spans="1:9" x14ac:dyDescent="0.2">
      <c r="A755" s="2">
        <v>5</v>
      </c>
      <c r="B755" s="1" t="s">
        <v>75</v>
      </c>
      <c r="C755" s="4">
        <v>5</v>
      </c>
      <c r="D755" s="8">
        <v>8.1999999999999993</v>
      </c>
      <c r="E755" s="4">
        <v>2</v>
      </c>
      <c r="F755" s="8">
        <v>6.06</v>
      </c>
      <c r="G755" s="4">
        <v>3</v>
      </c>
      <c r="H755" s="8">
        <v>12</v>
      </c>
      <c r="I755" s="4">
        <v>0</v>
      </c>
    </row>
    <row r="756" spans="1:9" x14ac:dyDescent="0.2">
      <c r="A756" s="2">
        <v>6</v>
      </c>
      <c r="B756" s="1" t="s">
        <v>68</v>
      </c>
      <c r="C756" s="4">
        <v>3</v>
      </c>
      <c r="D756" s="8">
        <v>4.92</v>
      </c>
      <c r="E756" s="4">
        <v>3</v>
      </c>
      <c r="F756" s="8">
        <v>9.09</v>
      </c>
      <c r="G756" s="4">
        <v>0</v>
      </c>
      <c r="H756" s="8">
        <v>0</v>
      </c>
      <c r="I756" s="4">
        <v>0</v>
      </c>
    </row>
    <row r="757" spans="1:9" x14ac:dyDescent="0.2">
      <c r="A757" s="2">
        <v>6</v>
      </c>
      <c r="B757" s="1" t="s">
        <v>98</v>
      </c>
      <c r="C757" s="4">
        <v>3</v>
      </c>
      <c r="D757" s="8">
        <v>4.92</v>
      </c>
      <c r="E757" s="4">
        <v>0</v>
      </c>
      <c r="F757" s="8">
        <v>0</v>
      </c>
      <c r="G757" s="4">
        <v>3</v>
      </c>
      <c r="H757" s="8">
        <v>12</v>
      </c>
      <c r="I757" s="4">
        <v>0</v>
      </c>
    </row>
    <row r="758" spans="1:9" x14ac:dyDescent="0.2">
      <c r="A758" s="2">
        <v>6</v>
      </c>
      <c r="B758" s="1" t="s">
        <v>113</v>
      </c>
      <c r="C758" s="4">
        <v>3</v>
      </c>
      <c r="D758" s="8">
        <v>4.92</v>
      </c>
      <c r="E758" s="4">
        <v>1</v>
      </c>
      <c r="F758" s="8">
        <v>3.03</v>
      </c>
      <c r="G758" s="4">
        <v>2</v>
      </c>
      <c r="H758" s="8">
        <v>8</v>
      </c>
      <c r="I758" s="4">
        <v>0</v>
      </c>
    </row>
    <row r="759" spans="1:9" x14ac:dyDescent="0.2">
      <c r="A759" s="2">
        <v>9</v>
      </c>
      <c r="B759" s="1" t="s">
        <v>77</v>
      </c>
      <c r="C759" s="4">
        <v>2</v>
      </c>
      <c r="D759" s="8">
        <v>3.28</v>
      </c>
      <c r="E759" s="4">
        <v>0</v>
      </c>
      <c r="F759" s="8">
        <v>0</v>
      </c>
      <c r="G759" s="4">
        <v>1</v>
      </c>
      <c r="H759" s="8">
        <v>4</v>
      </c>
      <c r="I759" s="4">
        <v>0</v>
      </c>
    </row>
    <row r="760" spans="1:9" x14ac:dyDescent="0.2">
      <c r="A760" s="2">
        <v>9</v>
      </c>
      <c r="B760" s="1" t="s">
        <v>93</v>
      </c>
      <c r="C760" s="4">
        <v>2</v>
      </c>
      <c r="D760" s="8">
        <v>3.28</v>
      </c>
      <c r="E760" s="4">
        <v>2</v>
      </c>
      <c r="F760" s="8">
        <v>6.06</v>
      </c>
      <c r="G760" s="4">
        <v>0</v>
      </c>
      <c r="H760" s="8">
        <v>0</v>
      </c>
      <c r="I760" s="4">
        <v>0</v>
      </c>
    </row>
    <row r="761" spans="1:9" x14ac:dyDescent="0.2">
      <c r="A761" s="2">
        <v>11</v>
      </c>
      <c r="B761" s="1" t="s">
        <v>69</v>
      </c>
      <c r="C761" s="4">
        <v>1</v>
      </c>
      <c r="D761" s="8">
        <v>1.64</v>
      </c>
      <c r="E761" s="4">
        <v>0</v>
      </c>
      <c r="F761" s="8">
        <v>0</v>
      </c>
      <c r="G761" s="4">
        <v>1</v>
      </c>
      <c r="H761" s="8">
        <v>4</v>
      </c>
      <c r="I761" s="4">
        <v>0</v>
      </c>
    </row>
    <row r="762" spans="1:9" x14ac:dyDescent="0.2">
      <c r="A762" s="2">
        <v>11</v>
      </c>
      <c r="B762" s="1" t="s">
        <v>70</v>
      </c>
      <c r="C762" s="4">
        <v>1</v>
      </c>
      <c r="D762" s="8">
        <v>1.64</v>
      </c>
      <c r="E762" s="4">
        <v>1</v>
      </c>
      <c r="F762" s="8">
        <v>3.03</v>
      </c>
      <c r="G762" s="4">
        <v>0</v>
      </c>
      <c r="H762" s="8">
        <v>0</v>
      </c>
      <c r="I762" s="4">
        <v>0</v>
      </c>
    </row>
    <row r="763" spans="1:9" x14ac:dyDescent="0.2">
      <c r="A763" s="2">
        <v>11</v>
      </c>
      <c r="B763" s="1" t="s">
        <v>90</v>
      </c>
      <c r="C763" s="4">
        <v>1</v>
      </c>
      <c r="D763" s="8">
        <v>1.64</v>
      </c>
      <c r="E763" s="4">
        <v>0</v>
      </c>
      <c r="F763" s="8">
        <v>0</v>
      </c>
      <c r="G763" s="4">
        <v>1</v>
      </c>
      <c r="H763" s="8">
        <v>4</v>
      </c>
      <c r="I763" s="4">
        <v>0</v>
      </c>
    </row>
    <row r="764" spans="1:9" x14ac:dyDescent="0.2">
      <c r="A764" s="2">
        <v>11</v>
      </c>
      <c r="B764" s="1" t="s">
        <v>104</v>
      </c>
      <c r="C764" s="4">
        <v>1</v>
      </c>
      <c r="D764" s="8">
        <v>1.64</v>
      </c>
      <c r="E764" s="4">
        <v>0</v>
      </c>
      <c r="F764" s="8">
        <v>0</v>
      </c>
      <c r="G764" s="4">
        <v>1</v>
      </c>
      <c r="H764" s="8">
        <v>4</v>
      </c>
      <c r="I764" s="4">
        <v>0</v>
      </c>
    </row>
    <row r="765" spans="1:9" x14ac:dyDescent="0.2">
      <c r="A765" s="2">
        <v>11</v>
      </c>
      <c r="B765" s="1" t="s">
        <v>117</v>
      </c>
      <c r="C765" s="4">
        <v>1</v>
      </c>
      <c r="D765" s="8">
        <v>1.64</v>
      </c>
      <c r="E765" s="4">
        <v>0</v>
      </c>
      <c r="F765" s="8">
        <v>0</v>
      </c>
      <c r="G765" s="4">
        <v>0</v>
      </c>
      <c r="H765" s="8">
        <v>0</v>
      </c>
      <c r="I765" s="4">
        <v>0</v>
      </c>
    </row>
    <row r="766" spans="1:9" x14ac:dyDescent="0.2">
      <c r="A766" s="2">
        <v>11</v>
      </c>
      <c r="B766" s="1" t="s">
        <v>118</v>
      </c>
      <c r="C766" s="4">
        <v>1</v>
      </c>
      <c r="D766" s="8">
        <v>1.64</v>
      </c>
      <c r="E766" s="4">
        <v>0</v>
      </c>
      <c r="F766" s="8">
        <v>0</v>
      </c>
      <c r="G766" s="4">
        <v>1</v>
      </c>
      <c r="H766" s="8">
        <v>4</v>
      </c>
      <c r="I766" s="4">
        <v>0</v>
      </c>
    </row>
    <row r="767" spans="1:9" x14ac:dyDescent="0.2">
      <c r="A767" s="2">
        <v>11</v>
      </c>
      <c r="B767" s="1" t="s">
        <v>71</v>
      </c>
      <c r="C767" s="4">
        <v>1</v>
      </c>
      <c r="D767" s="8">
        <v>1.64</v>
      </c>
      <c r="E767" s="4">
        <v>1</v>
      </c>
      <c r="F767" s="8">
        <v>3.03</v>
      </c>
      <c r="G767" s="4">
        <v>0</v>
      </c>
      <c r="H767" s="8">
        <v>0</v>
      </c>
      <c r="I767" s="4">
        <v>0</v>
      </c>
    </row>
    <row r="768" spans="1:9" x14ac:dyDescent="0.2">
      <c r="A768" s="2">
        <v>11</v>
      </c>
      <c r="B768" s="1" t="s">
        <v>78</v>
      </c>
      <c r="C768" s="4">
        <v>1</v>
      </c>
      <c r="D768" s="8">
        <v>1.64</v>
      </c>
      <c r="E768" s="4">
        <v>0</v>
      </c>
      <c r="F768" s="8">
        <v>0</v>
      </c>
      <c r="G768" s="4">
        <v>1</v>
      </c>
      <c r="H768" s="8">
        <v>4</v>
      </c>
      <c r="I768" s="4">
        <v>0</v>
      </c>
    </row>
    <row r="769" spans="1:9" x14ac:dyDescent="0.2">
      <c r="A769" s="2">
        <v>11</v>
      </c>
      <c r="B769" s="1" t="s">
        <v>80</v>
      </c>
      <c r="C769" s="4">
        <v>1</v>
      </c>
      <c r="D769" s="8">
        <v>1.64</v>
      </c>
      <c r="E769" s="4">
        <v>1</v>
      </c>
      <c r="F769" s="8">
        <v>3.03</v>
      </c>
      <c r="G769" s="4">
        <v>0</v>
      </c>
      <c r="H769" s="8">
        <v>0</v>
      </c>
      <c r="I769" s="4">
        <v>0</v>
      </c>
    </row>
    <row r="770" spans="1:9" x14ac:dyDescent="0.2">
      <c r="A770" s="2">
        <v>11</v>
      </c>
      <c r="B770" s="1" t="s">
        <v>84</v>
      </c>
      <c r="C770" s="4">
        <v>1</v>
      </c>
      <c r="D770" s="8">
        <v>1.64</v>
      </c>
      <c r="E770" s="4">
        <v>1</v>
      </c>
      <c r="F770" s="8">
        <v>3.03</v>
      </c>
      <c r="G770" s="4">
        <v>0</v>
      </c>
      <c r="H770" s="8">
        <v>0</v>
      </c>
      <c r="I770" s="4">
        <v>0</v>
      </c>
    </row>
    <row r="771" spans="1:9" x14ac:dyDescent="0.2">
      <c r="A771" s="2">
        <v>11</v>
      </c>
      <c r="B771" s="1" t="s">
        <v>85</v>
      </c>
      <c r="C771" s="4">
        <v>1</v>
      </c>
      <c r="D771" s="8">
        <v>1.64</v>
      </c>
      <c r="E771" s="4">
        <v>0</v>
      </c>
      <c r="F771" s="8">
        <v>0</v>
      </c>
      <c r="G771" s="4">
        <v>0</v>
      </c>
      <c r="H771" s="8">
        <v>0</v>
      </c>
      <c r="I771" s="4">
        <v>0</v>
      </c>
    </row>
    <row r="772" spans="1:9" x14ac:dyDescent="0.2">
      <c r="A772" s="2">
        <v>11</v>
      </c>
      <c r="B772" s="1" t="s">
        <v>95</v>
      </c>
      <c r="C772" s="4">
        <v>1</v>
      </c>
      <c r="D772" s="8">
        <v>1.64</v>
      </c>
      <c r="E772" s="4">
        <v>0</v>
      </c>
      <c r="F772" s="8">
        <v>0</v>
      </c>
      <c r="G772" s="4">
        <v>1</v>
      </c>
      <c r="H772" s="8">
        <v>4</v>
      </c>
      <c r="I772" s="4">
        <v>0</v>
      </c>
    </row>
    <row r="773" spans="1:9" x14ac:dyDescent="0.2">
      <c r="A773" s="1"/>
      <c r="C773" s="4"/>
      <c r="D773" s="8"/>
      <c r="E773" s="4"/>
      <c r="F773" s="8"/>
      <c r="G773" s="4"/>
      <c r="H773" s="8"/>
      <c r="I773" s="4"/>
    </row>
    <row r="774" spans="1:9" x14ac:dyDescent="0.2">
      <c r="A774" s="1" t="s">
        <v>35</v>
      </c>
      <c r="C774" s="4"/>
      <c r="D774" s="8"/>
      <c r="E774" s="4"/>
      <c r="F774" s="8"/>
      <c r="G774" s="4"/>
      <c r="H774" s="8"/>
      <c r="I774" s="4"/>
    </row>
    <row r="775" spans="1:9" x14ac:dyDescent="0.2">
      <c r="A775" s="2">
        <v>1</v>
      </c>
      <c r="B775" s="1" t="s">
        <v>81</v>
      </c>
      <c r="C775" s="4">
        <v>68</v>
      </c>
      <c r="D775" s="8">
        <v>18.28</v>
      </c>
      <c r="E775" s="4">
        <v>66</v>
      </c>
      <c r="F775" s="8">
        <v>24.91</v>
      </c>
      <c r="G775" s="4">
        <v>2</v>
      </c>
      <c r="H775" s="8">
        <v>2.11</v>
      </c>
      <c r="I775" s="4">
        <v>0</v>
      </c>
    </row>
    <row r="776" spans="1:9" x14ac:dyDescent="0.2">
      <c r="A776" s="2">
        <v>2</v>
      </c>
      <c r="B776" s="1" t="s">
        <v>73</v>
      </c>
      <c r="C776" s="4">
        <v>63</v>
      </c>
      <c r="D776" s="8">
        <v>16.940000000000001</v>
      </c>
      <c r="E776" s="4">
        <v>54</v>
      </c>
      <c r="F776" s="8">
        <v>20.38</v>
      </c>
      <c r="G776" s="4">
        <v>9</v>
      </c>
      <c r="H776" s="8">
        <v>9.4700000000000006</v>
      </c>
      <c r="I776" s="4">
        <v>0</v>
      </c>
    </row>
    <row r="777" spans="1:9" x14ac:dyDescent="0.2">
      <c r="A777" s="2">
        <v>3</v>
      </c>
      <c r="B777" s="1" t="s">
        <v>82</v>
      </c>
      <c r="C777" s="4">
        <v>34</v>
      </c>
      <c r="D777" s="8">
        <v>9.14</v>
      </c>
      <c r="E777" s="4">
        <v>33</v>
      </c>
      <c r="F777" s="8">
        <v>12.45</v>
      </c>
      <c r="G777" s="4">
        <v>1</v>
      </c>
      <c r="H777" s="8">
        <v>1.05</v>
      </c>
      <c r="I777" s="4">
        <v>0</v>
      </c>
    </row>
    <row r="778" spans="1:9" x14ac:dyDescent="0.2">
      <c r="A778" s="2">
        <v>4</v>
      </c>
      <c r="B778" s="1" t="s">
        <v>75</v>
      </c>
      <c r="C778" s="4">
        <v>23</v>
      </c>
      <c r="D778" s="8">
        <v>6.18</v>
      </c>
      <c r="E778" s="4">
        <v>14</v>
      </c>
      <c r="F778" s="8">
        <v>5.28</v>
      </c>
      <c r="G778" s="4">
        <v>9</v>
      </c>
      <c r="H778" s="8">
        <v>9.4700000000000006</v>
      </c>
      <c r="I778" s="4">
        <v>0</v>
      </c>
    </row>
    <row r="779" spans="1:9" x14ac:dyDescent="0.2">
      <c r="A779" s="2">
        <v>5</v>
      </c>
      <c r="B779" s="1" t="s">
        <v>80</v>
      </c>
      <c r="C779" s="4">
        <v>22</v>
      </c>
      <c r="D779" s="8">
        <v>5.91</v>
      </c>
      <c r="E779" s="4">
        <v>22</v>
      </c>
      <c r="F779" s="8">
        <v>8.3000000000000007</v>
      </c>
      <c r="G779" s="4">
        <v>0</v>
      </c>
      <c r="H779" s="8">
        <v>0</v>
      </c>
      <c r="I779" s="4">
        <v>0</v>
      </c>
    </row>
    <row r="780" spans="1:9" x14ac:dyDescent="0.2">
      <c r="A780" s="2">
        <v>6</v>
      </c>
      <c r="B780" s="1" t="s">
        <v>77</v>
      </c>
      <c r="C780" s="4">
        <v>15</v>
      </c>
      <c r="D780" s="8">
        <v>4.03</v>
      </c>
      <c r="E780" s="4">
        <v>6</v>
      </c>
      <c r="F780" s="8">
        <v>2.2599999999999998</v>
      </c>
      <c r="G780" s="4">
        <v>9</v>
      </c>
      <c r="H780" s="8">
        <v>9.4700000000000006</v>
      </c>
      <c r="I780" s="4">
        <v>0</v>
      </c>
    </row>
    <row r="781" spans="1:9" x14ac:dyDescent="0.2">
      <c r="A781" s="2">
        <v>7</v>
      </c>
      <c r="B781" s="1" t="s">
        <v>94</v>
      </c>
      <c r="C781" s="4">
        <v>11</v>
      </c>
      <c r="D781" s="8">
        <v>2.96</v>
      </c>
      <c r="E781" s="4">
        <v>8</v>
      </c>
      <c r="F781" s="8">
        <v>3.02</v>
      </c>
      <c r="G781" s="4">
        <v>2</v>
      </c>
      <c r="H781" s="8">
        <v>2.11</v>
      </c>
      <c r="I781" s="4">
        <v>0</v>
      </c>
    </row>
    <row r="782" spans="1:9" x14ac:dyDescent="0.2">
      <c r="A782" s="2">
        <v>8</v>
      </c>
      <c r="B782" s="1" t="s">
        <v>69</v>
      </c>
      <c r="C782" s="4">
        <v>9</v>
      </c>
      <c r="D782" s="8">
        <v>2.42</v>
      </c>
      <c r="E782" s="4">
        <v>2</v>
      </c>
      <c r="F782" s="8">
        <v>0.75</v>
      </c>
      <c r="G782" s="4">
        <v>7</v>
      </c>
      <c r="H782" s="8">
        <v>7.37</v>
      </c>
      <c r="I782" s="4">
        <v>0</v>
      </c>
    </row>
    <row r="783" spans="1:9" x14ac:dyDescent="0.2">
      <c r="A783" s="2">
        <v>8</v>
      </c>
      <c r="B783" s="1" t="s">
        <v>70</v>
      </c>
      <c r="C783" s="4">
        <v>9</v>
      </c>
      <c r="D783" s="8">
        <v>2.42</v>
      </c>
      <c r="E783" s="4">
        <v>9</v>
      </c>
      <c r="F783" s="8">
        <v>3.4</v>
      </c>
      <c r="G783" s="4">
        <v>0</v>
      </c>
      <c r="H783" s="8">
        <v>0</v>
      </c>
      <c r="I783" s="4">
        <v>0</v>
      </c>
    </row>
    <row r="784" spans="1:9" x14ac:dyDescent="0.2">
      <c r="A784" s="2">
        <v>10</v>
      </c>
      <c r="B784" s="1" t="s">
        <v>67</v>
      </c>
      <c r="C784" s="4">
        <v>8</v>
      </c>
      <c r="D784" s="8">
        <v>2.15</v>
      </c>
      <c r="E784" s="4">
        <v>1</v>
      </c>
      <c r="F784" s="8">
        <v>0.38</v>
      </c>
      <c r="G784" s="4">
        <v>7</v>
      </c>
      <c r="H784" s="8">
        <v>7.37</v>
      </c>
      <c r="I784" s="4">
        <v>0</v>
      </c>
    </row>
    <row r="785" spans="1:9" x14ac:dyDescent="0.2">
      <c r="A785" s="2">
        <v>10</v>
      </c>
      <c r="B785" s="1" t="s">
        <v>72</v>
      </c>
      <c r="C785" s="4">
        <v>8</v>
      </c>
      <c r="D785" s="8">
        <v>2.15</v>
      </c>
      <c r="E785" s="4">
        <v>6</v>
      </c>
      <c r="F785" s="8">
        <v>2.2599999999999998</v>
      </c>
      <c r="G785" s="4">
        <v>2</v>
      </c>
      <c r="H785" s="8">
        <v>2.11</v>
      </c>
      <c r="I785" s="4">
        <v>0</v>
      </c>
    </row>
    <row r="786" spans="1:9" x14ac:dyDescent="0.2">
      <c r="A786" s="2">
        <v>10</v>
      </c>
      <c r="B786" s="1" t="s">
        <v>83</v>
      </c>
      <c r="C786" s="4">
        <v>8</v>
      </c>
      <c r="D786" s="8">
        <v>2.15</v>
      </c>
      <c r="E786" s="4">
        <v>3</v>
      </c>
      <c r="F786" s="8">
        <v>1.1299999999999999</v>
      </c>
      <c r="G786" s="4">
        <v>2</v>
      </c>
      <c r="H786" s="8">
        <v>2.11</v>
      </c>
      <c r="I786" s="4">
        <v>0</v>
      </c>
    </row>
    <row r="787" spans="1:9" x14ac:dyDescent="0.2">
      <c r="A787" s="2">
        <v>13</v>
      </c>
      <c r="B787" s="1" t="s">
        <v>85</v>
      </c>
      <c r="C787" s="4">
        <v>7</v>
      </c>
      <c r="D787" s="8">
        <v>1.88</v>
      </c>
      <c r="E787" s="4">
        <v>0</v>
      </c>
      <c r="F787" s="8">
        <v>0</v>
      </c>
      <c r="G787" s="4">
        <v>3</v>
      </c>
      <c r="H787" s="8">
        <v>3.16</v>
      </c>
      <c r="I787" s="4">
        <v>0</v>
      </c>
    </row>
    <row r="788" spans="1:9" x14ac:dyDescent="0.2">
      <c r="A788" s="2">
        <v>14</v>
      </c>
      <c r="B788" s="1" t="s">
        <v>68</v>
      </c>
      <c r="C788" s="4">
        <v>6</v>
      </c>
      <c r="D788" s="8">
        <v>1.61</v>
      </c>
      <c r="E788" s="4">
        <v>2</v>
      </c>
      <c r="F788" s="8">
        <v>0.75</v>
      </c>
      <c r="G788" s="4">
        <v>4</v>
      </c>
      <c r="H788" s="8">
        <v>4.21</v>
      </c>
      <c r="I788" s="4">
        <v>0</v>
      </c>
    </row>
    <row r="789" spans="1:9" x14ac:dyDescent="0.2">
      <c r="A789" s="2">
        <v>14</v>
      </c>
      <c r="B789" s="1" t="s">
        <v>91</v>
      </c>
      <c r="C789" s="4">
        <v>6</v>
      </c>
      <c r="D789" s="8">
        <v>1.61</v>
      </c>
      <c r="E789" s="4">
        <v>3</v>
      </c>
      <c r="F789" s="8">
        <v>1.1299999999999999</v>
      </c>
      <c r="G789" s="4">
        <v>2</v>
      </c>
      <c r="H789" s="8">
        <v>2.11</v>
      </c>
      <c r="I789" s="4">
        <v>0</v>
      </c>
    </row>
    <row r="790" spans="1:9" x14ac:dyDescent="0.2">
      <c r="A790" s="2">
        <v>16</v>
      </c>
      <c r="B790" s="1" t="s">
        <v>119</v>
      </c>
      <c r="C790" s="4">
        <v>5</v>
      </c>
      <c r="D790" s="8">
        <v>1.34</v>
      </c>
      <c r="E790" s="4">
        <v>3</v>
      </c>
      <c r="F790" s="8">
        <v>1.1299999999999999</v>
      </c>
      <c r="G790" s="4">
        <v>2</v>
      </c>
      <c r="H790" s="8">
        <v>2.11</v>
      </c>
      <c r="I790" s="4">
        <v>0</v>
      </c>
    </row>
    <row r="791" spans="1:9" x14ac:dyDescent="0.2">
      <c r="A791" s="2">
        <v>16</v>
      </c>
      <c r="B791" s="1" t="s">
        <v>113</v>
      </c>
      <c r="C791" s="4">
        <v>5</v>
      </c>
      <c r="D791" s="8">
        <v>1.34</v>
      </c>
      <c r="E791" s="4">
        <v>1</v>
      </c>
      <c r="F791" s="8">
        <v>0.38</v>
      </c>
      <c r="G791" s="4">
        <v>4</v>
      </c>
      <c r="H791" s="8">
        <v>4.21</v>
      </c>
      <c r="I791" s="4">
        <v>0</v>
      </c>
    </row>
    <row r="792" spans="1:9" x14ac:dyDescent="0.2">
      <c r="A792" s="2">
        <v>16</v>
      </c>
      <c r="B792" s="1" t="s">
        <v>79</v>
      </c>
      <c r="C792" s="4">
        <v>5</v>
      </c>
      <c r="D792" s="8">
        <v>1.34</v>
      </c>
      <c r="E792" s="4">
        <v>3</v>
      </c>
      <c r="F792" s="8">
        <v>1.1299999999999999</v>
      </c>
      <c r="G792" s="4">
        <v>2</v>
      </c>
      <c r="H792" s="8">
        <v>2.11</v>
      </c>
      <c r="I792" s="4">
        <v>0</v>
      </c>
    </row>
    <row r="793" spans="1:9" x14ac:dyDescent="0.2">
      <c r="A793" s="2">
        <v>19</v>
      </c>
      <c r="B793" s="1" t="s">
        <v>98</v>
      </c>
      <c r="C793" s="4">
        <v>4</v>
      </c>
      <c r="D793" s="8">
        <v>1.08</v>
      </c>
      <c r="E793" s="4">
        <v>1</v>
      </c>
      <c r="F793" s="8">
        <v>0.38</v>
      </c>
      <c r="G793" s="4">
        <v>3</v>
      </c>
      <c r="H793" s="8">
        <v>3.16</v>
      </c>
      <c r="I793" s="4">
        <v>0</v>
      </c>
    </row>
    <row r="794" spans="1:9" x14ac:dyDescent="0.2">
      <c r="A794" s="2">
        <v>19</v>
      </c>
      <c r="B794" s="1" t="s">
        <v>71</v>
      </c>
      <c r="C794" s="4">
        <v>4</v>
      </c>
      <c r="D794" s="8">
        <v>1.08</v>
      </c>
      <c r="E794" s="4">
        <v>1</v>
      </c>
      <c r="F794" s="8">
        <v>0.38</v>
      </c>
      <c r="G794" s="4">
        <v>3</v>
      </c>
      <c r="H794" s="8">
        <v>3.16</v>
      </c>
      <c r="I794" s="4">
        <v>0</v>
      </c>
    </row>
    <row r="795" spans="1:9" x14ac:dyDescent="0.2">
      <c r="A795" s="2">
        <v>19</v>
      </c>
      <c r="B795" s="1" t="s">
        <v>74</v>
      </c>
      <c r="C795" s="4">
        <v>4</v>
      </c>
      <c r="D795" s="8">
        <v>1.08</v>
      </c>
      <c r="E795" s="4">
        <v>4</v>
      </c>
      <c r="F795" s="8">
        <v>1.51</v>
      </c>
      <c r="G795" s="4">
        <v>0</v>
      </c>
      <c r="H795" s="8">
        <v>0</v>
      </c>
      <c r="I795" s="4">
        <v>0</v>
      </c>
    </row>
    <row r="796" spans="1:9" x14ac:dyDescent="0.2">
      <c r="A796" s="2">
        <v>19</v>
      </c>
      <c r="B796" s="1" t="s">
        <v>93</v>
      </c>
      <c r="C796" s="4">
        <v>4</v>
      </c>
      <c r="D796" s="8">
        <v>1.08</v>
      </c>
      <c r="E796" s="4">
        <v>3</v>
      </c>
      <c r="F796" s="8">
        <v>1.1299999999999999</v>
      </c>
      <c r="G796" s="4">
        <v>1</v>
      </c>
      <c r="H796" s="8">
        <v>1.05</v>
      </c>
      <c r="I796" s="4">
        <v>0</v>
      </c>
    </row>
    <row r="797" spans="1:9" x14ac:dyDescent="0.2">
      <c r="A797" s="2">
        <v>19</v>
      </c>
      <c r="B797" s="1" t="s">
        <v>84</v>
      </c>
      <c r="C797" s="4">
        <v>4</v>
      </c>
      <c r="D797" s="8">
        <v>1.08</v>
      </c>
      <c r="E797" s="4">
        <v>2</v>
      </c>
      <c r="F797" s="8">
        <v>0.75</v>
      </c>
      <c r="G797" s="4">
        <v>2</v>
      </c>
      <c r="H797" s="8">
        <v>2.11</v>
      </c>
      <c r="I797" s="4">
        <v>0</v>
      </c>
    </row>
    <row r="798" spans="1:9" x14ac:dyDescent="0.2">
      <c r="A798" s="2">
        <v>19</v>
      </c>
      <c r="B798" s="1" t="s">
        <v>86</v>
      </c>
      <c r="C798" s="4">
        <v>4</v>
      </c>
      <c r="D798" s="8">
        <v>1.08</v>
      </c>
      <c r="E798" s="4">
        <v>3</v>
      </c>
      <c r="F798" s="8">
        <v>1.1299999999999999</v>
      </c>
      <c r="G798" s="4">
        <v>1</v>
      </c>
      <c r="H798" s="8">
        <v>1.05</v>
      </c>
      <c r="I798" s="4">
        <v>0</v>
      </c>
    </row>
    <row r="799" spans="1:9" x14ac:dyDescent="0.2">
      <c r="A799" s="1"/>
      <c r="C799" s="4"/>
      <c r="D799" s="8"/>
      <c r="E799" s="4"/>
      <c r="F799" s="8"/>
      <c r="G799" s="4"/>
      <c r="H799" s="8"/>
      <c r="I799" s="4"/>
    </row>
    <row r="800" spans="1:9" x14ac:dyDescent="0.2">
      <c r="A800" s="1" t="s">
        <v>36</v>
      </c>
      <c r="C800" s="4"/>
      <c r="D800" s="8"/>
      <c r="E800" s="4"/>
      <c r="F800" s="8"/>
      <c r="G800" s="4"/>
      <c r="H800" s="8"/>
      <c r="I800" s="4"/>
    </row>
    <row r="801" spans="1:9" x14ac:dyDescent="0.2">
      <c r="A801" s="2">
        <v>1</v>
      </c>
      <c r="B801" s="1" t="s">
        <v>73</v>
      </c>
      <c r="C801" s="4">
        <v>23</v>
      </c>
      <c r="D801" s="8">
        <v>9.66</v>
      </c>
      <c r="E801" s="4">
        <v>21</v>
      </c>
      <c r="F801" s="8">
        <v>13.55</v>
      </c>
      <c r="G801" s="4">
        <v>2</v>
      </c>
      <c r="H801" s="8">
        <v>2.6</v>
      </c>
      <c r="I801" s="4">
        <v>0</v>
      </c>
    </row>
    <row r="802" spans="1:9" x14ac:dyDescent="0.2">
      <c r="A802" s="2">
        <v>1</v>
      </c>
      <c r="B802" s="1" t="s">
        <v>82</v>
      </c>
      <c r="C802" s="4">
        <v>23</v>
      </c>
      <c r="D802" s="8">
        <v>9.66</v>
      </c>
      <c r="E802" s="4">
        <v>22</v>
      </c>
      <c r="F802" s="8">
        <v>14.19</v>
      </c>
      <c r="G802" s="4">
        <v>1</v>
      </c>
      <c r="H802" s="8">
        <v>1.3</v>
      </c>
      <c r="I802" s="4">
        <v>0</v>
      </c>
    </row>
    <row r="803" spans="1:9" x14ac:dyDescent="0.2">
      <c r="A803" s="2">
        <v>3</v>
      </c>
      <c r="B803" s="1" t="s">
        <v>81</v>
      </c>
      <c r="C803" s="4">
        <v>20</v>
      </c>
      <c r="D803" s="8">
        <v>8.4</v>
      </c>
      <c r="E803" s="4">
        <v>19</v>
      </c>
      <c r="F803" s="8">
        <v>12.26</v>
      </c>
      <c r="G803" s="4">
        <v>1</v>
      </c>
      <c r="H803" s="8">
        <v>1.3</v>
      </c>
      <c r="I803" s="4">
        <v>0</v>
      </c>
    </row>
    <row r="804" spans="1:9" x14ac:dyDescent="0.2">
      <c r="A804" s="2">
        <v>4</v>
      </c>
      <c r="B804" s="1" t="s">
        <v>80</v>
      </c>
      <c r="C804" s="4">
        <v>18</v>
      </c>
      <c r="D804" s="8">
        <v>7.56</v>
      </c>
      <c r="E804" s="4">
        <v>16</v>
      </c>
      <c r="F804" s="8">
        <v>10.32</v>
      </c>
      <c r="G804" s="4">
        <v>2</v>
      </c>
      <c r="H804" s="8">
        <v>2.6</v>
      </c>
      <c r="I804" s="4">
        <v>0</v>
      </c>
    </row>
    <row r="805" spans="1:9" x14ac:dyDescent="0.2">
      <c r="A805" s="2">
        <v>5</v>
      </c>
      <c r="B805" s="1" t="s">
        <v>75</v>
      </c>
      <c r="C805" s="4">
        <v>17</v>
      </c>
      <c r="D805" s="8">
        <v>7.14</v>
      </c>
      <c r="E805" s="4">
        <v>8</v>
      </c>
      <c r="F805" s="8">
        <v>5.16</v>
      </c>
      <c r="G805" s="4">
        <v>8</v>
      </c>
      <c r="H805" s="8">
        <v>10.39</v>
      </c>
      <c r="I805" s="4">
        <v>0</v>
      </c>
    </row>
    <row r="806" spans="1:9" x14ac:dyDescent="0.2">
      <c r="A806" s="2">
        <v>6</v>
      </c>
      <c r="B806" s="1" t="s">
        <v>101</v>
      </c>
      <c r="C806" s="4">
        <v>14</v>
      </c>
      <c r="D806" s="8">
        <v>5.88</v>
      </c>
      <c r="E806" s="4">
        <v>11</v>
      </c>
      <c r="F806" s="8">
        <v>7.1</v>
      </c>
      <c r="G806" s="4">
        <v>3</v>
      </c>
      <c r="H806" s="8">
        <v>3.9</v>
      </c>
      <c r="I806" s="4">
        <v>0</v>
      </c>
    </row>
    <row r="807" spans="1:9" x14ac:dyDescent="0.2">
      <c r="A807" s="2">
        <v>7</v>
      </c>
      <c r="B807" s="1" t="s">
        <v>67</v>
      </c>
      <c r="C807" s="4">
        <v>13</v>
      </c>
      <c r="D807" s="8">
        <v>5.46</v>
      </c>
      <c r="E807" s="4">
        <v>1</v>
      </c>
      <c r="F807" s="8">
        <v>0.65</v>
      </c>
      <c r="G807" s="4">
        <v>12</v>
      </c>
      <c r="H807" s="8">
        <v>15.58</v>
      </c>
      <c r="I807" s="4">
        <v>0</v>
      </c>
    </row>
    <row r="808" spans="1:9" x14ac:dyDescent="0.2">
      <c r="A808" s="2">
        <v>8</v>
      </c>
      <c r="B808" s="1" t="s">
        <v>74</v>
      </c>
      <c r="C808" s="4">
        <v>12</v>
      </c>
      <c r="D808" s="8">
        <v>5.04</v>
      </c>
      <c r="E808" s="4">
        <v>7</v>
      </c>
      <c r="F808" s="8">
        <v>4.5199999999999996</v>
      </c>
      <c r="G808" s="4">
        <v>5</v>
      </c>
      <c r="H808" s="8">
        <v>6.49</v>
      </c>
      <c r="I808" s="4">
        <v>0</v>
      </c>
    </row>
    <row r="809" spans="1:9" x14ac:dyDescent="0.2">
      <c r="A809" s="2">
        <v>9</v>
      </c>
      <c r="B809" s="1" t="s">
        <v>91</v>
      </c>
      <c r="C809" s="4">
        <v>9</v>
      </c>
      <c r="D809" s="8">
        <v>3.78</v>
      </c>
      <c r="E809" s="4">
        <v>8</v>
      </c>
      <c r="F809" s="8">
        <v>5.16</v>
      </c>
      <c r="G809" s="4">
        <v>1</v>
      </c>
      <c r="H809" s="8">
        <v>1.3</v>
      </c>
      <c r="I809" s="4">
        <v>0</v>
      </c>
    </row>
    <row r="810" spans="1:9" x14ac:dyDescent="0.2">
      <c r="A810" s="2">
        <v>10</v>
      </c>
      <c r="B810" s="1" t="s">
        <v>69</v>
      </c>
      <c r="C810" s="4">
        <v>7</v>
      </c>
      <c r="D810" s="8">
        <v>2.94</v>
      </c>
      <c r="E810" s="4">
        <v>4</v>
      </c>
      <c r="F810" s="8">
        <v>2.58</v>
      </c>
      <c r="G810" s="4">
        <v>3</v>
      </c>
      <c r="H810" s="8">
        <v>3.9</v>
      </c>
      <c r="I810" s="4">
        <v>0</v>
      </c>
    </row>
    <row r="811" spans="1:9" x14ac:dyDescent="0.2">
      <c r="A811" s="2">
        <v>10</v>
      </c>
      <c r="B811" s="1" t="s">
        <v>78</v>
      </c>
      <c r="C811" s="4">
        <v>7</v>
      </c>
      <c r="D811" s="8">
        <v>2.94</v>
      </c>
      <c r="E811" s="4">
        <v>4</v>
      </c>
      <c r="F811" s="8">
        <v>2.58</v>
      </c>
      <c r="G811" s="4">
        <v>3</v>
      </c>
      <c r="H811" s="8">
        <v>3.9</v>
      </c>
      <c r="I811" s="4">
        <v>0</v>
      </c>
    </row>
    <row r="812" spans="1:9" x14ac:dyDescent="0.2">
      <c r="A812" s="2">
        <v>10</v>
      </c>
      <c r="B812" s="1" t="s">
        <v>94</v>
      </c>
      <c r="C812" s="4">
        <v>7</v>
      </c>
      <c r="D812" s="8">
        <v>2.94</v>
      </c>
      <c r="E812" s="4">
        <v>6</v>
      </c>
      <c r="F812" s="8">
        <v>3.87</v>
      </c>
      <c r="G812" s="4">
        <v>1</v>
      </c>
      <c r="H812" s="8">
        <v>1.3</v>
      </c>
      <c r="I812" s="4">
        <v>0</v>
      </c>
    </row>
    <row r="813" spans="1:9" x14ac:dyDescent="0.2">
      <c r="A813" s="2">
        <v>10</v>
      </c>
      <c r="B813" s="1" t="s">
        <v>86</v>
      </c>
      <c r="C813" s="4">
        <v>7</v>
      </c>
      <c r="D813" s="8">
        <v>2.94</v>
      </c>
      <c r="E813" s="4">
        <v>6</v>
      </c>
      <c r="F813" s="8">
        <v>3.87</v>
      </c>
      <c r="G813" s="4">
        <v>1</v>
      </c>
      <c r="H813" s="8">
        <v>1.3</v>
      </c>
      <c r="I813" s="4">
        <v>0</v>
      </c>
    </row>
    <row r="814" spans="1:9" x14ac:dyDescent="0.2">
      <c r="A814" s="2">
        <v>14</v>
      </c>
      <c r="B814" s="1" t="s">
        <v>70</v>
      </c>
      <c r="C814" s="4">
        <v>5</v>
      </c>
      <c r="D814" s="8">
        <v>2.1</v>
      </c>
      <c r="E814" s="4">
        <v>1</v>
      </c>
      <c r="F814" s="8">
        <v>0.65</v>
      </c>
      <c r="G814" s="4">
        <v>4</v>
      </c>
      <c r="H814" s="8">
        <v>5.19</v>
      </c>
      <c r="I814" s="4">
        <v>0</v>
      </c>
    </row>
    <row r="815" spans="1:9" x14ac:dyDescent="0.2">
      <c r="A815" s="2">
        <v>14</v>
      </c>
      <c r="B815" s="1" t="s">
        <v>72</v>
      </c>
      <c r="C815" s="4">
        <v>5</v>
      </c>
      <c r="D815" s="8">
        <v>2.1</v>
      </c>
      <c r="E815" s="4">
        <v>4</v>
      </c>
      <c r="F815" s="8">
        <v>2.58</v>
      </c>
      <c r="G815" s="4">
        <v>1</v>
      </c>
      <c r="H815" s="8">
        <v>1.3</v>
      </c>
      <c r="I815" s="4">
        <v>0</v>
      </c>
    </row>
    <row r="816" spans="1:9" x14ac:dyDescent="0.2">
      <c r="A816" s="2">
        <v>14</v>
      </c>
      <c r="B816" s="1" t="s">
        <v>83</v>
      </c>
      <c r="C816" s="4">
        <v>5</v>
      </c>
      <c r="D816" s="8">
        <v>2.1</v>
      </c>
      <c r="E816" s="4">
        <v>3</v>
      </c>
      <c r="F816" s="8">
        <v>1.94</v>
      </c>
      <c r="G816" s="4">
        <v>0</v>
      </c>
      <c r="H816" s="8">
        <v>0</v>
      </c>
      <c r="I816" s="4">
        <v>2</v>
      </c>
    </row>
    <row r="817" spans="1:9" x14ac:dyDescent="0.2">
      <c r="A817" s="2">
        <v>14</v>
      </c>
      <c r="B817" s="1" t="s">
        <v>85</v>
      </c>
      <c r="C817" s="4">
        <v>5</v>
      </c>
      <c r="D817" s="8">
        <v>2.1</v>
      </c>
      <c r="E817" s="4">
        <v>0</v>
      </c>
      <c r="F817" s="8">
        <v>0</v>
      </c>
      <c r="G817" s="4">
        <v>3</v>
      </c>
      <c r="H817" s="8">
        <v>3.9</v>
      </c>
      <c r="I817" s="4">
        <v>0</v>
      </c>
    </row>
    <row r="818" spans="1:9" x14ac:dyDescent="0.2">
      <c r="A818" s="2">
        <v>18</v>
      </c>
      <c r="B818" s="1" t="s">
        <v>79</v>
      </c>
      <c r="C818" s="4">
        <v>4</v>
      </c>
      <c r="D818" s="8">
        <v>1.68</v>
      </c>
      <c r="E818" s="4">
        <v>2</v>
      </c>
      <c r="F818" s="8">
        <v>1.29</v>
      </c>
      <c r="G818" s="4">
        <v>2</v>
      </c>
      <c r="H818" s="8">
        <v>2.6</v>
      </c>
      <c r="I818" s="4">
        <v>0</v>
      </c>
    </row>
    <row r="819" spans="1:9" x14ac:dyDescent="0.2">
      <c r="A819" s="2">
        <v>19</v>
      </c>
      <c r="B819" s="1" t="s">
        <v>68</v>
      </c>
      <c r="C819" s="4">
        <v>3</v>
      </c>
      <c r="D819" s="8">
        <v>1.26</v>
      </c>
      <c r="E819" s="4">
        <v>2</v>
      </c>
      <c r="F819" s="8">
        <v>1.29</v>
      </c>
      <c r="G819" s="4">
        <v>1</v>
      </c>
      <c r="H819" s="8">
        <v>1.3</v>
      </c>
      <c r="I819" s="4">
        <v>0</v>
      </c>
    </row>
    <row r="820" spans="1:9" x14ac:dyDescent="0.2">
      <c r="A820" s="2">
        <v>19</v>
      </c>
      <c r="B820" s="1" t="s">
        <v>96</v>
      </c>
      <c r="C820" s="4">
        <v>3</v>
      </c>
      <c r="D820" s="8">
        <v>1.26</v>
      </c>
      <c r="E820" s="4">
        <v>1</v>
      </c>
      <c r="F820" s="8">
        <v>0.65</v>
      </c>
      <c r="G820" s="4">
        <v>2</v>
      </c>
      <c r="H820" s="8">
        <v>2.6</v>
      </c>
      <c r="I820" s="4">
        <v>0</v>
      </c>
    </row>
    <row r="821" spans="1:9" x14ac:dyDescent="0.2">
      <c r="A821" s="2">
        <v>19</v>
      </c>
      <c r="B821" s="1" t="s">
        <v>87</v>
      </c>
      <c r="C821" s="4">
        <v>3</v>
      </c>
      <c r="D821" s="8">
        <v>1.26</v>
      </c>
      <c r="E821" s="4">
        <v>1</v>
      </c>
      <c r="F821" s="8">
        <v>0.65</v>
      </c>
      <c r="G821" s="4">
        <v>2</v>
      </c>
      <c r="H821" s="8">
        <v>2.6</v>
      </c>
      <c r="I821" s="4">
        <v>0</v>
      </c>
    </row>
    <row r="822" spans="1:9" x14ac:dyDescent="0.2">
      <c r="A822" s="2">
        <v>19</v>
      </c>
      <c r="B822" s="1" t="s">
        <v>113</v>
      </c>
      <c r="C822" s="4">
        <v>3</v>
      </c>
      <c r="D822" s="8">
        <v>1.26</v>
      </c>
      <c r="E822" s="4">
        <v>1</v>
      </c>
      <c r="F822" s="8">
        <v>0.65</v>
      </c>
      <c r="G822" s="4">
        <v>2</v>
      </c>
      <c r="H822" s="8">
        <v>2.6</v>
      </c>
      <c r="I822" s="4">
        <v>0</v>
      </c>
    </row>
    <row r="823" spans="1:9" x14ac:dyDescent="0.2">
      <c r="A823" s="1"/>
      <c r="C823" s="4"/>
      <c r="D823" s="8"/>
      <c r="E823" s="4"/>
      <c r="F823" s="8"/>
      <c r="G823" s="4"/>
      <c r="H823" s="8"/>
      <c r="I823" s="4"/>
    </row>
    <row r="824" spans="1:9" x14ac:dyDescent="0.2">
      <c r="A824" s="1" t="s">
        <v>37</v>
      </c>
      <c r="C824" s="4"/>
      <c r="D824" s="8"/>
      <c r="E824" s="4"/>
      <c r="F824" s="8"/>
      <c r="G824" s="4"/>
      <c r="H824" s="8"/>
      <c r="I824" s="4"/>
    </row>
    <row r="825" spans="1:9" x14ac:dyDescent="0.2">
      <c r="A825" s="2">
        <v>1</v>
      </c>
      <c r="B825" s="1" t="s">
        <v>81</v>
      </c>
      <c r="C825" s="4">
        <v>46</v>
      </c>
      <c r="D825" s="8">
        <v>17.760000000000002</v>
      </c>
      <c r="E825" s="4">
        <v>46</v>
      </c>
      <c r="F825" s="8">
        <v>25</v>
      </c>
      <c r="G825" s="4">
        <v>0</v>
      </c>
      <c r="H825" s="8">
        <v>0</v>
      </c>
      <c r="I825" s="4">
        <v>0</v>
      </c>
    </row>
    <row r="826" spans="1:9" x14ac:dyDescent="0.2">
      <c r="A826" s="2">
        <v>2</v>
      </c>
      <c r="B826" s="1" t="s">
        <v>73</v>
      </c>
      <c r="C826" s="4">
        <v>27</v>
      </c>
      <c r="D826" s="8">
        <v>10.42</v>
      </c>
      <c r="E826" s="4">
        <v>26</v>
      </c>
      <c r="F826" s="8">
        <v>14.13</v>
      </c>
      <c r="G826" s="4">
        <v>0</v>
      </c>
      <c r="H826" s="8">
        <v>0</v>
      </c>
      <c r="I826" s="4">
        <v>0</v>
      </c>
    </row>
    <row r="827" spans="1:9" x14ac:dyDescent="0.2">
      <c r="A827" s="2">
        <v>3</v>
      </c>
      <c r="B827" s="1" t="s">
        <v>82</v>
      </c>
      <c r="C827" s="4">
        <v>24</v>
      </c>
      <c r="D827" s="8">
        <v>9.27</v>
      </c>
      <c r="E827" s="4">
        <v>23</v>
      </c>
      <c r="F827" s="8">
        <v>12.5</v>
      </c>
      <c r="G827" s="4">
        <v>1</v>
      </c>
      <c r="H827" s="8">
        <v>1.43</v>
      </c>
      <c r="I827" s="4">
        <v>0</v>
      </c>
    </row>
    <row r="828" spans="1:9" x14ac:dyDescent="0.2">
      <c r="A828" s="2">
        <v>4</v>
      </c>
      <c r="B828" s="1" t="s">
        <v>75</v>
      </c>
      <c r="C828" s="4">
        <v>21</v>
      </c>
      <c r="D828" s="8">
        <v>8.11</v>
      </c>
      <c r="E828" s="4">
        <v>13</v>
      </c>
      <c r="F828" s="8">
        <v>7.07</v>
      </c>
      <c r="G828" s="4">
        <v>8</v>
      </c>
      <c r="H828" s="8">
        <v>11.43</v>
      </c>
      <c r="I828" s="4">
        <v>0</v>
      </c>
    </row>
    <row r="829" spans="1:9" x14ac:dyDescent="0.2">
      <c r="A829" s="2">
        <v>5</v>
      </c>
      <c r="B829" s="1" t="s">
        <v>70</v>
      </c>
      <c r="C829" s="4">
        <v>17</v>
      </c>
      <c r="D829" s="8">
        <v>6.56</v>
      </c>
      <c r="E829" s="4">
        <v>14</v>
      </c>
      <c r="F829" s="8">
        <v>7.61</v>
      </c>
      <c r="G829" s="4">
        <v>3</v>
      </c>
      <c r="H829" s="8">
        <v>4.29</v>
      </c>
      <c r="I829" s="4">
        <v>0</v>
      </c>
    </row>
    <row r="830" spans="1:9" x14ac:dyDescent="0.2">
      <c r="A830" s="2">
        <v>6</v>
      </c>
      <c r="B830" s="1" t="s">
        <v>67</v>
      </c>
      <c r="C830" s="4">
        <v>16</v>
      </c>
      <c r="D830" s="8">
        <v>6.18</v>
      </c>
      <c r="E830" s="4">
        <v>3</v>
      </c>
      <c r="F830" s="8">
        <v>1.63</v>
      </c>
      <c r="G830" s="4">
        <v>13</v>
      </c>
      <c r="H830" s="8">
        <v>18.57</v>
      </c>
      <c r="I830" s="4">
        <v>0</v>
      </c>
    </row>
    <row r="831" spans="1:9" x14ac:dyDescent="0.2">
      <c r="A831" s="2">
        <v>7</v>
      </c>
      <c r="B831" s="1" t="s">
        <v>69</v>
      </c>
      <c r="C831" s="4">
        <v>9</v>
      </c>
      <c r="D831" s="8">
        <v>3.47</v>
      </c>
      <c r="E831" s="4">
        <v>4</v>
      </c>
      <c r="F831" s="8">
        <v>2.17</v>
      </c>
      <c r="G831" s="4">
        <v>5</v>
      </c>
      <c r="H831" s="8">
        <v>7.14</v>
      </c>
      <c r="I831" s="4">
        <v>0</v>
      </c>
    </row>
    <row r="832" spans="1:9" x14ac:dyDescent="0.2">
      <c r="A832" s="2">
        <v>8</v>
      </c>
      <c r="B832" s="1" t="s">
        <v>83</v>
      </c>
      <c r="C832" s="4">
        <v>8</v>
      </c>
      <c r="D832" s="8">
        <v>3.09</v>
      </c>
      <c r="E832" s="4">
        <v>5</v>
      </c>
      <c r="F832" s="8">
        <v>2.72</v>
      </c>
      <c r="G832" s="4">
        <v>2</v>
      </c>
      <c r="H832" s="8">
        <v>2.86</v>
      </c>
      <c r="I832" s="4">
        <v>0</v>
      </c>
    </row>
    <row r="833" spans="1:9" x14ac:dyDescent="0.2">
      <c r="A833" s="2">
        <v>9</v>
      </c>
      <c r="B833" s="1" t="s">
        <v>80</v>
      </c>
      <c r="C833" s="4">
        <v>7</v>
      </c>
      <c r="D833" s="8">
        <v>2.7</v>
      </c>
      <c r="E833" s="4">
        <v>5</v>
      </c>
      <c r="F833" s="8">
        <v>2.72</v>
      </c>
      <c r="G833" s="4">
        <v>2</v>
      </c>
      <c r="H833" s="8">
        <v>2.86</v>
      </c>
      <c r="I833" s="4">
        <v>0</v>
      </c>
    </row>
    <row r="834" spans="1:9" x14ac:dyDescent="0.2">
      <c r="A834" s="2">
        <v>9</v>
      </c>
      <c r="B834" s="1" t="s">
        <v>84</v>
      </c>
      <c r="C834" s="4">
        <v>7</v>
      </c>
      <c r="D834" s="8">
        <v>2.7</v>
      </c>
      <c r="E834" s="4">
        <v>7</v>
      </c>
      <c r="F834" s="8">
        <v>3.8</v>
      </c>
      <c r="G834" s="4">
        <v>0</v>
      </c>
      <c r="H834" s="8">
        <v>0</v>
      </c>
      <c r="I834" s="4">
        <v>0</v>
      </c>
    </row>
    <row r="835" spans="1:9" x14ac:dyDescent="0.2">
      <c r="A835" s="2">
        <v>11</v>
      </c>
      <c r="B835" s="1" t="s">
        <v>72</v>
      </c>
      <c r="C835" s="4">
        <v>6</v>
      </c>
      <c r="D835" s="8">
        <v>2.3199999999999998</v>
      </c>
      <c r="E835" s="4">
        <v>6</v>
      </c>
      <c r="F835" s="8">
        <v>3.26</v>
      </c>
      <c r="G835" s="4">
        <v>0</v>
      </c>
      <c r="H835" s="8">
        <v>0</v>
      </c>
      <c r="I835" s="4">
        <v>0</v>
      </c>
    </row>
    <row r="836" spans="1:9" x14ac:dyDescent="0.2">
      <c r="A836" s="2">
        <v>11</v>
      </c>
      <c r="B836" s="1" t="s">
        <v>74</v>
      </c>
      <c r="C836" s="4">
        <v>6</v>
      </c>
      <c r="D836" s="8">
        <v>2.3199999999999998</v>
      </c>
      <c r="E836" s="4">
        <v>5</v>
      </c>
      <c r="F836" s="8">
        <v>2.72</v>
      </c>
      <c r="G836" s="4">
        <v>1</v>
      </c>
      <c r="H836" s="8">
        <v>1.43</v>
      </c>
      <c r="I836" s="4">
        <v>0</v>
      </c>
    </row>
    <row r="837" spans="1:9" x14ac:dyDescent="0.2">
      <c r="A837" s="2">
        <v>11</v>
      </c>
      <c r="B837" s="1" t="s">
        <v>113</v>
      </c>
      <c r="C837" s="4">
        <v>6</v>
      </c>
      <c r="D837" s="8">
        <v>2.3199999999999998</v>
      </c>
      <c r="E837" s="4">
        <v>1</v>
      </c>
      <c r="F837" s="8">
        <v>0.54</v>
      </c>
      <c r="G837" s="4">
        <v>5</v>
      </c>
      <c r="H837" s="8">
        <v>7.14</v>
      </c>
      <c r="I837" s="4">
        <v>0</v>
      </c>
    </row>
    <row r="838" spans="1:9" x14ac:dyDescent="0.2">
      <c r="A838" s="2">
        <v>11</v>
      </c>
      <c r="B838" s="1" t="s">
        <v>78</v>
      </c>
      <c r="C838" s="4">
        <v>6</v>
      </c>
      <c r="D838" s="8">
        <v>2.3199999999999998</v>
      </c>
      <c r="E838" s="4">
        <v>6</v>
      </c>
      <c r="F838" s="8">
        <v>3.26</v>
      </c>
      <c r="G838" s="4">
        <v>0</v>
      </c>
      <c r="H838" s="8">
        <v>0</v>
      </c>
      <c r="I838" s="4">
        <v>0</v>
      </c>
    </row>
    <row r="839" spans="1:9" x14ac:dyDescent="0.2">
      <c r="A839" s="2">
        <v>11</v>
      </c>
      <c r="B839" s="1" t="s">
        <v>86</v>
      </c>
      <c r="C839" s="4">
        <v>6</v>
      </c>
      <c r="D839" s="8">
        <v>2.3199999999999998</v>
      </c>
      <c r="E839" s="4">
        <v>2</v>
      </c>
      <c r="F839" s="8">
        <v>1.0900000000000001</v>
      </c>
      <c r="G839" s="4">
        <v>4</v>
      </c>
      <c r="H839" s="8">
        <v>5.71</v>
      </c>
      <c r="I839" s="4">
        <v>0</v>
      </c>
    </row>
    <row r="840" spans="1:9" x14ac:dyDescent="0.2">
      <c r="A840" s="2">
        <v>16</v>
      </c>
      <c r="B840" s="1" t="s">
        <v>98</v>
      </c>
      <c r="C840" s="4">
        <v>5</v>
      </c>
      <c r="D840" s="8">
        <v>1.93</v>
      </c>
      <c r="E840" s="4">
        <v>0</v>
      </c>
      <c r="F840" s="8">
        <v>0</v>
      </c>
      <c r="G840" s="4">
        <v>5</v>
      </c>
      <c r="H840" s="8">
        <v>7.14</v>
      </c>
      <c r="I840" s="4">
        <v>0</v>
      </c>
    </row>
    <row r="841" spans="1:9" x14ac:dyDescent="0.2">
      <c r="A841" s="2">
        <v>17</v>
      </c>
      <c r="B841" s="1" t="s">
        <v>68</v>
      </c>
      <c r="C841" s="4">
        <v>4</v>
      </c>
      <c r="D841" s="8">
        <v>1.54</v>
      </c>
      <c r="E841" s="4">
        <v>4</v>
      </c>
      <c r="F841" s="8">
        <v>2.17</v>
      </c>
      <c r="G841" s="4">
        <v>0</v>
      </c>
      <c r="H841" s="8">
        <v>0</v>
      </c>
      <c r="I841" s="4">
        <v>0</v>
      </c>
    </row>
    <row r="842" spans="1:9" x14ac:dyDescent="0.2">
      <c r="A842" s="2">
        <v>17</v>
      </c>
      <c r="B842" s="1" t="s">
        <v>93</v>
      </c>
      <c r="C842" s="4">
        <v>4</v>
      </c>
      <c r="D842" s="8">
        <v>1.54</v>
      </c>
      <c r="E842" s="4">
        <v>2</v>
      </c>
      <c r="F842" s="8">
        <v>1.0900000000000001</v>
      </c>
      <c r="G842" s="4">
        <v>1</v>
      </c>
      <c r="H842" s="8">
        <v>1.43</v>
      </c>
      <c r="I842" s="4">
        <v>0</v>
      </c>
    </row>
    <row r="843" spans="1:9" x14ac:dyDescent="0.2">
      <c r="A843" s="2">
        <v>19</v>
      </c>
      <c r="B843" s="1" t="s">
        <v>91</v>
      </c>
      <c r="C843" s="4">
        <v>3</v>
      </c>
      <c r="D843" s="8">
        <v>1.1599999999999999</v>
      </c>
      <c r="E843" s="4">
        <v>2</v>
      </c>
      <c r="F843" s="8">
        <v>1.0900000000000001</v>
      </c>
      <c r="G843" s="4">
        <v>1</v>
      </c>
      <c r="H843" s="8">
        <v>1.43</v>
      </c>
      <c r="I843" s="4">
        <v>0</v>
      </c>
    </row>
    <row r="844" spans="1:9" x14ac:dyDescent="0.2">
      <c r="A844" s="2">
        <v>19</v>
      </c>
      <c r="B844" s="1" t="s">
        <v>85</v>
      </c>
      <c r="C844" s="4">
        <v>3</v>
      </c>
      <c r="D844" s="8">
        <v>1.1599999999999999</v>
      </c>
      <c r="E844" s="4">
        <v>0</v>
      </c>
      <c r="F844" s="8">
        <v>0</v>
      </c>
      <c r="G844" s="4">
        <v>3</v>
      </c>
      <c r="H844" s="8">
        <v>4.29</v>
      </c>
      <c r="I844" s="4">
        <v>0</v>
      </c>
    </row>
    <row r="845" spans="1:9" x14ac:dyDescent="0.2">
      <c r="A845" s="1"/>
      <c r="C845" s="4"/>
      <c r="D845" s="8"/>
      <c r="E845" s="4"/>
      <c r="F845" s="8"/>
      <c r="G845" s="4"/>
      <c r="H845" s="8"/>
      <c r="I845" s="4"/>
    </row>
    <row r="846" spans="1:9" x14ac:dyDescent="0.2">
      <c r="A846" s="1" t="s">
        <v>38</v>
      </c>
      <c r="C846" s="4"/>
      <c r="D846" s="8"/>
      <c r="E846" s="4"/>
      <c r="F846" s="8"/>
      <c r="G846" s="4"/>
      <c r="H846" s="8"/>
      <c r="I846" s="4"/>
    </row>
    <row r="847" spans="1:9" x14ac:dyDescent="0.2">
      <c r="A847" s="2">
        <v>1</v>
      </c>
      <c r="B847" s="1" t="s">
        <v>81</v>
      </c>
      <c r="C847" s="4">
        <v>90</v>
      </c>
      <c r="D847" s="8">
        <v>19.440000000000001</v>
      </c>
      <c r="E847" s="4">
        <v>84</v>
      </c>
      <c r="F847" s="8">
        <v>26.25</v>
      </c>
      <c r="G847" s="4">
        <v>6</v>
      </c>
      <c r="H847" s="8">
        <v>4.41</v>
      </c>
      <c r="I847" s="4">
        <v>0</v>
      </c>
    </row>
    <row r="848" spans="1:9" x14ac:dyDescent="0.2">
      <c r="A848" s="2">
        <v>2</v>
      </c>
      <c r="B848" s="1" t="s">
        <v>75</v>
      </c>
      <c r="C848" s="4">
        <v>43</v>
      </c>
      <c r="D848" s="8">
        <v>9.2899999999999991</v>
      </c>
      <c r="E848" s="4">
        <v>27</v>
      </c>
      <c r="F848" s="8">
        <v>8.44</v>
      </c>
      <c r="G848" s="4">
        <v>16</v>
      </c>
      <c r="H848" s="8">
        <v>11.76</v>
      </c>
      <c r="I848" s="4">
        <v>0</v>
      </c>
    </row>
    <row r="849" spans="1:9" x14ac:dyDescent="0.2">
      <c r="A849" s="2">
        <v>3</v>
      </c>
      <c r="B849" s="1" t="s">
        <v>82</v>
      </c>
      <c r="C849" s="4">
        <v>41</v>
      </c>
      <c r="D849" s="8">
        <v>8.86</v>
      </c>
      <c r="E849" s="4">
        <v>40</v>
      </c>
      <c r="F849" s="8">
        <v>12.5</v>
      </c>
      <c r="G849" s="4">
        <v>1</v>
      </c>
      <c r="H849" s="8">
        <v>0.74</v>
      </c>
      <c r="I849" s="4">
        <v>0</v>
      </c>
    </row>
    <row r="850" spans="1:9" x14ac:dyDescent="0.2">
      <c r="A850" s="2">
        <v>4</v>
      </c>
      <c r="B850" s="1" t="s">
        <v>73</v>
      </c>
      <c r="C850" s="4">
        <v>39</v>
      </c>
      <c r="D850" s="8">
        <v>8.42</v>
      </c>
      <c r="E850" s="4">
        <v>32</v>
      </c>
      <c r="F850" s="8">
        <v>10</v>
      </c>
      <c r="G850" s="4">
        <v>7</v>
      </c>
      <c r="H850" s="8">
        <v>5.15</v>
      </c>
      <c r="I850" s="4">
        <v>0</v>
      </c>
    </row>
    <row r="851" spans="1:9" x14ac:dyDescent="0.2">
      <c r="A851" s="2">
        <v>5</v>
      </c>
      <c r="B851" s="1" t="s">
        <v>77</v>
      </c>
      <c r="C851" s="4">
        <v>35</v>
      </c>
      <c r="D851" s="8">
        <v>7.56</v>
      </c>
      <c r="E851" s="4">
        <v>29</v>
      </c>
      <c r="F851" s="8">
        <v>9.06</v>
      </c>
      <c r="G851" s="4">
        <v>5</v>
      </c>
      <c r="H851" s="8">
        <v>3.68</v>
      </c>
      <c r="I851" s="4">
        <v>0</v>
      </c>
    </row>
    <row r="852" spans="1:9" x14ac:dyDescent="0.2">
      <c r="A852" s="2">
        <v>6</v>
      </c>
      <c r="B852" s="1" t="s">
        <v>67</v>
      </c>
      <c r="C852" s="4">
        <v>31</v>
      </c>
      <c r="D852" s="8">
        <v>6.7</v>
      </c>
      <c r="E852" s="4">
        <v>4</v>
      </c>
      <c r="F852" s="8">
        <v>1.25</v>
      </c>
      <c r="G852" s="4">
        <v>27</v>
      </c>
      <c r="H852" s="8">
        <v>19.850000000000001</v>
      </c>
      <c r="I852" s="4">
        <v>0</v>
      </c>
    </row>
    <row r="853" spans="1:9" x14ac:dyDescent="0.2">
      <c r="A853" s="2">
        <v>7</v>
      </c>
      <c r="B853" s="1" t="s">
        <v>71</v>
      </c>
      <c r="C853" s="4">
        <v>14</v>
      </c>
      <c r="D853" s="8">
        <v>3.02</v>
      </c>
      <c r="E853" s="4">
        <v>8</v>
      </c>
      <c r="F853" s="8">
        <v>2.5</v>
      </c>
      <c r="G853" s="4">
        <v>6</v>
      </c>
      <c r="H853" s="8">
        <v>4.41</v>
      </c>
      <c r="I853" s="4">
        <v>0</v>
      </c>
    </row>
    <row r="854" spans="1:9" x14ac:dyDescent="0.2">
      <c r="A854" s="2">
        <v>7</v>
      </c>
      <c r="B854" s="1" t="s">
        <v>86</v>
      </c>
      <c r="C854" s="4">
        <v>14</v>
      </c>
      <c r="D854" s="8">
        <v>3.02</v>
      </c>
      <c r="E854" s="4">
        <v>11</v>
      </c>
      <c r="F854" s="8">
        <v>3.44</v>
      </c>
      <c r="G854" s="4">
        <v>3</v>
      </c>
      <c r="H854" s="8">
        <v>2.21</v>
      </c>
      <c r="I854" s="4">
        <v>0</v>
      </c>
    </row>
    <row r="855" spans="1:9" x14ac:dyDescent="0.2">
      <c r="A855" s="2">
        <v>9</v>
      </c>
      <c r="B855" s="1" t="s">
        <v>74</v>
      </c>
      <c r="C855" s="4">
        <v>13</v>
      </c>
      <c r="D855" s="8">
        <v>2.81</v>
      </c>
      <c r="E855" s="4">
        <v>10</v>
      </c>
      <c r="F855" s="8">
        <v>3.13</v>
      </c>
      <c r="G855" s="4">
        <v>3</v>
      </c>
      <c r="H855" s="8">
        <v>2.21</v>
      </c>
      <c r="I855" s="4">
        <v>0</v>
      </c>
    </row>
    <row r="856" spans="1:9" x14ac:dyDescent="0.2">
      <c r="A856" s="2">
        <v>10</v>
      </c>
      <c r="B856" s="1" t="s">
        <v>70</v>
      </c>
      <c r="C856" s="4">
        <v>12</v>
      </c>
      <c r="D856" s="8">
        <v>2.59</v>
      </c>
      <c r="E856" s="4">
        <v>8</v>
      </c>
      <c r="F856" s="8">
        <v>2.5</v>
      </c>
      <c r="G856" s="4">
        <v>4</v>
      </c>
      <c r="H856" s="8">
        <v>2.94</v>
      </c>
      <c r="I856" s="4">
        <v>0</v>
      </c>
    </row>
    <row r="857" spans="1:9" x14ac:dyDescent="0.2">
      <c r="A857" s="2">
        <v>10</v>
      </c>
      <c r="B857" s="1" t="s">
        <v>72</v>
      </c>
      <c r="C857" s="4">
        <v>12</v>
      </c>
      <c r="D857" s="8">
        <v>2.59</v>
      </c>
      <c r="E857" s="4">
        <v>12</v>
      </c>
      <c r="F857" s="8">
        <v>3.75</v>
      </c>
      <c r="G857" s="4">
        <v>0</v>
      </c>
      <c r="H857" s="8">
        <v>0</v>
      </c>
      <c r="I857" s="4">
        <v>0</v>
      </c>
    </row>
    <row r="858" spans="1:9" x14ac:dyDescent="0.2">
      <c r="A858" s="2">
        <v>12</v>
      </c>
      <c r="B858" s="1" t="s">
        <v>68</v>
      </c>
      <c r="C858" s="4">
        <v>10</v>
      </c>
      <c r="D858" s="8">
        <v>2.16</v>
      </c>
      <c r="E858" s="4">
        <v>8</v>
      </c>
      <c r="F858" s="8">
        <v>2.5</v>
      </c>
      <c r="G858" s="4">
        <v>2</v>
      </c>
      <c r="H858" s="8">
        <v>1.47</v>
      </c>
      <c r="I858" s="4">
        <v>0</v>
      </c>
    </row>
    <row r="859" spans="1:9" x14ac:dyDescent="0.2">
      <c r="A859" s="2">
        <v>13</v>
      </c>
      <c r="B859" s="1" t="s">
        <v>93</v>
      </c>
      <c r="C859" s="4">
        <v>8</v>
      </c>
      <c r="D859" s="8">
        <v>1.73</v>
      </c>
      <c r="E859" s="4">
        <v>7</v>
      </c>
      <c r="F859" s="8">
        <v>2.19</v>
      </c>
      <c r="G859" s="4">
        <v>0</v>
      </c>
      <c r="H859" s="8">
        <v>0</v>
      </c>
      <c r="I859" s="4">
        <v>0</v>
      </c>
    </row>
    <row r="860" spans="1:9" x14ac:dyDescent="0.2">
      <c r="A860" s="2">
        <v>13</v>
      </c>
      <c r="B860" s="1" t="s">
        <v>83</v>
      </c>
      <c r="C860" s="4">
        <v>8</v>
      </c>
      <c r="D860" s="8">
        <v>1.73</v>
      </c>
      <c r="E860" s="4">
        <v>7</v>
      </c>
      <c r="F860" s="8">
        <v>2.19</v>
      </c>
      <c r="G860" s="4">
        <v>1</v>
      </c>
      <c r="H860" s="8">
        <v>0.74</v>
      </c>
      <c r="I860" s="4">
        <v>0</v>
      </c>
    </row>
    <row r="861" spans="1:9" x14ac:dyDescent="0.2">
      <c r="A861" s="2">
        <v>15</v>
      </c>
      <c r="B861" s="1" t="s">
        <v>69</v>
      </c>
      <c r="C861" s="4">
        <v>7</v>
      </c>
      <c r="D861" s="8">
        <v>1.51</v>
      </c>
      <c r="E861" s="4">
        <v>2</v>
      </c>
      <c r="F861" s="8">
        <v>0.63</v>
      </c>
      <c r="G861" s="4">
        <v>5</v>
      </c>
      <c r="H861" s="8">
        <v>3.68</v>
      </c>
      <c r="I861" s="4">
        <v>0</v>
      </c>
    </row>
    <row r="862" spans="1:9" x14ac:dyDescent="0.2">
      <c r="A862" s="2">
        <v>15</v>
      </c>
      <c r="B862" s="1" t="s">
        <v>79</v>
      </c>
      <c r="C862" s="4">
        <v>7</v>
      </c>
      <c r="D862" s="8">
        <v>1.51</v>
      </c>
      <c r="E862" s="4">
        <v>6</v>
      </c>
      <c r="F862" s="8">
        <v>1.88</v>
      </c>
      <c r="G862" s="4">
        <v>1</v>
      </c>
      <c r="H862" s="8">
        <v>0.74</v>
      </c>
      <c r="I862" s="4">
        <v>0</v>
      </c>
    </row>
    <row r="863" spans="1:9" x14ac:dyDescent="0.2">
      <c r="A863" s="2">
        <v>17</v>
      </c>
      <c r="B863" s="1" t="s">
        <v>90</v>
      </c>
      <c r="C863" s="4">
        <v>6</v>
      </c>
      <c r="D863" s="8">
        <v>1.3</v>
      </c>
      <c r="E863" s="4">
        <v>1</v>
      </c>
      <c r="F863" s="8">
        <v>0.31</v>
      </c>
      <c r="G863" s="4">
        <v>5</v>
      </c>
      <c r="H863" s="8">
        <v>3.68</v>
      </c>
      <c r="I863" s="4">
        <v>0</v>
      </c>
    </row>
    <row r="864" spans="1:9" x14ac:dyDescent="0.2">
      <c r="A864" s="2">
        <v>17</v>
      </c>
      <c r="B864" s="1" t="s">
        <v>94</v>
      </c>
      <c r="C864" s="4">
        <v>6</v>
      </c>
      <c r="D864" s="8">
        <v>1.3</v>
      </c>
      <c r="E864" s="4">
        <v>3</v>
      </c>
      <c r="F864" s="8">
        <v>0.94</v>
      </c>
      <c r="G864" s="4">
        <v>2</v>
      </c>
      <c r="H864" s="8">
        <v>1.47</v>
      </c>
      <c r="I864" s="4">
        <v>1</v>
      </c>
    </row>
    <row r="865" spans="1:9" x14ac:dyDescent="0.2">
      <c r="A865" s="2">
        <v>19</v>
      </c>
      <c r="B865" s="1" t="s">
        <v>76</v>
      </c>
      <c r="C865" s="4">
        <v>5</v>
      </c>
      <c r="D865" s="8">
        <v>1.08</v>
      </c>
      <c r="E865" s="4">
        <v>2</v>
      </c>
      <c r="F865" s="8">
        <v>0.63</v>
      </c>
      <c r="G865" s="4">
        <v>3</v>
      </c>
      <c r="H865" s="8">
        <v>2.21</v>
      </c>
      <c r="I865" s="4">
        <v>0</v>
      </c>
    </row>
    <row r="866" spans="1:9" x14ac:dyDescent="0.2">
      <c r="A866" s="2">
        <v>19</v>
      </c>
      <c r="B866" s="1" t="s">
        <v>85</v>
      </c>
      <c r="C866" s="4">
        <v>5</v>
      </c>
      <c r="D866" s="8">
        <v>1.08</v>
      </c>
      <c r="E866" s="4">
        <v>0</v>
      </c>
      <c r="F866" s="8">
        <v>0</v>
      </c>
      <c r="G866" s="4">
        <v>5</v>
      </c>
      <c r="H866" s="8">
        <v>3.68</v>
      </c>
      <c r="I866" s="4">
        <v>0</v>
      </c>
    </row>
    <row r="867" spans="1:9" x14ac:dyDescent="0.2">
      <c r="A867" s="1"/>
      <c r="C867" s="4"/>
      <c r="D867" s="8"/>
      <c r="E867" s="4"/>
      <c r="F867" s="8"/>
      <c r="G867" s="4"/>
      <c r="H867" s="8"/>
      <c r="I867" s="4"/>
    </row>
    <row r="868" spans="1:9" x14ac:dyDescent="0.2">
      <c r="A868" s="1" t="s">
        <v>39</v>
      </c>
      <c r="C868" s="4"/>
      <c r="D868" s="8"/>
      <c r="E868" s="4"/>
      <c r="F868" s="8"/>
      <c r="G868" s="4"/>
      <c r="H868" s="8"/>
      <c r="I868" s="4"/>
    </row>
    <row r="869" spans="1:9" x14ac:dyDescent="0.2">
      <c r="A869" s="2">
        <v>1</v>
      </c>
      <c r="B869" s="1" t="s">
        <v>81</v>
      </c>
      <c r="C869" s="4">
        <v>23</v>
      </c>
      <c r="D869" s="8">
        <v>12.23</v>
      </c>
      <c r="E869" s="4">
        <v>22</v>
      </c>
      <c r="F869" s="8">
        <v>21.78</v>
      </c>
      <c r="G869" s="4">
        <v>1</v>
      </c>
      <c r="H869" s="8">
        <v>1.23</v>
      </c>
      <c r="I869" s="4">
        <v>0</v>
      </c>
    </row>
    <row r="870" spans="1:9" x14ac:dyDescent="0.2">
      <c r="A870" s="2">
        <v>2</v>
      </c>
      <c r="B870" s="1" t="s">
        <v>67</v>
      </c>
      <c r="C870" s="4">
        <v>21</v>
      </c>
      <c r="D870" s="8">
        <v>11.17</v>
      </c>
      <c r="E870" s="4">
        <v>1</v>
      </c>
      <c r="F870" s="8">
        <v>0.99</v>
      </c>
      <c r="G870" s="4">
        <v>20</v>
      </c>
      <c r="H870" s="8">
        <v>24.69</v>
      </c>
      <c r="I870" s="4">
        <v>0</v>
      </c>
    </row>
    <row r="871" spans="1:9" x14ac:dyDescent="0.2">
      <c r="A871" s="2">
        <v>2</v>
      </c>
      <c r="B871" s="1" t="s">
        <v>73</v>
      </c>
      <c r="C871" s="4">
        <v>21</v>
      </c>
      <c r="D871" s="8">
        <v>11.17</v>
      </c>
      <c r="E871" s="4">
        <v>16</v>
      </c>
      <c r="F871" s="8">
        <v>15.84</v>
      </c>
      <c r="G871" s="4">
        <v>5</v>
      </c>
      <c r="H871" s="8">
        <v>6.17</v>
      </c>
      <c r="I871" s="4">
        <v>0</v>
      </c>
    </row>
    <row r="872" spans="1:9" x14ac:dyDescent="0.2">
      <c r="A872" s="2">
        <v>2</v>
      </c>
      <c r="B872" s="1" t="s">
        <v>82</v>
      </c>
      <c r="C872" s="4">
        <v>21</v>
      </c>
      <c r="D872" s="8">
        <v>11.17</v>
      </c>
      <c r="E872" s="4">
        <v>21</v>
      </c>
      <c r="F872" s="8">
        <v>20.79</v>
      </c>
      <c r="G872" s="4">
        <v>0</v>
      </c>
      <c r="H872" s="8">
        <v>0</v>
      </c>
      <c r="I872" s="4">
        <v>0</v>
      </c>
    </row>
    <row r="873" spans="1:9" x14ac:dyDescent="0.2">
      <c r="A873" s="2">
        <v>5</v>
      </c>
      <c r="B873" s="1" t="s">
        <v>75</v>
      </c>
      <c r="C873" s="4">
        <v>19</v>
      </c>
      <c r="D873" s="8">
        <v>10.11</v>
      </c>
      <c r="E873" s="4">
        <v>10</v>
      </c>
      <c r="F873" s="8">
        <v>9.9</v>
      </c>
      <c r="G873" s="4">
        <v>9</v>
      </c>
      <c r="H873" s="8">
        <v>11.11</v>
      </c>
      <c r="I873" s="4">
        <v>0</v>
      </c>
    </row>
    <row r="874" spans="1:9" x14ac:dyDescent="0.2">
      <c r="A874" s="2">
        <v>6</v>
      </c>
      <c r="B874" s="1" t="s">
        <v>72</v>
      </c>
      <c r="C874" s="4">
        <v>7</v>
      </c>
      <c r="D874" s="8">
        <v>3.72</v>
      </c>
      <c r="E874" s="4">
        <v>7</v>
      </c>
      <c r="F874" s="8">
        <v>6.93</v>
      </c>
      <c r="G874" s="4">
        <v>0</v>
      </c>
      <c r="H874" s="8">
        <v>0</v>
      </c>
      <c r="I874" s="4">
        <v>0</v>
      </c>
    </row>
    <row r="875" spans="1:9" x14ac:dyDescent="0.2">
      <c r="A875" s="2">
        <v>7</v>
      </c>
      <c r="B875" s="1" t="s">
        <v>71</v>
      </c>
      <c r="C875" s="4">
        <v>6</v>
      </c>
      <c r="D875" s="8">
        <v>3.19</v>
      </c>
      <c r="E875" s="4">
        <v>2</v>
      </c>
      <c r="F875" s="8">
        <v>1.98</v>
      </c>
      <c r="G875" s="4">
        <v>4</v>
      </c>
      <c r="H875" s="8">
        <v>4.9400000000000004</v>
      </c>
      <c r="I875" s="4">
        <v>0</v>
      </c>
    </row>
    <row r="876" spans="1:9" x14ac:dyDescent="0.2">
      <c r="A876" s="2">
        <v>8</v>
      </c>
      <c r="B876" s="1" t="s">
        <v>74</v>
      </c>
      <c r="C876" s="4">
        <v>5</v>
      </c>
      <c r="D876" s="8">
        <v>2.66</v>
      </c>
      <c r="E876" s="4">
        <v>2</v>
      </c>
      <c r="F876" s="8">
        <v>1.98</v>
      </c>
      <c r="G876" s="4">
        <v>3</v>
      </c>
      <c r="H876" s="8">
        <v>3.7</v>
      </c>
      <c r="I876" s="4">
        <v>0</v>
      </c>
    </row>
    <row r="877" spans="1:9" x14ac:dyDescent="0.2">
      <c r="A877" s="2">
        <v>9</v>
      </c>
      <c r="B877" s="1" t="s">
        <v>69</v>
      </c>
      <c r="C877" s="4">
        <v>4</v>
      </c>
      <c r="D877" s="8">
        <v>2.13</v>
      </c>
      <c r="E877" s="4">
        <v>0</v>
      </c>
      <c r="F877" s="8">
        <v>0</v>
      </c>
      <c r="G877" s="4">
        <v>4</v>
      </c>
      <c r="H877" s="8">
        <v>4.9400000000000004</v>
      </c>
      <c r="I877" s="4">
        <v>0</v>
      </c>
    </row>
    <row r="878" spans="1:9" x14ac:dyDescent="0.2">
      <c r="A878" s="2">
        <v>9</v>
      </c>
      <c r="B878" s="1" t="s">
        <v>90</v>
      </c>
      <c r="C878" s="4">
        <v>4</v>
      </c>
      <c r="D878" s="8">
        <v>2.13</v>
      </c>
      <c r="E878" s="4">
        <v>2</v>
      </c>
      <c r="F878" s="8">
        <v>1.98</v>
      </c>
      <c r="G878" s="4">
        <v>2</v>
      </c>
      <c r="H878" s="8">
        <v>2.4700000000000002</v>
      </c>
      <c r="I878" s="4">
        <v>0</v>
      </c>
    </row>
    <row r="879" spans="1:9" x14ac:dyDescent="0.2">
      <c r="A879" s="2">
        <v>9</v>
      </c>
      <c r="B879" s="1" t="s">
        <v>98</v>
      </c>
      <c r="C879" s="4">
        <v>4</v>
      </c>
      <c r="D879" s="8">
        <v>2.13</v>
      </c>
      <c r="E879" s="4">
        <v>0</v>
      </c>
      <c r="F879" s="8">
        <v>0</v>
      </c>
      <c r="G879" s="4">
        <v>4</v>
      </c>
      <c r="H879" s="8">
        <v>4.9400000000000004</v>
      </c>
      <c r="I879" s="4">
        <v>0</v>
      </c>
    </row>
    <row r="880" spans="1:9" x14ac:dyDescent="0.2">
      <c r="A880" s="2">
        <v>9</v>
      </c>
      <c r="B880" s="1" t="s">
        <v>94</v>
      </c>
      <c r="C880" s="4">
        <v>4</v>
      </c>
      <c r="D880" s="8">
        <v>2.13</v>
      </c>
      <c r="E880" s="4">
        <v>1</v>
      </c>
      <c r="F880" s="8">
        <v>0.99</v>
      </c>
      <c r="G880" s="4">
        <v>1</v>
      </c>
      <c r="H880" s="8">
        <v>1.23</v>
      </c>
      <c r="I880" s="4">
        <v>0</v>
      </c>
    </row>
    <row r="881" spans="1:9" x14ac:dyDescent="0.2">
      <c r="A881" s="2">
        <v>9</v>
      </c>
      <c r="B881" s="1" t="s">
        <v>85</v>
      </c>
      <c r="C881" s="4">
        <v>4</v>
      </c>
      <c r="D881" s="8">
        <v>2.13</v>
      </c>
      <c r="E881" s="4">
        <v>0</v>
      </c>
      <c r="F881" s="8">
        <v>0</v>
      </c>
      <c r="G881" s="4">
        <v>3</v>
      </c>
      <c r="H881" s="8">
        <v>3.7</v>
      </c>
      <c r="I881" s="4">
        <v>0</v>
      </c>
    </row>
    <row r="882" spans="1:9" x14ac:dyDescent="0.2">
      <c r="A882" s="2">
        <v>9</v>
      </c>
      <c r="B882" s="1" t="s">
        <v>86</v>
      </c>
      <c r="C882" s="4">
        <v>4</v>
      </c>
      <c r="D882" s="8">
        <v>2.13</v>
      </c>
      <c r="E882" s="4">
        <v>3</v>
      </c>
      <c r="F882" s="8">
        <v>2.97</v>
      </c>
      <c r="G882" s="4">
        <v>1</v>
      </c>
      <c r="H882" s="8">
        <v>1.23</v>
      </c>
      <c r="I882" s="4">
        <v>0</v>
      </c>
    </row>
    <row r="883" spans="1:9" x14ac:dyDescent="0.2">
      <c r="A883" s="2">
        <v>15</v>
      </c>
      <c r="B883" s="1" t="s">
        <v>70</v>
      </c>
      <c r="C883" s="4">
        <v>3</v>
      </c>
      <c r="D883" s="8">
        <v>1.6</v>
      </c>
      <c r="E883" s="4">
        <v>3</v>
      </c>
      <c r="F883" s="8">
        <v>2.97</v>
      </c>
      <c r="G883" s="4">
        <v>0</v>
      </c>
      <c r="H883" s="8">
        <v>0</v>
      </c>
      <c r="I883" s="4">
        <v>0</v>
      </c>
    </row>
    <row r="884" spans="1:9" x14ac:dyDescent="0.2">
      <c r="A884" s="2">
        <v>15</v>
      </c>
      <c r="B884" s="1" t="s">
        <v>119</v>
      </c>
      <c r="C884" s="4">
        <v>3</v>
      </c>
      <c r="D884" s="8">
        <v>1.6</v>
      </c>
      <c r="E884" s="4">
        <v>0</v>
      </c>
      <c r="F884" s="8">
        <v>0</v>
      </c>
      <c r="G884" s="4">
        <v>3</v>
      </c>
      <c r="H884" s="8">
        <v>3.7</v>
      </c>
      <c r="I884" s="4">
        <v>0</v>
      </c>
    </row>
    <row r="885" spans="1:9" x14ac:dyDescent="0.2">
      <c r="A885" s="2">
        <v>15</v>
      </c>
      <c r="B885" s="1" t="s">
        <v>79</v>
      </c>
      <c r="C885" s="4">
        <v>3</v>
      </c>
      <c r="D885" s="8">
        <v>1.6</v>
      </c>
      <c r="E885" s="4">
        <v>1</v>
      </c>
      <c r="F885" s="8">
        <v>0.99</v>
      </c>
      <c r="G885" s="4">
        <v>2</v>
      </c>
      <c r="H885" s="8">
        <v>2.4700000000000002</v>
      </c>
      <c r="I885" s="4">
        <v>0</v>
      </c>
    </row>
    <row r="886" spans="1:9" x14ac:dyDescent="0.2">
      <c r="A886" s="2">
        <v>15</v>
      </c>
      <c r="B886" s="1" t="s">
        <v>80</v>
      </c>
      <c r="C886" s="4">
        <v>3</v>
      </c>
      <c r="D886" s="8">
        <v>1.6</v>
      </c>
      <c r="E886" s="4">
        <v>1</v>
      </c>
      <c r="F886" s="8">
        <v>0.99</v>
      </c>
      <c r="G886" s="4">
        <v>2</v>
      </c>
      <c r="H886" s="8">
        <v>2.4700000000000002</v>
      </c>
      <c r="I886" s="4">
        <v>0</v>
      </c>
    </row>
    <row r="887" spans="1:9" x14ac:dyDescent="0.2">
      <c r="A887" s="2">
        <v>15</v>
      </c>
      <c r="B887" s="1" t="s">
        <v>83</v>
      </c>
      <c r="C887" s="4">
        <v>3</v>
      </c>
      <c r="D887" s="8">
        <v>1.6</v>
      </c>
      <c r="E887" s="4">
        <v>1</v>
      </c>
      <c r="F887" s="8">
        <v>0.99</v>
      </c>
      <c r="G887" s="4">
        <v>0</v>
      </c>
      <c r="H887" s="8">
        <v>0</v>
      </c>
      <c r="I887" s="4">
        <v>0</v>
      </c>
    </row>
    <row r="888" spans="1:9" x14ac:dyDescent="0.2">
      <c r="A888" s="2">
        <v>20</v>
      </c>
      <c r="B888" s="1" t="s">
        <v>103</v>
      </c>
      <c r="C888" s="4">
        <v>2</v>
      </c>
      <c r="D888" s="8">
        <v>1.06</v>
      </c>
      <c r="E888" s="4">
        <v>1</v>
      </c>
      <c r="F888" s="8">
        <v>0.99</v>
      </c>
      <c r="G888" s="4">
        <v>1</v>
      </c>
      <c r="H888" s="8">
        <v>1.23</v>
      </c>
      <c r="I888" s="4">
        <v>0</v>
      </c>
    </row>
    <row r="889" spans="1:9" x14ac:dyDescent="0.2">
      <c r="A889" s="2">
        <v>20</v>
      </c>
      <c r="B889" s="1" t="s">
        <v>89</v>
      </c>
      <c r="C889" s="4">
        <v>2</v>
      </c>
      <c r="D889" s="8">
        <v>1.06</v>
      </c>
      <c r="E889" s="4">
        <v>0</v>
      </c>
      <c r="F889" s="8">
        <v>0</v>
      </c>
      <c r="G889" s="4">
        <v>2</v>
      </c>
      <c r="H889" s="8">
        <v>2.4700000000000002</v>
      </c>
      <c r="I889" s="4">
        <v>0</v>
      </c>
    </row>
    <row r="890" spans="1:9" x14ac:dyDescent="0.2">
      <c r="A890" s="2">
        <v>20</v>
      </c>
      <c r="B890" s="1" t="s">
        <v>93</v>
      </c>
      <c r="C890" s="4">
        <v>2</v>
      </c>
      <c r="D890" s="8">
        <v>1.06</v>
      </c>
      <c r="E890" s="4">
        <v>1</v>
      </c>
      <c r="F890" s="8">
        <v>0.99</v>
      </c>
      <c r="G890" s="4">
        <v>1</v>
      </c>
      <c r="H890" s="8">
        <v>1.23</v>
      </c>
      <c r="I890" s="4">
        <v>0</v>
      </c>
    </row>
    <row r="891" spans="1:9" x14ac:dyDescent="0.2">
      <c r="A891" s="2">
        <v>20</v>
      </c>
      <c r="B891" s="1" t="s">
        <v>99</v>
      </c>
      <c r="C891" s="4">
        <v>2</v>
      </c>
      <c r="D891" s="8">
        <v>1.06</v>
      </c>
      <c r="E891" s="4">
        <v>1</v>
      </c>
      <c r="F891" s="8">
        <v>0.99</v>
      </c>
      <c r="G891" s="4">
        <v>1</v>
      </c>
      <c r="H891" s="8">
        <v>1.23</v>
      </c>
      <c r="I891" s="4">
        <v>0</v>
      </c>
    </row>
    <row r="892" spans="1:9" x14ac:dyDescent="0.2">
      <c r="A892" s="1"/>
      <c r="C892" s="4"/>
      <c r="D892" s="8"/>
      <c r="E892" s="4"/>
      <c r="F892" s="8"/>
      <c r="G892" s="4"/>
      <c r="H892" s="8"/>
      <c r="I892" s="4"/>
    </row>
    <row r="893" spans="1:9" x14ac:dyDescent="0.2">
      <c r="A893" s="1" t="s">
        <v>40</v>
      </c>
      <c r="C893" s="4"/>
      <c r="D893" s="8"/>
      <c r="E893" s="4"/>
      <c r="F893" s="8"/>
      <c r="G893" s="4"/>
      <c r="H893" s="8"/>
      <c r="I893" s="4"/>
    </row>
    <row r="894" spans="1:9" x14ac:dyDescent="0.2">
      <c r="A894" s="2">
        <v>1</v>
      </c>
      <c r="B894" s="1" t="s">
        <v>73</v>
      </c>
      <c r="C894" s="4">
        <v>27</v>
      </c>
      <c r="D894" s="8">
        <v>16.27</v>
      </c>
      <c r="E894" s="4">
        <v>26</v>
      </c>
      <c r="F894" s="8">
        <v>22.22</v>
      </c>
      <c r="G894" s="4">
        <v>1</v>
      </c>
      <c r="H894" s="8">
        <v>2.17</v>
      </c>
      <c r="I894" s="4">
        <v>0</v>
      </c>
    </row>
    <row r="895" spans="1:9" x14ac:dyDescent="0.2">
      <c r="A895" s="2">
        <v>2</v>
      </c>
      <c r="B895" s="1" t="s">
        <v>67</v>
      </c>
      <c r="C895" s="4">
        <v>24</v>
      </c>
      <c r="D895" s="8">
        <v>14.46</v>
      </c>
      <c r="E895" s="4">
        <v>7</v>
      </c>
      <c r="F895" s="8">
        <v>5.98</v>
      </c>
      <c r="G895" s="4">
        <v>17</v>
      </c>
      <c r="H895" s="8">
        <v>36.96</v>
      </c>
      <c r="I895" s="4">
        <v>0</v>
      </c>
    </row>
    <row r="896" spans="1:9" x14ac:dyDescent="0.2">
      <c r="A896" s="2">
        <v>2</v>
      </c>
      <c r="B896" s="1" t="s">
        <v>82</v>
      </c>
      <c r="C896" s="4">
        <v>24</v>
      </c>
      <c r="D896" s="8">
        <v>14.46</v>
      </c>
      <c r="E896" s="4">
        <v>24</v>
      </c>
      <c r="F896" s="8">
        <v>20.51</v>
      </c>
      <c r="G896" s="4">
        <v>0</v>
      </c>
      <c r="H896" s="8">
        <v>0</v>
      </c>
      <c r="I896" s="4">
        <v>0</v>
      </c>
    </row>
    <row r="897" spans="1:9" x14ac:dyDescent="0.2">
      <c r="A897" s="2">
        <v>4</v>
      </c>
      <c r="B897" s="1" t="s">
        <v>81</v>
      </c>
      <c r="C897" s="4">
        <v>19</v>
      </c>
      <c r="D897" s="8">
        <v>11.45</v>
      </c>
      <c r="E897" s="4">
        <v>18</v>
      </c>
      <c r="F897" s="8">
        <v>15.38</v>
      </c>
      <c r="G897" s="4">
        <v>1</v>
      </c>
      <c r="H897" s="8">
        <v>2.17</v>
      </c>
      <c r="I897" s="4">
        <v>0</v>
      </c>
    </row>
    <row r="898" spans="1:9" x14ac:dyDescent="0.2">
      <c r="A898" s="2">
        <v>5</v>
      </c>
      <c r="B898" s="1" t="s">
        <v>75</v>
      </c>
      <c r="C898" s="4">
        <v>13</v>
      </c>
      <c r="D898" s="8">
        <v>7.83</v>
      </c>
      <c r="E898" s="4">
        <v>9</v>
      </c>
      <c r="F898" s="8">
        <v>7.69</v>
      </c>
      <c r="G898" s="4">
        <v>4</v>
      </c>
      <c r="H898" s="8">
        <v>8.6999999999999993</v>
      </c>
      <c r="I898" s="4">
        <v>0</v>
      </c>
    </row>
    <row r="899" spans="1:9" x14ac:dyDescent="0.2">
      <c r="A899" s="2">
        <v>6</v>
      </c>
      <c r="B899" s="1" t="s">
        <v>70</v>
      </c>
      <c r="C899" s="4">
        <v>9</v>
      </c>
      <c r="D899" s="8">
        <v>5.42</v>
      </c>
      <c r="E899" s="4">
        <v>8</v>
      </c>
      <c r="F899" s="8">
        <v>6.84</v>
      </c>
      <c r="G899" s="4">
        <v>1</v>
      </c>
      <c r="H899" s="8">
        <v>2.17</v>
      </c>
      <c r="I899" s="4">
        <v>0</v>
      </c>
    </row>
    <row r="900" spans="1:9" x14ac:dyDescent="0.2">
      <c r="A900" s="2">
        <v>7</v>
      </c>
      <c r="B900" s="1" t="s">
        <v>74</v>
      </c>
      <c r="C900" s="4">
        <v>6</v>
      </c>
      <c r="D900" s="8">
        <v>3.61</v>
      </c>
      <c r="E900" s="4">
        <v>4</v>
      </c>
      <c r="F900" s="8">
        <v>3.42</v>
      </c>
      <c r="G900" s="4">
        <v>2</v>
      </c>
      <c r="H900" s="8">
        <v>4.3499999999999996</v>
      </c>
      <c r="I900" s="4">
        <v>0</v>
      </c>
    </row>
    <row r="901" spans="1:9" x14ac:dyDescent="0.2">
      <c r="A901" s="2">
        <v>8</v>
      </c>
      <c r="B901" s="1" t="s">
        <v>83</v>
      </c>
      <c r="C901" s="4">
        <v>5</v>
      </c>
      <c r="D901" s="8">
        <v>3.01</v>
      </c>
      <c r="E901" s="4">
        <v>2</v>
      </c>
      <c r="F901" s="8">
        <v>1.71</v>
      </c>
      <c r="G901" s="4">
        <v>1</v>
      </c>
      <c r="H901" s="8">
        <v>2.17</v>
      </c>
      <c r="I901" s="4">
        <v>0</v>
      </c>
    </row>
    <row r="902" spans="1:9" x14ac:dyDescent="0.2">
      <c r="A902" s="2">
        <v>8</v>
      </c>
      <c r="B902" s="1" t="s">
        <v>86</v>
      </c>
      <c r="C902" s="4">
        <v>5</v>
      </c>
      <c r="D902" s="8">
        <v>3.01</v>
      </c>
      <c r="E902" s="4">
        <v>4</v>
      </c>
      <c r="F902" s="8">
        <v>3.42</v>
      </c>
      <c r="G902" s="4">
        <v>1</v>
      </c>
      <c r="H902" s="8">
        <v>2.17</v>
      </c>
      <c r="I902" s="4">
        <v>0</v>
      </c>
    </row>
    <row r="903" spans="1:9" x14ac:dyDescent="0.2">
      <c r="A903" s="2">
        <v>10</v>
      </c>
      <c r="B903" s="1" t="s">
        <v>68</v>
      </c>
      <c r="C903" s="4">
        <v>3</v>
      </c>
      <c r="D903" s="8">
        <v>1.81</v>
      </c>
      <c r="E903" s="4">
        <v>0</v>
      </c>
      <c r="F903" s="8">
        <v>0</v>
      </c>
      <c r="G903" s="4">
        <v>3</v>
      </c>
      <c r="H903" s="8">
        <v>6.52</v>
      </c>
      <c r="I903" s="4">
        <v>0</v>
      </c>
    </row>
    <row r="904" spans="1:9" x14ac:dyDescent="0.2">
      <c r="A904" s="2">
        <v>10</v>
      </c>
      <c r="B904" s="1" t="s">
        <v>69</v>
      </c>
      <c r="C904" s="4">
        <v>3</v>
      </c>
      <c r="D904" s="8">
        <v>1.81</v>
      </c>
      <c r="E904" s="4">
        <v>1</v>
      </c>
      <c r="F904" s="8">
        <v>0.85</v>
      </c>
      <c r="G904" s="4">
        <v>2</v>
      </c>
      <c r="H904" s="8">
        <v>4.3499999999999996</v>
      </c>
      <c r="I904" s="4">
        <v>0</v>
      </c>
    </row>
    <row r="905" spans="1:9" x14ac:dyDescent="0.2">
      <c r="A905" s="2">
        <v>12</v>
      </c>
      <c r="B905" s="1" t="s">
        <v>96</v>
      </c>
      <c r="C905" s="4">
        <v>2</v>
      </c>
      <c r="D905" s="8">
        <v>1.2</v>
      </c>
      <c r="E905" s="4">
        <v>1</v>
      </c>
      <c r="F905" s="8">
        <v>0.85</v>
      </c>
      <c r="G905" s="4">
        <v>1</v>
      </c>
      <c r="H905" s="8">
        <v>2.17</v>
      </c>
      <c r="I905" s="4">
        <v>0</v>
      </c>
    </row>
    <row r="906" spans="1:9" x14ac:dyDescent="0.2">
      <c r="A906" s="2">
        <v>12</v>
      </c>
      <c r="B906" s="1" t="s">
        <v>71</v>
      </c>
      <c r="C906" s="4">
        <v>2</v>
      </c>
      <c r="D906" s="8">
        <v>1.2</v>
      </c>
      <c r="E906" s="4">
        <v>1</v>
      </c>
      <c r="F906" s="8">
        <v>0.85</v>
      </c>
      <c r="G906" s="4">
        <v>1</v>
      </c>
      <c r="H906" s="8">
        <v>2.17</v>
      </c>
      <c r="I906" s="4">
        <v>0</v>
      </c>
    </row>
    <row r="907" spans="1:9" x14ac:dyDescent="0.2">
      <c r="A907" s="2">
        <v>12</v>
      </c>
      <c r="B907" s="1" t="s">
        <v>79</v>
      </c>
      <c r="C907" s="4">
        <v>2</v>
      </c>
      <c r="D907" s="8">
        <v>1.2</v>
      </c>
      <c r="E907" s="4">
        <v>0</v>
      </c>
      <c r="F907" s="8">
        <v>0</v>
      </c>
      <c r="G907" s="4">
        <v>1</v>
      </c>
      <c r="H907" s="8">
        <v>2.17</v>
      </c>
      <c r="I907" s="4">
        <v>0</v>
      </c>
    </row>
    <row r="908" spans="1:9" x14ac:dyDescent="0.2">
      <c r="A908" s="2">
        <v>12</v>
      </c>
      <c r="B908" s="1" t="s">
        <v>80</v>
      </c>
      <c r="C908" s="4">
        <v>2</v>
      </c>
      <c r="D908" s="8">
        <v>1.2</v>
      </c>
      <c r="E908" s="4">
        <v>2</v>
      </c>
      <c r="F908" s="8">
        <v>1.71</v>
      </c>
      <c r="G908" s="4">
        <v>0</v>
      </c>
      <c r="H908" s="8">
        <v>0</v>
      </c>
      <c r="I908" s="4">
        <v>0</v>
      </c>
    </row>
    <row r="909" spans="1:9" x14ac:dyDescent="0.2">
      <c r="A909" s="2">
        <v>12</v>
      </c>
      <c r="B909" s="1" t="s">
        <v>93</v>
      </c>
      <c r="C909" s="4">
        <v>2</v>
      </c>
      <c r="D909" s="8">
        <v>1.2</v>
      </c>
      <c r="E909" s="4">
        <v>2</v>
      </c>
      <c r="F909" s="8">
        <v>1.71</v>
      </c>
      <c r="G909" s="4">
        <v>0</v>
      </c>
      <c r="H909" s="8">
        <v>0</v>
      </c>
      <c r="I909" s="4">
        <v>0</v>
      </c>
    </row>
    <row r="910" spans="1:9" x14ac:dyDescent="0.2">
      <c r="A910" s="2">
        <v>12</v>
      </c>
      <c r="B910" s="1" t="s">
        <v>84</v>
      </c>
      <c r="C910" s="4">
        <v>2</v>
      </c>
      <c r="D910" s="8">
        <v>1.2</v>
      </c>
      <c r="E910" s="4">
        <v>2</v>
      </c>
      <c r="F910" s="8">
        <v>1.71</v>
      </c>
      <c r="G910" s="4">
        <v>0</v>
      </c>
      <c r="H910" s="8">
        <v>0</v>
      </c>
      <c r="I910" s="4">
        <v>0</v>
      </c>
    </row>
    <row r="911" spans="1:9" x14ac:dyDescent="0.2">
      <c r="A911" s="2">
        <v>18</v>
      </c>
      <c r="B911" s="1" t="s">
        <v>90</v>
      </c>
      <c r="C911" s="4">
        <v>1</v>
      </c>
      <c r="D911" s="8">
        <v>0.6</v>
      </c>
      <c r="E911" s="4">
        <v>0</v>
      </c>
      <c r="F911" s="8">
        <v>0</v>
      </c>
      <c r="G911" s="4">
        <v>1</v>
      </c>
      <c r="H911" s="8">
        <v>2.17</v>
      </c>
      <c r="I911" s="4">
        <v>0</v>
      </c>
    </row>
    <row r="912" spans="1:9" x14ac:dyDescent="0.2">
      <c r="A912" s="2">
        <v>18</v>
      </c>
      <c r="B912" s="1" t="s">
        <v>102</v>
      </c>
      <c r="C912" s="4">
        <v>1</v>
      </c>
      <c r="D912" s="8">
        <v>0.6</v>
      </c>
      <c r="E912" s="4">
        <v>1</v>
      </c>
      <c r="F912" s="8">
        <v>0.85</v>
      </c>
      <c r="G912" s="4">
        <v>0</v>
      </c>
      <c r="H912" s="8">
        <v>0</v>
      </c>
      <c r="I912" s="4">
        <v>0</v>
      </c>
    </row>
    <row r="913" spans="1:9" x14ac:dyDescent="0.2">
      <c r="A913" s="2">
        <v>18</v>
      </c>
      <c r="B913" s="1" t="s">
        <v>103</v>
      </c>
      <c r="C913" s="4">
        <v>1</v>
      </c>
      <c r="D913" s="8">
        <v>0.6</v>
      </c>
      <c r="E913" s="4">
        <v>1</v>
      </c>
      <c r="F913" s="8">
        <v>0.85</v>
      </c>
      <c r="G913" s="4">
        <v>0</v>
      </c>
      <c r="H913" s="8">
        <v>0</v>
      </c>
      <c r="I913" s="4">
        <v>0</v>
      </c>
    </row>
    <row r="914" spans="1:9" x14ac:dyDescent="0.2">
      <c r="A914" s="2">
        <v>18</v>
      </c>
      <c r="B914" s="1" t="s">
        <v>120</v>
      </c>
      <c r="C914" s="4">
        <v>1</v>
      </c>
      <c r="D914" s="8">
        <v>0.6</v>
      </c>
      <c r="E914" s="4">
        <v>0</v>
      </c>
      <c r="F914" s="8">
        <v>0</v>
      </c>
      <c r="G914" s="4">
        <v>1</v>
      </c>
      <c r="H914" s="8">
        <v>2.17</v>
      </c>
      <c r="I914" s="4">
        <v>0</v>
      </c>
    </row>
    <row r="915" spans="1:9" x14ac:dyDescent="0.2">
      <c r="A915" s="2">
        <v>18</v>
      </c>
      <c r="B915" s="1" t="s">
        <v>119</v>
      </c>
      <c r="C915" s="4">
        <v>1</v>
      </c>
      <c r="D915" s="8">
        <v>0.6</v>
      </c>
      <c r="E915" s="4">
        <v>0</v>
      </c>
      <c r="F915" s="8">
        <v>0</v>
      </c>
      <c r="G915" s="4">
        <v>1</v>
      </c>
      <c r="H915" s="8">
        <v>2.17</v>
      </c>
      <c r="I915" s="4">
        <v>0</v>
      </c>
    </row>
    <row r="916" spans="1:9" x14ac:dyDescent="0.2">
      <c r="A916" s="2">
        <v>18</v>
      </c>
      <c r="B916" s="1" t="s">
        <v>100</v>
      </c>
      <c r="C916" s="4">
        <v>1</v>
      </c>
      <c r="D916" s="8">
        <v>0.6</v>
      </c>
      <c r="E916" s="4">
        <v>0</v>
      </c>
      <c r="F916" s="8">
        <v>0</v>
      </c>
      <c r="G916" s="4">
        <v>1</v>
      </c>
      <c r="H916" s="8">
        <v>2.17</v>
      </c>
      <c r="I916" s="4">
        <v>0</v>
      </c>
    </row>
    <row r="917" spans="1:9" x14ac:dyDescent="0.2">
      <c r="A917" s="2">
        <v>18</v>
      </c>
      <c r="B917" s="1" t="s">
        <v>87</v>
      </c>
      <c r="C917" s="4">
        <v>1</v>
      </c>
      <c r="D917" s="8">
        <v>0.6</v>
      </c>
      <c r="E917" s="4">
        <v>0</v>
      </c>
      <c r="F917" s="8">
        <v>0</v>
      </c>
      <c r="G917" s="4">
        <v>1</v>
      </c>
      <c r="H917" s="8">
        <v>2.17</v>
      </c>
      <c r="I917" s="4">
        <v>0</v>
      </c>
    </row>
    <row r="918" spans="1:9" x14ac:dyDescent="0.2">
      <c r="A918" s="2">
        <v>18</v>
      </c>
      <c r="B918" s="1" t="s">
        <v>88</v>
      </c>
      <c r="C918" s="4">
        <v>1</v>
      </c>
      <c r="D918" s="8">
        <v>0.6</v>
      </c>
      <c r="E918" s="4">
        <v>0</v>
      </c>
      <c r="F918" s="8">
        <v>0</v>
      </c>
      <c r="G918" s="4">
        <v>1</v>
      </c>
      <c r="H918" s="8">
        <v>2.17</v>
      </c>
      <c r="I918" s="4">
        <v>0</v>
      </c>
    </row>
    <row r="919" spans="1:9" x14ac:dyDescent="0.2">
      <c r="A919" s="2">
        <v>18</v>
      </c>
      <c r="B919" s="1" t="s">
        <v>72</v>
      </c>
      <c r="C919" s="4">
        <v>1</v>
      </c>
      <c r="D919" s="8">
        <v>0.6</v>
      </c>
      <c r="E919" s="4">
        <v>1</v>
      </c>
      <c r="F919" s="8">
        <v>0.85</v>
      </c>
      <c r="G919" s="4">
        <v>0</v>
      </c>
      <c r="H919" s="8">
        <v>0</v>
      </c>
      <c r="I919" s="4">
        <v>0</v>
      </c>
    </row>
    <row r="920" spans="1:9" x14ac:dyDescent="0.2">
      <c r="A920" s="2">
        <v>18</v>
      </c>
      <c r="B920" s="1" t="s">
        <v>76</v>
      </c>
      <c r="C920" s="4">
        <v>1</v>
      </c>
      <c r="D920" s="8">
        <v>0.6</v>
      </c>
      <c r="E920" s="4">
        <v>1</v>
      </c>
      <c r="F920" s="8">
        <v>0.85</v>
      </c>
      <c r="G920" s="4">
        <v>0</v>
      </c>
      <c r="H920" s="8">
        <v>0</v>
      </c>
      <c r="I920" s="4">
        <v>0</v>
      </c>
    </row>
    <row r="921" spans="1:9" x14ac:dyDescent="0.2">
      <c r="A921" s="2">
        <v>18</v>
      </c>
      <c r="B921" s="1" t="s">
        <v>77</v>
      </c>
      <c r="C921" s="4">
        <v>1</v>
      </c>
      <c r="D921" s="8">
        <v>0.6</v>
      </c>
      <c r="E921" s="4">
        <v>1</v>
      </c>
      <c r="F921" s="8">
        <v>0.85</v>
      </c>
      <c r="G921" s="4">
        <v>0</v>
      </c>
      <c r="H921" s="8">
        <v>0</v>
      </c>
      <c r="I921" s="4">
        <v>0</v>
      </c>
    </row>
    <row r="922" spans="1:9" x14ac:dyDescent="0.2">
      <c r="A922" s="2">
        <v>18</v>
      </c>
      <c r="B922" s="1" t="s">
        <v>78</v>
      </c>
      <c r="C922" s="4">
        <v>1</v>
      </c>
      <c r="D922" s="8">
        <v>0.6</v>
      </c>
      <c r="E922" s="4">
        <v>0</v>
      </c>
      <c r="F922" s="8">
        <v>0</v>
      </c>
      <c r="G922" s="4">
        <v>1</v>
      </c>
      <c r="H922" s="8">
        <v>2.17</v>
      </c>
      <c r="I922" s="4">
        <v>0</v>
      </c>
    </row>
    <row r="923" spans="1:9" x14ac:dyDescent="0.2">
      <c r="A923" s="2">
        <v>18</v>
      </c>
      <c r="B923" s="1" t="s">
        <v>94</v>
      </c>
      <c r="C923" s="4">
        <v>1</v>
      </c>
      <c r="D923" s="8">
        <v>0.6</v>
      </c>
      <c r="E923" s="4">
        <v>1</v>
      </c>
      <c r="F923" s="8">
        <v>0.85</v>
      </c>
      <c r="G923" s="4">
        <v>0</v>
      </c>
      <c r="H923" s="8">
        <v>0</v>
      </c>
      <c r="I923" s="4">
        <v>0</v>
      </c>
    </row>
    <row r="924" spans="1:9" x14ac:dyDescent="0.2">
      <c r="A924" s="2">
        <v>18</v>
      </c>
      <c r="B924" s="1" t="s">
        <v>85</v>
      </c>
      <c r="C924" s="4">
        <v>1</v>
      </c>
      <c r="D924" s="8">
        <v>0.6</v>
      </c>
      <c r="E924" s="4">
        <v>0</v>
      </c>
      <c r="F924" s="8">
        <v>0</v>
      </c>
      <c r="G924" s="4">
        <v>1</v>
      </c>
      <c r="H924" s="8">
        <v>2.17</v>
      </c>
      <c r="I924" s="4">
        <v>0</v>
      </c>
    </row>
    <row r="925" spans="1:9" x14ac:dyDescent="0.2">
      <c r="A925" s="2">
        <v>18</v>
      </c>
      <c r="B925" s="1" t="s">
        <v>121</v>
      </c>
      <c r="C925" s="4">
        <v>1</v>
      </c>
      <c r="D925" s="8">
        <v>0.6</v>
      </c>
      <c r="E925" s="4">
        <v>0</v>
      </c>
      <c r="F925" s="8">
        <v>0</v>
      </c>
      <c r="G925" s="4">
        <v>1</v>
      </c>
      <c r="H925" s="8">
        <v>2.17</v>
      </c>
      <c r="I925" s="4">
        <v>0</v>
      </c>
    </row>
    <row r="926" spans="1:9" x14ac:dyDescent="0.2">
      <c r="A926" s="2">
        <v>18</v>
      </c>
      <c r="B926" s="1" t="s">
        <v>95</v>
      </c>
      <c r="C926" s="4">
        <v>1</v>
      </c>
      <c r="D926" s="8">
        <v>0.6</v>
      </c>
      <c r="E926" s="4">
        <v>0</v>
      </c>
      <c r="F926" s="8">
        <v>0</v>
      </c>
      <c r="G926" s="4">
        <v>1</v>
      </c>
      <c r="H926" s="8">
        <v>2.17</v>
      </c>
      <c r="I926" s="4">
        <v>0</v>
      </c>
    </row>
    <row r="927" spans="1:9" x14ac:dyDescent="0.2">
      <c r="A927" s="1"/>
      <c r="C927" s="4"/>
      <c r="D927" s="8"/>
      <c r="E927" s="4"/>
      <c r="F927" s="8"/>
      <c r="G927" s="4"/>
      <c r="H927" s="8"/>
      <c r="I927" s="4"/>
    </row>
    <row r="928" spans="1:9" x14ac:dyDescent="0.2">
      <c r="A928" s="1" t="s">
        <v>41</v>
      </c>
      <c r="C928" s="4"/>
      <c r="D928" s="8"/>
      <c r="E928" s="4"/>
      <c r="F928" s="8"/>
      <c r="G928" s="4"/>
      <c r="H928" s="8"/>
      <c r="I928" s="4"/>
    </row>
    <row r="929" spans="1:9" x14ac:dyDescent="0.2">
      <c r="A929" s="2">
        <v>1</v>
      </c>
      <c r="B929" s="1" t="s">
        <v>81</v>
      </c>
      <c r="C929" s="4">
        <v>60</v>
      </c>
      <c r="D929" s="8">
        <v>21.2</v>
      </c>
      <c r="E929" s="4">
        <v>54</v>
      </c>
      <c r="F929" s="8">
        <v>27</v>
      </c>
      <c r="G929" s="4">
        <v>6</v>
      </c>
      <c r="H929" s="8">
        <v>8.11</v>
      </c>
      <c r="I929" s="4">
        <v>0</v>
      </c>
    </row>
    <row r="930" spans="1:9" x14ac:dyDescent="0.2">
      <c r="A930" s="2">
        <v>2</v>
      </c>
      <c r="B930" s="1" t="s">
        <v>73</v>
      </c>
      <c r="C930" s="4">
        <v>32</v>
      </c>
      <c r="D930" s="8">
        <v>11.31</v>
      </c>
      <c r="E930" s="4">
        <v>27</v>
      </c>
      <c r="F930" s="8">
        <v>13.5</v>
      </c>
      <c r="G930" s="4">
        <v>5</v>
      </c>
      <c r="H930" s="8">
        <v>6.76</v>
      </c>
      <c r="I930" s="4">
        <v>0</v>
      </c>
    </row>
    <row r="931" spans="1:9" x14ac:dyDescent="0.2">
      <c r="A931" s="2">
        <v>3</v>
      </c>
      <c r="B931" s="1" t="s">
        <v>75</v>
      </c>
      <c r="C931" s="4">
        <v>22</v>
      </c>
      <c r="D931" s="8">
        <v>7.77</v>
      </c>
      <c r="E931" s="4">
        <v>13</v>
      </c>
      <c r="F931" s="8">
        <v>6.5</v>
      </c>
      <c r="G931" s="4">
        <v>9</v>
      </c>
      <c r="H931" s="8">
        <v>12.16</v>
      </c>
      <c r="I931" s="4">
        <v>0</v>
      </c>
    </row>
    <row r="932" spans="1:9" x14ac:dyDescent="0.2">
      <c r="A932" s="2">
        <v>4</v>
      </c>
      <c r="B932" s="1" t="s">
        <v>82</v>
      </c>
      <c r="C932" s="4">
        <v>17</v>
      </c>
      <c r="D932" s="8">
        <v>6.01</v>
      </c>
      <c r="E932" s="4">
        <v>17</v>
      </c>
      <c r="F932" s="8">
        <v>8.5</v>
      </c>
      <c r="G932" s="4">
        <v>0</v>
      </c>
      <c r="H932" s="8">
        <v>0</v>
      </c>
      <c r="I932" s="4">
        <v>0</v>
      </c>
    </row>
    <row r="933" spans="1:9" x14ac:dyDescent="0.2">
      <c r="A933" s="2">
        <v>5</v>
      </c>
      <c r="B933" s="1" t="s">
        <v>83</v>
      </c>
      <c r="C933" s="4">
        <v>15</v>
      </c>
      <c r="D933" s="8">
        <v>5.3</v>
      </c>
      <c r="E933" s="4">
        <v>10</v>
      </c>
      <c r="F933" s="8">
        <v>5</v>
      </c>
      <c r="G933" s="4">
        <v>1</v>
      </c>
      <c r="H933" s="8">
        <v>1.35</v>
      </c>
      <c r="I933" s="4">
        <v>1</v>
      </c>
    </row>
    <row r="934" spans="1:9" x14ac:dyDescent="0.2">
      <c r="A934" s="2">
        <v>6</v>
      </c>
      <c r="B934" s="1" t="s">
        <v>77</v>
      </c>
      <c r="C934" s="4">
        <v>12</v>
      </c>
      <c r="D934" s="8">
        <v>4.24</v>
      </c>
      <c r="E934" s="4">
        <v>9</v>
      </c>
      <c r="F934" s="8">
        <v>4.5</v>
      </c>
      <c r="G934" s="4">
        <v>3</v>
      </c>
      <c r="H934" s="8">
        <v>4.05</v>
      </c>
      <c r="I934" s="4">
        <v>0</v>
      </c>
    </row>
    <row r="935" spans="1:9" x14ac:dyDescent="0.2">
      <c r="A935" s="2">
        <v>7</v>
      </c>
      <c r="B935" s="1" t="s">
        <v>67</v>
      </c>
      <c r="C935" s="4">
        <v>11</v>
      </c>
      <c r="D935" s="8">
        <v>3.89</v>
      </c>
      <c r="E935" s="4">
        <v>5</v>
      </c>
      <c r="F935" s="8">
        <v>2.5</v>
      </c>
      <c r="G935" s="4">
        <v>6</v>
      </c>
      <c r="H935" s="8">
        <v>8.11</v>
      </c>
      <c r="I935" s="4">
        <v>0</v>
      </c>
    </row>
    <row r="936" spans="1:9" x14ac:dyDescent="0.2">
      <c r="A936" s="2">
        <v>7</v>
      </c>
      <c r="B936" s="1" t="s">
        <v>74</v>
      </c>
      <c r="C936" s="4">
        <v>11</v>
      </c>
      <c r="D936" s="8">
        <v>3.89</v>
      </c>
      <c r="E936" s="4">
        <v>7</v>
      </c>
      <c r="F936" s="8">
        <v>3.5</v>
      </c>
      <c r="G936" s="4">
        <v>4</v>
      </c>
      <c r="H936" s="8">
        <v>5.41</v>
      </c>
      <c r="I936" s="4">
        <v>0</v>
      </c>
    </row>
    <row r="937" spans="1:9" x14ac:dyDescent="0.2">
      <c r="A937" s="2">
        <v>9</v>
      </c>
      <c r="B937" s="1" t="s">
        <v>70</v>
      </c>
      <c r="C937" s="4">
        <v>10</v>
      </c>
      <c r="D937" s="8">
        <v>3.53</v>
      </c>
      <c r="E937" s="4">
        <v>8</v>
      </c>
      <c r="F937" s="8">
        <v>4</v>
      </c>
      <c r="G937" s="4">
        <v>1</v>
      </c>
      <c r="H937" s="8">
        <v>1.35</v>
      </c>
      <c r="I937" s="4">
        <v>1</v>
      </c>
    </row>
    <row r="938" spans="1:9" x14ac:dyDescent="0.2">
      <c r="A938" s="2">
        <v>10</v>
      </c>
      <c r="B938" s="1" t="s">
        <v>68</v>
      </c>
      <c r="C938" s="4">
        <v>9</v>
      </c>
      <c r="D938" s="8">
        <v>3.18</v>
      </c>
      <c r="E938" s="4">
        <v>7</v>
      </c>
      <c r="F938" s="8">
        <v>3.5</v>
      </c>
      <c r="G938" s="4">
        <v>2</v>
      </c>
      <c r="H938" s="8">
        <v>2.7</v>
      </c>
      <c r="I938" s="4">
        <v>0</v>
      </c>
    </row>
    <row r="939" spans="1:9" x14ac:dyDescent="0.2">
      <c r="A939" s="2">
        <v>11</v>
      </c>
      <c r="B939" s="1" t="s">
        <v>69</v>
      </c>
      <c r="C939" s="4">
        <v>8</v>
      </c>
      <c r="D939" s="8">
        <v>2.83</v>
      </c>
      <c r="E939" s="4">
        <v>3</v>
      </c>
      <c r="F939" s="8">
        <v>1.5</v>
      </c>
      <c r="G939" s="4">
        <v>5</v>
      </c>
      <c r="H939" s="8">
        <v>6.76</v>
      </c>
      <c r="I939" s="4">
        <v>0</v>
      </c>
    </row>
    <row r="940" spans="1:9" x14ac:dyDescent="0.2">
      <c r="A940" s="2">
        <v>12</v>
      </c>
      <c r="B940" s="1" t="s">
        <v>80</v>
      </c>
      <c r="C940" s="4">
        <v>7</v>
      </c>
      <c r="D940" s="8">
        <v>2.4700000000000002</v>
      </c>
      <c r="E940" s="4">
        <v>5</v>
      </c>
      <c r="F940" s="8">
        <v>2.5</v>
      </c>
      <c r="G940" s="4">
        <v>2</v>
      </c>
      <c r="H940" s="8">
        <v>2.7</v>
      </c>
      <c r="I940" s="4">
        <v>0</v>
      </c>
    </row>
    <row r="941" spans="1:9" x14ac:dyDescent="0.2">
      <c r="A941" s="2">
        <v>12</v>
      </c>
      <c r="B941" s="1" t="s">
        <v>84</v>
      </c>
      <c r="C941" s="4">
        <v>7</v>
      </c>
      <c r="D941" s="8">
        <v>2.4700000000000002</v>
      </c>
      <c r="E941" s="4">
        <v>7</v>
      </c>
      <c r="F941" s="8">
        <v>3.5</v>
      </c>
      <c r="G941" s="4">
        <v>0</v>
      </c>
      <c r="H941" s="8">
        <v>0</v>
      </c>
      <c r="I941" s="4">
        <v>0</v>
      </c>
    </row>
    <row r="942" spans="1:9" x14ac:dyDescent="0.2">
      <c r="A942" s="2">
        <v>12</v>
      </c>
      <c r="B942" s="1" t="s">
        <v>86</v>
      </c>
      <c r="C942" s="4">
        <v>7</v>
      </c>
      <c r="D942" s="8">
        <v>2.4700000000000002</v>
      </c>
      <c r="E942" s="4">
        <v>5</v>
      </c>
      <c r="F942" s="8">
        <v>2.5</v>
      </c>
      <c r="G942" s="4">
        <v>2</v>
      </c>
      <c r="H942" s="8">
        <v>2.7</v>
      </c>
      <c r="I942" s="4">
        <v>0</v>
      </c>
    </row>
    <row r="943" spans="1:9" x14ac:dyDescent="0.2">
      <c r="A943" s="2">
        <v>15</v>
      </c>
      <c r="B943" s="1" t="s">
        <v>72</v>
      </c>
      <c r="C943" s="4">
        <v>5</v>
      </c>
      <c r="D943" s="8">
        <v>1.77</v>
      </c>
      <c r="E943" s="4">
        <v>5</v>
      </c>
      <c r="F943" s="8">
        <v>2.5</v>
      </c>
      <c r="G943" s="4">
        <v>0</v>
      </c>
      <c r="H943" s="8">
        <v>0</v>
      </c>
      <c r="I943" s="4">
        <v>0</v>
      </c>
    </row>
    <row r="944" spans="1:9" x14ac:dyDescent="0.2">
      <c r="A944" s="2">
        <v>16</v>
      </c>
      <c r="B944" s="1" t="s">
        <v>71</v>
      </c>
      <c r="C944" s="4">
        <v>4</v>
      </c>
      <c r="D944" s="8">
        <v>1.41</v>
      </c>
      <c r="E944" s="4">
        <v>2</v>
      </c>
      <c r="F944" s="8">
        <v>1</v>
      </c>
      <c r="G944" s="4">
        <v>2</v>
      </c>
      <c r="H944" s="8">
        <v>2.7</v>
      </c>
      <c r="I944" s="4">
        <v>0</v>
      </c>
    </row>
    <row r="945" spans="1:9" x14ac:dyDescent="0.2">
      <c r="A945" s="2">
        <v>16</v>
      </c>
      <c r="B945" s="1" t="s">
        <v>79</v>
      </c>
      <c r="C945" s="4">
        <v>4</v>
      </c>
      <c r="D945" s="8">
        <v>1.41</v>
      </c>
      <c r="E945" s="4">
        <v>2</v>
      </c>
      <c r="F945" s="8">
        <v>1</v>
      </c>
      <c r="G945" s="4">
        <v>2</v>
      </c>
      <c r="H945" s="8">
        <v>2.7</v>
      </c>
      <c r="I945" s="4">
        <v>0</v>
      </c>
    </row>
    <row r="946" spans="1:9" x14ac:dyDescent="0.2">
      <c r="A946" s="2">
        <v>16</v>
      </c>
      <c r="B946" s="1" t="s">
        <v>94</v>
      </c>
      <c r="C946" s="4">
        <v>4</v>
      </c>
      <c r="D946" s="8">
        <v>1.41</v>
      </c>
      <c r="E946" s="4">
        <v>3</v>
      </c>
      <c r="F946" s="8">
        <v>1.5</v>
      </c>
      <c r="G946" s="4">
        <v>1</v>
      </c>
      <c r="H946" s="8">
        <v>1.35</v>
      </c>
      <c r="I946" s="4">
        <v>0</v>
      </c>
    </row>
    <row r="947" spans="1:9" x14ac:dyDescent="0.2">
      <c r="A947" s="2">
        <v>19</v>
      </c>
      <c r="B947" s="1" t="s">
        <v>90</v>
      </c>
      <c r="C947" s="4">
        <v>3</v>
      </c>
      <c r="D947" s="8">
        <v>1.06</v>
      </c>
      <c r="E947" s="4">
        <v>0</v>
      </c>
      <c r="F947" s="8">
        <v>0</v>
      </c>
      <c r="G947" s="4">
        <v>3</v>
      </c>
      <c r="H947" s="8">
        <v>4.05</v>
      </c>
      <c r="I947" s="4">
        <v>0</v>
      </c>
    </row>
    <row r="948" spans="1:9" x14ac:dyDescent="0.2">
      <c r="A948" s="2">
        <v>19</v>
      </c>
      <c r="B948" s="1" t="s">
        <v>89</v>
      </c>
      <c r="C948" s="4">
        <v>3</v>
      </c>
      <c r="D948" s="8">
        <v>1.06</v>
      </c>
      <c r="E948" s="4">
        <v>2</v>
      </c>
      <c r="F948" s="8">
        <v>1</v>
      </c>
      <c r="G948" s="4">
        <v>1</v>
      </c>
      <c r="H948" s="8">
        <v>1.35</v>
      </c>
      <c r="I948" s="4">
        <v>0</v>
      </c>
    </row>
    <row r="949" spans="1:9" x14ac:dyDescent="0.2">
      <c r="A949" s="2">
        <v>19</v>
      </c>
      <c r="B949" s="1" t="s">
        <v>78</v>
      </c>
      <c r="C949" s="4">
        <v>3</v>
      </c>
      <c r="D949" s="8">
        <v>1.06</v>
      </c>
      <c r="E949" s="4">
        <v>3</v>
      </c>
      <c r="F949" s="8">
        <v>1.5</v>
      </c>
      <c r="G949" s="4">
        <v>0</v>
      </c>
      <c r="H949" s="8">
        <v>0</v>
      </c>
      <c r="I949" s="4">
        <v>0</v>
      </c>
    </row>
    <row r="950" spans="1:9" x14ac:dyDescent="0.2">
      <c r="A950" s="2">
        <v>19</v>
      </c>
      <c r="B950" s="1" t="s">
        <v>91</v>
      </c>
      <c r="C950" s="4">
        <v>3</v>
      </c>
      <c r="D950" s="8">
        <v>1.06</v>
      </c>
      <c r="E950" s="4">
        <v>2</v>
      </c>
      <c r="F950" s="8">
        <v>1</v>
      </c>
      <c r="G950" s="4">
        <v>1</v>
      </c>
      <c r="H950" s="8">
        <v>1.35</v>
      </c>
      <c r="I950" s="4">
        <v>0</v>
      </c>
    </row>
    <row r="951" spans="1:9" x14ac:dyDescent="0.2">
      <c r="A951" s="2">
        <v>19</v>
      </c>
      <c r="B951" s="1" t="s">
        <v>111</v>
      </c>
      <c r="C951" s="4">
        <v>3</v>
      </c>
      <c r="D951" s="8">
        <v>1.06</v>
      </c>
      <c r="E951" s="4">
        <v>0</v>
      </c>
      <c r="F951" s="8">
        <v>0</v>
      </c>
      <c r="G951" s="4">
        <v>2</v>
      </c>
      <c r="H951" s="8">
        <v>2.7</v>
      </c>
      <c r="I951" s="4">
        <v>0</v>
      </c>
    </row>
    <row r="952" spans="1:9" x14ac:dyDescent="0.2">
      <c r="A952" s="1"/>
      <c r="C952" s="4"/>
      <c r="D952" s="8"/>
      <c r="E952" s="4"/>
      <c r="F952" s="8"/>
      <c r="G952" s="4"/>
      <c r="H952" s="8"/>
      <c r="I952" s="4"/>
    </row>
    <row r="953" spans="1:9" x14ac:dyDescent="0.2">
      <c r="A953" s="1" t="s">
        <v>42</v>
      </c>
      <c r="C953" s="4"/>
      <c r="D953" s="8"/>
      <c r="E953" s="4"/>
      <c r="F953" s="8"/>
      <c r="G953" s="4"/>
      <c r="H953" s="8"/>
      <c r="I953" s="4"/>
    </row>
    <row r="954" spans="1:9" x14ac:dyDescent="0.2">
      <c r="A954" s="2">
        <v>1</v>
      </c>
      <c r="B954" s="1" t="s">
        <v>81</v>
      </c>
      <c r="C954" s="4">
        <v>38</v>
      </c>
      <c r="D954" s="8">
        <v>14.02</v>
      </c>
      <c r="E954" s="4">
        <v>38</v>
      </c>
      <c r="F954" s="8">
        <v>18.54</v>
      </c>
      <c r="G954" s="4">
        <v>0</v>
      </c>
      <c r="H954" s="8">
        <v>0</v>
      </c>
      <c r="I954" s="4">
        <v>0</v>
      </c>
    </row>
    <row r="955" spans="1:9" x14ac:dyDescent="0.2">
      <c r="A955" s="2">
        <v>2</v>
      </c>
      <c r="B955" s="1" t="s">
        <v>73</v>
      </c>
      <c r="C955" s="4">
        <v>32</v>
      </c>
      <c r="D955" s="8">
        <v>11.81</v>
      </c>
      <c r="E955" s="4">
        <v>29</v>
      </c>
      <c r="F955" s="8">
        <v>14.15</v>
      </c>
      <c r="G955" s="4">
        <v>3</v>
      </c>
      <c r="H955" s="8">
        <v>5.17</v>
      </c>
      <c r="I955" s="4">
        <v>0</v>
      </c>
    </row>
    <row r="956" spans="1:9" x14ac:dyDescent="0.2">
      <c r="A956" s="2">
        <v>3</v>
      </c>
      <c r="B956" s="1" t="s">
        <v>82</v>
      </c>
      <c r="C956" s="4">
        <v>28</v>
      </c>
      <c r="D956" s="8">
        <v>10.33</v>
      </c>
      <c r="E956" s="4">
        <v>28</v>
      </c>
      <c r="F956" s="8">
        <v>13.66</v>
      </c>
      <c r="G956" s="4">
        <v>0</v>
      </c>
      <c r="H956" s="8">
        <v>0</v>
      </c>
      <c r="I956" s="4">
        <v>0</v>
      </c>
    </row>
    <row r="957" spans="1:9" x14ac:dyDescent="0.2">
      <c r="A957" s="2">
        <v>4</v>
      </c>
      <c r="B957" s="1" t="s">
        <v>83</v>
      </c>
      <c r="C957" s="4">
        <v>21</v>
      </c>
      <c r="D957" s="8">
        <v>7.75</v>
      </c>
      <c r="E957" s="4">
        <v>17</v>
      </c>
      <c r="F957" s="8">
        <v>8.2899999999999991</v>
      </c>
      <c r="G957" s="4">
        <v>2</v>
      </c>
      <c r="H957" s="8">
        <v>3.45</v>
      </c>
      <c r="I957" s="4">
        <v>0</v>
      </c>
    </row>
    <row r="958" spans="1:9" x14ac:dyDescent="0.2">
      <c r="A958" s="2">
        <v>5</v>
      </c>
      <c r="B958" s="1" t="s">
        <v>75</v>
      </c>
      <c r="C958" s="4">
        <v>19</v>
      </c>
      <c r="D958" s="8">
        <v>7.01</v>
      </c>
      <c r="E958" s="4">
        <v>8</v>
      </c>
      <c r="F958" s="8">
        <v>3.9</v>
      </c>
      <c r="G958" s="4">
        <v>11</v>
      </c>
      <c r="H958" s="8">
        <v>18.97</v>
      </c>
      <c r="I958" s="4">
        <v>0</v>
      </c>
    </row>
    <row r="959" spans="1:9" x14ac:dyDescent="0.2">
      <c r="A959" s="2">
        <v>6</v>
      </c>
      <c r="B959" s="1" t="s">
        <v>77</v>
      </c>
      <c r="C959" s="4">
        <v>15</v>
      </c>
      <c r="D959" s="8">
        <v>5.54</v>
      </c>
      <c r="E959" s="4">
        <v>15</v>
      </c>
      <c r="F959" s="8">
        <v>7.32</v>
      </c>
      <c r="G959" s="4">
        <v>0</v>
      </c>
      <c r="H959" s="8">
        <v>0</v>
      </c>
      <c r="I959" s="4">
        <v>0</v>
      </c>
    </row>
    <row r="960" spans="1:9" x14ac:dyDescent="0.2">
      <c r="A960" s="2">
        <v>7</v>
      </c>
      <c r="B960" s="1" t="s">
        <v>67</v>
      </c>
      <c r="C960" s="4">
        <v>12</v>
      </c>
      <c r="D960" s="8">
        <v>4.43</v>
      </c>
      <c r="E960" s="4">
        <v>3</v>
      </c>
      <c r="F960" s="8">
        <v>1.46</v>
      </c>
      <c r="G960" s="4">
        <v>9</v>
      </c>
      <c r="H960" s="8">
        <v>15.52</v>
      </c>
      <c r="I960" s="4">
        <v>0</v>
      </c>
    </row>
    <row r="961" spans="1:9" x14ac:dyDescent="0.2">
      <c r="A961" s="2">
        <v>8</v>
      </c>
      <c r="B961" s="1" t="s">
        <v>69</v>
      </c>
      <c r="C961" s="4">
        <v>11</v>
      </c>
      <c r="D961" s="8">
        <v>4.0599999999999996</v>
      </c>
      <c r="E961" s="4">
        <v>8</v>
      </c>
      <c r="F961" s="8">
        <v>3.9</v>
      </c>
      <c r="G961" s="4">
        <v>3</v>
      </c>
      <c r="H961" s="8">
        <v>5.17</v>
      </c>
      <c r="I961" s="4">
        <v>0</v>
      </c>
    </row>
    <row r="962" spans="1:9" x14ac:dyDescent="0.2">
      <c r="A962" s="2">
        <v>9</v>
      </c>
      <c r="B962" s="1" t="s">
        <v>68</v>
      </c>
      <c r="C962" s="4">
        <v>9</v>
      </c>
      <c r="D962" s="8">
        <v>3.32</v>
      </c>
      <c r="E962" s="4">
        <v>9</v>
      </c>
      <c r="F962" s="8">
        <v>4.3899999999999997</v>
      </c>
      <c r="G962" s="4">
        <v>0</v>
      </c>
      <c r="H962" s="8">
        <v>0</v>
      </c>
      <c r="I962" s="4">
        <v>0</v>
      </c>
    </row>
    <row r="963" spans="1:9" x14ac:dyDescent="0.2">
      <c r="A963" s="2">
        <v>10</v>
      </c>
      <c r="B963" s="1" t="s">
        <v>74</v>
      </c>
      <c r="C963" s="4">
        <v>8</v>
      </c>
      <c r="D963" s="8">
        <v>2.95</v>
      </c>
      <c r="E963" s="4">
        <v>8</v>
      </c>
      <c r="F963" s="8">
        <v>3.9</v>
      </c>
      <c r="G963" s="4">
        <v>0</v>
      </c>
      <c r="H963" s="8">
        <v>0</v>
      </c>
      <c r="I963" s="4">
        <v>0</v>
      </c>
    </row>
    <row r="964" spans="1:9" x14ac:dyDescent="0.2">
      <c r="A964" s="2">
        <v>11</v>
      </c>
      <c r="B964" s="1" t="s">
        <v>80</v>
      </c>
      <c r="C964" s="4">
        <v>7</v>
      </c>
      <c r="D964" s="8">
        <v>2.58</v>
      </c>
      <c r="E964" s="4">
        <v>6</v>
      </c>
      <c r="F964" s="8">
        <v>2.93</v>
      </c>
      <c r="G964" s="4">
        <v>1</v>
      </c>
      <c r="H964" s="8">
        <v>1.72</v>
      </c>
      <c r="I964" s="4">
        <v>0</v>
      </c>
    </row>
    <row r="965" spans="1:9" x14ac:dyDescent="0.2">
      <c r="A965" s="2">
        <v>12</v>
      </c>
      <c r="B965" s="1" t="s">
        <v>71</v>
      </c>
      <c r="C965" s="4">
        <v>6</v>
      </c>
      <c r="D965" s="8">
        <v>2.21</v>
      </c>
      <c r="E965" s="4">
        <v>1</v>
      </c>
      <c r="F965" s="8">
        <v>0.49</v>
      </c>
      <c r="G965" s="4">
        <v>5</v>
      </c>
      <c r="H965" s="8">
        <v>8.6199999999999992</v>
      </c>
      <c r="I965" s="4">
        <v>0</v>
      </c>
    </row>
    <row r="966" spans="1:9" x14ac:dyDescent="0.2">
      <c r="A966" s="2">
        <v>13</v>
      </c>
      <c r="B966" s="1" t="s">
        <v>90</v>
      </c>
      <c r="C966" s="4">
        <v>5</v>
      </c>
      <c r="D966" s="8">
        <v>1.85</v>
      </c>
      <c r="E966" s="4">
        <v>0</v>
      </c>
      <c r="F966" s="8">
        <v>0</v>
      </c>
      <c r="G966" s="4">
        <v>4</v>
      </c>
      <c r="H966" s="8">
        <v>6.9</v>
      </c>
      <c r="I966" s="4">
        <v>0</v>
      </c>
    </row>
    <row r="967" spans="1:9" x14ac:dyDescent="0.2">
      <c r="A967" s="2">
        <v>13</v>
      </c>
      <c r="B967" s="1" t="s">
        <v>79</v>
      </c>
      <c r="C967" s="4">
        <v>5</v>
      </c>
      <c r="D967" s="8">
        <v>1.85</v>
      </c>
      <c r="E967" s="4">
        <v>5</v>
      </c>
      <c r="F967" s="8">
        <v>2.44</v>
      </c>
      <c r="G967" s="4">
        <v>0</v>
      </c>
      <c r="H967" s="8">
        <v>0</v>
      </c>
      <c r="I967" s="4">
        <v>0</v>
      </c>
    </row>
    <row r="968" spans="1:9" x14ac:dyDescent="0.2">
      <c r="A968" s="2">
        <v>13</v>
      </c>
      <c r="B968" s="1" t="s">
        <v>84</v>
      </c>
      <c r="C968" s="4">
        <v>5</v>
      </c>
      <c r="D968" s="8">
        <v>1.85</v>
      </c>
      <c r="E968" s="4">
        <v>4</v>
      </c>
      <c r="F968" s="8">
        <v>1.95</v>
      </c>
      <c r="G968" s="4">
        <v>1</v>
      </c>
      <c r="H968" s="8">
        <v>1.72</v>
      </c>
      <c r="I968" s="4">
        <v>0</v>
      </c>
    </row>
    <row r="969" spans="1:9" x14ac:dyDescent="0.2">
      <c r="A969" s="2">
        <v>16</v>
      </c>
      <c r="B969" s="1" t="s">
        <v>78</v>
      </c>
      <c r="C969" s="4">
        <v>4</v>
      </c>
      <c r="D969" s="8">
        <v>1.48</v>
      </c>
      <c r="E969" s="4">
        <v>4</v>
      </c>
      <c r="F969" s="8">
        <v>1.95</v>
      </c>
      <c r="G969" s="4">
        <v>0</v>
      </c>
      <c r="H969" s="8">
        <v>0</v>
      </c>
      <c r="I969" s="4">
        <v>0</v>
      </c>
    </row>
    <row r="970" spans="1:9" x14ac:dyDescent="0.2">
      <c r="A970" s="2">
        <v>16</v>
      </c>
      <c r="B970" s="1" t="s">
        <v>94</v>
      </c>
      <c r="C970" s="4">
        <v>4</v>
      </c>
      <c r="D970" s="8">
        <v>1.48</v>
      </c>
      <c r="E970" s="4">
        <v>2</v>
      </c>
      <c r="F970" s="8">
        <v>0.98</v>
      </c>
      <c r="G970" s="4">
        <v>1</v>
      </c>
      <c r="H970" s="8">
        <v>1.72</v>
      </c>
      <c r="I970" s="4">
        <v>0</v>
      </c>
    </row>
    <row r="971" spans="1:9" x14ac:dyDescent="0.2">
      <c r="A971" s="2">
        <v>16</v>
      </c>
      <c r="B971" s="1" t="s">
        <v>85</v>
      </c>
      <c r="C971" s="4">
        <v>4</v>
      </c>
      <c r="D971" s="8">
        <v>1.48</v>
      </c>
      <c r="E971" s="4">
        <v>0</v>
      </c>
      <c r="F971" s="8">
        <v>0</v>
      </c>
      <c r="G971" s="4">
        <v>4</v>
      </c>
      <c r="H971" s="8">
        <v>6.9</v>
      </c>
      <c r="I971" s="4">
        <v>0</v>
      </c>
    </row>
    <row r="972" spans="1:9" x14ac:dyDescent="0.2">
      <c r="A972" s="2">
        <v>16</v>
      </c>
      <c r="B972" s="1" t="s">
        <v>86</v>
      </c>
      <c r="C972" s="4">
        <v>4</v>
      </c>
      <c r="D972" s="8">
        <v>1.48</v>
      </c>
      <c r="E972" s="4">
        <v>3</v>
      </c>
      <c r="F972" s="8">
        <v>1.46</v>
      </c>
      <c r="G972" s="4">
        <v>1</v>
      </c>
      <c r="H972" s="8">
        <v>1.72</v>
      </c>
      <c r="I972" s="4">
        <v>0</v>
      </c>
    </row>
    <row r="973" spans="1:9" x14ac:dyDescent="0.2">
      <c r="A973" s="2">
        <v>20</v>
      </c>
      <c r="B973" s="1" t="s">
        <v>72</v>
      </c>
      <c r="C973" s="4">
        <v>3</v>
      </c>
      <c r="D973" s="8">
        <v>1.1100000000000001</v>
      </c>
      <c r="E973" s="4">
        <v>2</v>
      </c>
      <c r="F973" s="8">
        <v>0.98</v>
      </c>
      <c r="G973" s="4">
        <v>1</v>
      </c>
      <c r="H973" s="8">
        <v>1.72</v>
      </c>
      <c r="I973" s="4">
        <v>0</v>
      </c>
    </row>
    <row r="974" spans="1:9" x14ac:dyDescent="0.2">
      <c r="A974" s="2">
        <v>20</v>
      </c>
      <c r="B974" s="1" t="s">
        <v>113</v>
      </c>
      <c r="C974" s="4">
        <v>3</v>
      </c>
      <c r="D974" s="8">
        <v>1.1100000000000001</v>
      </c>
      <c r="E974" s="4">
        <v>1</v>
      </c>
      <c r="F974" s="8">
        <v>0.49</v>
      </c>
      <c r="G974" s="4">
        <v>2</v>
      </c>
      <c r="H974" s="8">
        <v>3.45</v>
      </c>
      <c r="I974" s="4">
        <v>0</v>
      </c>
    </row>
    <row r="975" spans="1:9" x14ac:dyDescent="0.2">
      <c r="A975" s="2">
        <v>20</v>
      </c>
      <c r="B975" s="1" t="s">
        <v>93</v>
      </c>
      <c r="C975" s="4">
        <v>3</v>
      </c>
      <c r="D975" s="8">
        <v>1.1100000000000001</v>
      </c>
      <c r="E975" s="4">
        <v>3</v>
      </c>
      <c r="F975" s="8">
        <v>1.46</v>
      </c>
      <c r="G975" s="4">
        <v>0</v>
      </c>
      <c r="H975" s="8">
        <v>0</v>
      </c>
      <c r="I975" s="4">
        <v>0</v>
      </c>
    </row>
    <row r="976" spans="1:9" x14ac:dyDescent="0.2">
      <c r="A976" s="2">
        <v>20</v>
      </c>
      <c r="B976" s="1" t="s">
        <v>91</v>
      </c>
      <c r="C976" s="4">
        <v>3</v>
      </c>
      <c r="D976" s="8">
        <v>1.1100000000000001</v>
      </c>
      <c r="E976" s="4">
        <v>3</v>
      </c>
      <c r="F976" s="8">
        <v>1.46</v>
      </c>
      <c r="G976" s="4">
        <v>0</v>
      </c>
      <c r="H976" s="8">
        <v>0</v>
      </c>
      <c r="I976" s="4">
        <v>0</v>
      </c>
    </row>
    <row r="977" spans="1:9" x14ac:dyDescent="0.2">
      <c r="A977" s="2">
        <v>20</v>
      </c>
      <c r="B977" s="1" t="s">
        <v>99</v>
      </c>
      <c r="C977" s="4">
        <v>3</v>
      </c>
      <c r="D977" s="8">
        <v>1.1100000000000001</v>
      </c>
      <c r="E977" s="4">
        <v>3</v>
      </c>
      <c r="F977" s="8">
        <v>1.46</v>
      </c>
      <c r="G977" s="4">
        <v>0</v>
      </c>
      <c r="H977" s="8">
        <v>0</v>
      </c>
      <c r="I977" s="4">
        <v>0</v>
      </c>
    </row>
    <row r="978" spans="1:9" x14ac:dyDescent="0.2">
      <c r="A978" s="1"/>
      <c r="C978" s="4"/>
      <c r="D978" s="8"/>
      <c r="E978" s="4"/>
      <c r="F978" s="8"/>
      <c r="G978" s="4"/>
      <c r="H978" s="8"/>
      <c r="I978" s="4"/>
    </row>
    <row r="979" spans="1:9" x14ac:dyDescent="0.2">
      <c r="A979" s="1" t="s">
        <v>43</v>
      </c>
      <c r="C979" s="4"/>
      <c r="D979" s="8"/>
      <c r="E979" s="4"/>
      <c r="F979" s="8"/>
      <c r="G979" s="4"/>
      <c r="H979" s="8"/>
      <c r="I979" s="4"/>
    </row>
    <row r="980" spans="1:9" x14ac:dyDescent="0.2">
      <c r="A980" s="2">
        <v>1</v>
      </c>
      <c r="B980" s="1" t="s">
        <v>81</v>
      </c>
      <c r="C980" s="4">
        <v>37</v>
      </c>
      <c r="D980" s="8">
        <v>14.51</v>
      </c>
      <c r="E980" s="4">
        <v>33</v>
      </c>
      <c r="F980" s="8">
        <v>18.329999999999998</v>
      </c>
      <c r="G980" s="4">
        <v>4</v>
      </c>
      <c r="H980" s="8">
        <v>6.45</v>
      </c>
      <c r="I980" s="4">
        <v>0</v>
      </c>
    </row>
    <row r="981" spans="1:9" x14ac:dyDescent="0.2">
      <c r="A981" s="2">
        <v>2</v>
      </c>
      <c r="B981" s="1" t="s">
        <v>75</v>
      </c>
      <c r="C981" s="4">
        <v>26</v>
      </c>
      <c r="D981" s="8">
        <v>10.199999999999999</v>
      </c>
      <c r="E981" s="4">
        <v>22</v>
      </c>
      <c r="F981" s="8">
        <v>12.22</v>
      </c>
      <c r="G981" s="4">
        <v>4</v>
      </c>
      <c r="H981" s="8">
        <v>6.45</v>
      </c>
      <c r="I981" s="4">
        <v>0</v>
      </c>
    </row>
    <row r="982" spans="1:9" x14ac:dyDescent="0.2">
      <c r="A982" s="2">
        <v>3</v>
      </c>
      <c r="B982" s="1" t="s">
        <v>82</v>
      </c>
      <c r="C982" s="4">
        <v>23</v>
      </c>
      <c r="D982" s="8">
        <v>9.02</v>
      </c>
      <c r="E982" s="4">
        <v>22</v>
      </c>
      <c r="F982" s="8">
        <v>12.22</v>
      </c>
      <c r="G982" s="4">
        <v>1</v>
      </c>
      <c r="H982" s="8">
        <v>1.61</v>
      </c>
      <c r="I982" s="4">
        <v>0</v>
      </c>
    </row>
    <row r="983" spans="1:9" x14ac:dyDescent="0.2">
      <c r="A983" s="2">
        <v>4</v>
      </c>
      <c r="B983" s="1" t="s">
        <v>73</v>
      </c>
      <c r="C983" s="4">
        <v>20</v>
      </c>
      <c r="D983" s="8">
        <v>7.84</v>
      </c>
      <c r="E983" s="4">
        <v>20</v>
      </c>
      <c r="F983" s="8">
        <v>11.11</v>
      </c>
      <c r="G983" s="4">
        <v>0</v>
      </c>
      <c r="H983" s="8">
        <v>0</v>
      </c>
      <c r="I983" s="4">
        <v>0</v>
      </c>
    </row>
    <row r="984" spans="1:9" x14ac:dyDescent="0.2">
      <c r="A984" s="2">
        <v>5</v>
      </c>
      <c r="B984" s="1" t="s">
        <v>80</v>
      </c>
      <c r="C984" s="4">
        <v>19</v>
      </c>
      <c r="D984" s="8">
        <v>7.45</v>
      </c>
      <c r="E984" s="4">
        <v>18</v>
      </c>
      <c r="F984" s="8">
        <v>10</v>
      </c>
      <c r="G984" s="4">
        <v>1</v>
      </c>
      <c r="H984" s="8">
        <v>1.61</v>
      </c>
      <c r="I984" s="4">
        <v>0</v>
      </c>
    </row>
    <row r="985" spans="1:9" x14ac:dyDescent="0.2">
      <c r="A985" s="2">
        <v>6</v>
      </c>
      <c r="B985" s="1" t="s">
        <v>94</v>
      </c>
      <c r="C985" s="4">
        <v>11</v>
      </c>
      <c r="D985" s="8">
        <v>4.3099999999999996</v>
      </c>
      <c r="E985" s="4">
        <v>8</v>
      </c>
      <c r="F985" s="8">
        <v>4.4400000000000004</v>
      </c>
      <c r="G985" s="4">
        <v>3</v>
      </c>
      <c r="H985" s="8">
        <v>4.84</v>
      </c>
      <c r="I985" s="4">
        <v>0</v>
      </c>
    </row>
    <row r="986" spans="1:9" x14ac:dyDescent="0.2">
      <c r="A986" s="2">
        <v>7</v>
      </c>
      <c r="B986" s="1" t="s">
        <v>83</v>
      </c>
      <c r="C986" s="4">
        <v>10</v>
      </c>
      <c r="D986" s="8">
        <v>3.92</v>
      </c>
      <c r="E986" s="4">
        <v>2</v>
      </c>
      <c r="F986" s="8">
        <v>1.1100000000000001</v>
      </c>
      <c r="G986" s="4">
        <v>4</v>
      </c>
      <c r="H986" s="8">
        <v>6.45</v>
      </c>
      <c r="I986" s="4">
        <v>4</v>
      </c>
    </row>
    <row r="987" spans="1:9" x14ac:dyDescent="0.2">
      <c r="A987" s="2">
        <v>8</v>
      </c>
      <c r="B987" s="1" t="s">
        <v>70</v>
      </c>
      <c r="C987" s="4">
        <v>8</v>
      </c>
      <c r="D987" s="8">
        <v>3.14</v>
      </c>
      <c r="E987" s="4">
        <v>3</v>
      </c>
      <c r="F987" s="8">
        <v>1.67</v>
      </c>
      <c r="G987" s="4">
        <v>5</v>
      </c>
      <c r="H987" s="8">
        <v>8.06</v>
      </c>
      <c r="I987" s="4">
        <v>0</v>
      </c>
    </row>
    <row r="988" spans="1:9" x14ac:dyDescent="0.2">
      <c r="A988" s="2">
        <v>8</v>
      </c>
      <c r="B988" s="1" t="s">
        <v>74</v>
      </c>
      <c r="C988" s="4">
        <v>8</v>
      </c>
      <c r="D988" s="8">
        <v>3.14</v>
      </c>
      <c r="E988" s="4">
        <v>7</v>
      </c>
      <c r="F988" s="8">
        <v>3.89</v>
      </c>
      <c r="G988" s="4">
        <v>1</v>
      </c>
      <c r="H988" s="8">
        <v>1.61</v>
      </c>
      <c r="I988" s="4">
        <v>0</v>
      </c>
    </row>
    <row r="989" spans="1:9" x14ac:dyDescent="0.2">
      <c r="A989" s="2">
        <v>10</v>
      </c>
      <c r="B989" s="1" t="s">
        <v>67</v>
      </c>
      <c r="C989" s="4">
        <v>7</v>
      </c>
      <c r="D989" s="8">
        <v>2.75</v>
      </c>
      <c r="E989" s="4">
        <v>0</v>
      </c>
      <c r="F989" s="8">
        <v>0</v>
      </c>
      <c r="G989" s="4">
        <v>7</v>
      </c>
      <c r="H989" s="8">
        <v>11.29</v>
      </c>
      <c r="I989" s="4">
        <v>0</v>
      </c>
    </row>
    <row r="990" spans="1:9" x14ac:dyDescent="0.2">
      <c r="A990" s="2">
        <v>10</v>
      </c>
      <c r="B990" s="1" t="s">
        <v>84</v>
      </c>
      <c r="C990" s="4">
        <v>7</v>
      </c>
      <c r="D990" s="8">
        <v>2.75</v>
      </c>
      <c r="E990" s="4">
        <v>7</v>
      </c>
      <c r="F990" s="8">
        <v>3.89</v>
      </c>
      <c r="G990" s="4">
        <v>0</v>
      </c>
      <c r="H990" s="8">
        <v>0</v>
      </c>
      <c r="I990" s="4">
        <v>0</v>
      </c>
    </row>
    <row r="991" spans="1:9" x14ac:dyDescent="0.2">
      <c r="A991" s="2">
        <v>12</v>
      </c>
      <c r="B991" s="1" t="s">
        <v>69</v>
      </c>
      <c r="C991" s="4">
        <v>6</v>
      </c>
      <c r="D991" s="8">
        <v>2.35</v>
      </c>
      <c r="E991" s="4">
        <v>1</v>
      </c>
      <c r="F991" s="8">
        <v>0.56000000000000005</v>
      </c>
      <c r="G991" s="4">
        <v>5</v>
      </c>
      <c r="H991" s="8">
        <v>8.06</v>
      </c>
      <c r="I991" s="4">
        <v>0</v>
      </c>
    </row>
    <row r="992" spans="1:9" x14ac:dyDescent="0.2">
      <c r="A992" s="2">
        <v>12</v>
      </c>
      <c r="B992" s="1" t="s">
        <v>72</v>
      </c>
      <c r="C992" s="4">
        <v>6</v>
      </c>
      <c r="D992" s="8">
        <v>2.35</v>
      </c>
      <c r="E992" s="4">
        <v>6</v>
      </c>
      <c r="F992" s="8">
        <v>3.33</v>
      </c>
      <c r="G992" s="4">
        <v>0</v>
      </c>
      <c r="H992" s="8">
        <v>0</v>
      </c>
      <c r="I992" s="4">
        <v>0</v>
      </c>
    </row>
    <row r="993" spans="1:9" x14ac:dyDescent="0.2">
      <c r="A993" s="2">
        <v>14</v>
      </c>
      <c r="B993" s="1" t="s">
        <v>71</v>
      </c>
      <c r="C993" s="4">
        <v>5</v>
      </c>
      <c r="D993" s="8">
        <v>1.96</v>
      </c>
      <c r="E993" s="4">
        <v>2</v>
      </c>
      <c r="F993" s="8">
        <v>1.1100000000000001</v>
      </c>
      <c r="G993" s="4">
        <v>3</v>
      </c>
      <c r="H993" s="8">
        <v>4.84</v>
      </c>
      <c r="I993" s="4">
        <v>0</v>
      </c>
    </row>
    <row r="994" spans="1:9" x14ac:dyDescent="0.2">
      <c r="A994" s="2">
        <v>14</v>
      </c>
      <c r="B994" s="1" t="s">
        <v>78</v>
      </c>
      <c r="C994" s="4">
        <v>5</v>
      </c>
      <c r="D994" s="8">
        <v>1.96</v>
      </c>
      <c r="E994" s="4">
        <v>4</v>
      </c>
      <c r="F994" s="8">
        <v>2.2200000000000002</v>
      </c>
      <c r="G994" s="4">
        <v>1</v>
      </c>
      <c r="H994" s="8">
        <v>1.61</v>
      </c>
      <c r="I994" s="4">
        <v>0</v>
      </c>
    </row>
    <row r="995" spans="1:9" x14ac:dyDescent="0.2">
      <c r="A995" s="2">
        <v>14</v>
      </c>
      <c r="B995" s="1" t="s">
        <v>91</v>
      </c>
      <c r="C995" s="4">
        <v>5</v>
      </c>
      <c r="D995" s="8">
        <v>1.96</v>
      </c>
      <c r="E995" s="4">
        <v>2</v>
      </c>
      <c r="F995" s="8">
        <v>1.1100000000000001</v>
      </c>
      <c r="G995" s="4">
        <v>3</v>
      </c>
      <c r="H995" s="8">
        <v>4.84</v>
      </c>
      <c r="I995" s="4">
        <v>0</v>
      </c>
    </row>
    <row r="996" spans="1:9" x14ac:dyDescent="0.2">
      <c r="A996" s="2">
        <v>14</v>
      </c>
      <c r="B996" s="1" t="s">
        <v>86</v>
      </c>
      <c r="C996" s="4">
        <v>5</v>
      </c>
      <c r="D996" s="8">
        <v>1.96</v>
      </c>
      <c r="E996" s="4">
        <v>2</v>
      </c>
      <c r="F996" s="8">
        <v>1.1100000000000001</v>
      </c>
      <c r="G996" s="4">
        <v>3</v>
      </c>
      <c r="H996" s="8">
        <v>4.84</v>
      </c>
      <c r="I996" s="4">
        <v>0</v>
      </c>
    </row>
    <row r="997" spans="1:9" x14ac:dyDescent="0.2">
      <c r="A997" s="2">
        <v>18</v>
      </c>
      <c r="B997" s="1" t="s">
        <v>68</v>
      </c>
      <c r="C997" s="4">
        <v>4</v>
      </c>
      <c r="D997" s="8">
        <v>1.57</v>
      </c>
      <c r="E997" s="4">
        <v>3</v>
      </c>
      <c r="F997" s="8">
        <v>1.67</v>
      </c>
      <c r="G997" s="4">
        <v>1</v>
      </c>
      <c r="H997" s="8">
        <v>1.61</v>
      </c>
      <c r="I997" s="4">
        <v>0</v>
      </c>
    </row>
    <row r="998" spans="1:9" x14ac:dyDescent="0.2">
      <c r="A998" s="2">
        <v>18</v>
      </c>
      <c r="B998" s="1" t="s">
        <v>113</v>
      </c>
      <c r="C998" s="4">
        <v>4</v>
      </c>
      <c r="D998" s="8">
        <v>1.57</v>
      </c>
      <c r="E998" s="4">
        <v>1</v>
      </c>
      <c r="F998" s="8">
        <v>0.56000000000000005</v>
      </c>
      <c r="G998" s="4">
        <v>3</v>
      </c>
      <c r="H998" s="8">
        <v>4.84</v>
      </c>
      <c r="I998" s="4">
        <v>0</v>
      </c>
    </row>
    <row r="999" spans="1:9" x14ac:dyDescent="0.2">
      <c r="A999" s="2">
        <v>18</v>
      </c>
      <c r="B999" s="1" t="s">
        <v>79</v>
      </c>
      <c r="C999" s="4">
        <v>4</v>
      </c>
      <c r="D999" s="8">
        <v>1.57</v>
      </c>
      <c r="E999" s="4">
        <v>3</v>
      </c>
      <c r="F999" s="8">
        <v>1.67</v>
      </c>
      <c r="G999" s="4">
        <v>0</v>
      </c>
      <c r="H999" s="8">
        <v>0</v>
      </c>
      <c r="I999" s="4">
        <v>0</v>
      </c>
    </row>
    <row r="1000" spans="1:9" x14ac:dyDescent="0.2">
      <c r="A1000" s="1"/>
      <c r="C1000" s="4"/>
      <c r="D1000" s="8"/>
      <c r="E1000" s="4"/>
      <c r="F1000" s="8"/>
      <c r="G1000" s="4"/>
      <c r="H1000" s="8"/>
      <c r="I100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50A0-709E-4157-97BF-E7F50AECFA3B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43</v>
      </c>
      <c r="D6" s="8">
        <v>12.95</v>
      </c>
      <c r="E6" s="12">
        <v>15</v>
      </c>
      <c r="F6" s="8">
        <v>7.65</v>
      </c>
      <c r="G6" s="12">
        <v>28</v>
      </c>
      <c r="H6" s="8">
        <v>21.88</v>
      </c>
      <c r="I6" s="12">
        <v>0</v>
      </c>
    </row>
    <row r="7" spans="2:9" ht="15" customHeight="1" x14ac:dyDescent="0.2">
      <c r="B7" t="s">
        <v>46</v>
      </c>
      <c r="C7" s="12">
        <v>31</v>
      </c>
      <c r="D7" s="8">
        <v>9.34</v>
      </c>
      <c r="E7" s="12">
        <v>11</v>
      </c>
      <c r="F7" s="8">
        <v>5.61</v>
      </c>
      <c r="G7" s="12">
        <v>20</v>
      </c>
      <c r="H7" s="8">
        <v>15.63</v>
      </c>
      <c r="I7" s="12">
        <v>0</v>
      </c>
    </row>
    <row r="8" spans="2:9" ht="15" customHeight="1" x14ac:dyDescent="0.2">
      <c r="B8" t="s">
        <v>47</v>
      </c>
      <c r="C8" s="12">
        <v>4</v>
      </c>
      <c r="D8" s="8">
        <v>1.2</v>
      </c>
      <c r="E8" s="12">
        <v>0</v>
      </c>
      <c r="F8" s="8">
        <v>0</v>
      </c>
      <c r="G8" s="12">
        <v>4</v>
      </c>
      <c r="H8" s="8">
        <v>3.13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0.3</v>
      </c>
      <c r="E9" s="12">
        <v>1</v>
      </c>
      <c r="F9" s="8">
        <v>0.51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7</v>
      </c>
      <c r="D10" s="8">
        <v>2.11</v>
      </c>
      <c r="E10" s="12">
        <v>3</v>
      </c>
      <c r="F10" s="8">
        <v>1.53</v>
      </c>
      <c r="G10" s="12">
        <v>4</v>
      </c>
      <c r="H10" s="8">
        <v>3.13</v>
      </c>
      <c r="I10" s="12">
        <v>0</v>
      </c>
    </row>
    <row r="11" spans="2:9" ht="15" customHeight="1" x14ac:dyDescent="0.2">
      <c r="B11" t="s">
        <v>50</v>
      </c>
      <c r="C11" s="12">
        <v>95</v>
      </c>
      <c r="D11" s="8">
        <v>28.61</v>
      </c>
      <c r="E11" s="12">
        <v>52</v>
      </c>
      <c r="F11" s="8">
        <v>26.53</v>
      </c>
      <c r="G11" s="12">
        <v>43</v>
      </c>
      <c r="H11" s="8">
        <v>33.590000000000003</v>
      </c>
      <c r="I11" s="12">
        <v>0</v>
      </c>
    </row>
    <row r="12" spans="2:9" ht="15" customHeight="1" x14ac:dyDescent="0.2">
      <c r="B12" t="s">
        <v>51</v>
      </c>
      <c r="C12" s="12">
        <v>2</v>
      </c>
      <c r="D12" s="8">
        <v>0.6</v>
      </c>
      <c r="E12" s="12">
        <v>0</v>
      </c>
      <c r="F12" s="8">
        <v>0</v>
      </c>
      <c r="G12" s="12">
        <v>2</v>
      </c>
      <c r="H12" s="8">
        <v>1.56</v>
      </c>
      <c r="I12" s="12">
        <v>0</v>
      </c>
    </row>
    <row r="13" spans="2:9" ht="15" customHeight="1" x14ac:dyDescent="0.2">
      <c r="B13" t="s">
        <v>52</v>
      </c>
      <c r="C13" s="12">
        <v>5</v>
      </c>
      <c r="D13" s="8">
        <v>1.51</v>
      </c>
      <c r="E13" s="12">
        <v>2</v>
      </c>
      <c r="F13" s="8">
        <v>1.02</v>
      </c>
      <c r="G13" s="12">
        <v>3</v>
      </c>
      <c r="H13" s="8">
        <v>2.34</v>
      </c>
      <c r="I13" s="12">
        <v>0</v>
      </c>
    </row>
    <row r="14" spans="2:9" ht="15" customHeight="1" x14ac:dyDescent="0.2">
      <c r="B14" t="s">
        <v>53</v>
      </c>
      <c r="C14" s="12">
        <v>14</v>
      </c>
      <c r="D14" s="8">
        <v>4.22</v>
      </c>
      <c r="E14" s="12">
        <v>11</v>
      </c>
      <c r="F14" s="8">
        <v>5.61</v>
      </c>
      <c r="G14" s="12">
        <v>3</v>
      </c>
      <c r="H14" s="8">
        <v>2.34</v>
      </c>
      <c r="I14" s="12">
        <v>0</v>
      </c>
    </row>
    <row r="15" spans="2:9" ht="15" customHeight="1" x14ac:dyDescent="0.2">
      <c r="B15" t="s">
        <v>54</v>
      </c>
      <c r="C15" s="12">
        <v>35</v>
      </c>
      <c r="D15" s="8">
        <v>10.54</v>
      </c>
      <c r="E15" s="12">
        <v>28</v>
      </c>
      <c r="F15" s="8">
        <v>14.29</v>
      </c>
      <c r="G15" s="12">
        <v>6</v>
      </c>
      <c r="H15" s="8">
        <v>4.6900000000000004</v>
      </c>
      <c r="I15" s="12">
        <v>0</v>
      </c>
    </row>
    <row r="16" spans="2:9" ht="15" customHeight="1" x14ac:dyDescent="0.2">
      <c r="B16" t="s">
        <v>55</v>
      </c>
      <c r="C16" s="12">
        <v>44</v>
      </c>
      <c r="D16" s="8">
        <v>13.25</v>
      </c>
      <c r="E16" s="12">
        <v>41</v>
      </c>
      <c r="F16" s="8">
        <v>20.92</v>
      </c>
      <c r="G16" s="12">
        <v>2</v>
      </c>
      <c r="H16" s="8">
        <v>1.56</v>
      </c>
      <c r="I16" s="12">
        <v>0</v>
      </c>
    </row>
    <row r="17" spans="2:9" ht="15" customHeight="1" x14ac:dyDescent="0.2">
      <c r="B17" t="s">
        <v>56</v>
      </c>
      <c r="C17" s="12">
        <v>8</v>
      </c>
      <c r="D17" s="8">
        <v>2.41</v>
      </c>
      <c r="E17" s="12">
        <v>4</v>
      </c>
      <c r="F17" s="8">
        <v>2.04</v>
      </c>
      <c r="G17" s="12">
        <v>3</v>
      </c>
      <c r="H17" s="8">
        <v>2.34</v>
      </c>
      <c r="I17" s="12">
        <v>0</v>
      </c>
    </row>
    <row r="18" spans="2:9" ht="15" customHeight="1" x14ac:dyDescent="0.2">
      <c r="B18" t="s">
        <v>57</v>
      </c>
      <c r="C18" s="12">
        <v>17</v>
      </c>
      <c r="D18" s="8">
        <v>5.12</v>
      </c>
      <c r="E18" s="12">
        <v>9</v>
      </c>
      <c r="F18" s="8">
        <v>4.59</v>
      </c>
      <c r="G18" s="12">
        <v>8</v>
      </c>
      <c r="H18" s="8">
        <v>6.25</v>
      </c>
      <c r="I18" s="12">
        <v>0</v>
      </c>
    </row>
    <row r="19" spans="2:9" ht="15" customHeight="1" x14ac:dyDescent="0.2">
      <c r="B19" t="s">
        <v>58</v>
      </c>
      <c r="C19" s="12">
        <v>26</v>
      </c>
      <c r="D19" s="8">
        <v>7.83</v>
      </c>
      <c r="E19" s="12">
        <v>19</v>
      </c>
      <c r="F19" s="8">
        <v>9.69</v>
      </c>
      <c r="G19" s="12">
        <v>2</v>
      </c>
      <c r="H19" s="8">
        <v>1.56</v>
      </c>
      <c r="I19" s="12">
        <v>0</v>
      </c>
    </row>
    <row r="20" spans="2:9" ht="15" customHeight="1" x14ac:dyDescent="0.2">
      <c r="B20" s="9" t="s">
        <v>241</v>
      </c>
      <c r="C20" s="12">
        <f>SUM(LTBL_46468[総数／事業所数])</f>
        <v>332</v>
      </c>
      <c r="E20" s="12">
        <f>SUBTOTAL(109,LTBL_46468[個人／事業所数])</f>
        <v>196</v>
      </c>
      <c r="G20" s="12">
        <f>SUBTOTAL(109,LTBL_46468[法人／事業所数])</f>
        <v>128</v>
      </c>
      <c r="I20" s="12">
        <f>SUBTOTAL(109,LTBL_46468[法人以外の団体／事業所数])</f>
        <v>0</v>
      </c>
    </row>
    <row r="21" spans="2:9" ht="15" customHeight="1" x14ac:dyDescent="0.2">
      <c r="E21" s="11">
        <f>LTBL_46468[[#Totals],[個人／事業所数]]/LTBL_46468[[#Totals],[総数／事業所数]]</f>
        <v>0.59036144578313254</v>
      </c>
      <c r="G21" s="11">
        <f>LTBL_46468[[#Totals],[法人／事業所数]]/LTBL_46468[[#Totals],[総数／事業所数]]</f>
        <v>0.38554216867469882</v>
      </c>
      <c r="I21" s="11">
        <f>LTBL_46468[[#Totals],[法人以外の団体／事業所数]]/LTBL_46468[[#Totals],[総数／事業所数]]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75</v>
      </c>
      <c r="C24" s="12">
        <v>37</v>
      </c>
      <c r="D24" s="8">
        <v>11.14</v>
      </c>
      <c r="E24" s="12">
        <v>19</v>
      </c>
      <c r="F24" s="8">
        <v>9.69</v>
      </c>
      <c r="G24" s="12">
        <v>18</v>
      </c>
      <c r="H24" s="8">
        <v>14.06</v>
      </c>
      <c r="I24" s="12">
        <v>0</v>
      </c>
    </row>
    <row r="25" spans="2:9" ht="15" customHeight="1" x14ac:dyDescent="0.2">
      <c r="B25" t="s">
        <v>82</v>
      </c>
      <c r="C25" s="12">
        <v>36</v>
      </c>
      <c r="D25" s="8">
        <v>10.84</v>
      </c>
      <c r="E25" s="12">
        <v>36</v>
      </c>
      <c r="F25" s="8">
        <v>18.37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81</v>
      </c>
      <c r="C26" s="12">
        <v>27</v>
      </c>
      <c r="D26" s="8">
        <v>8.1300000000000008</v>
      </c>
      <c r="E26" s="12">
        <v>24</v>
      </c>
      <c r="F26" s="8">
        <v>12.24</v>
      </c>
      <c r="G26" s="12">
        <v>3</v>
      </c>
      <c r="H26" s="8">
        <v>2.34</v>
      </c>
      <c r="I26" s="12">
        <v>0</v>
      </c>
    </row>
    <row r="27" spans="2:9" ht="15" customHeight="1" x14ac:dyDescent="0.2">
      <c r="B27" t="s">
        <v>74</v>
      </c>
      <c r="C27" s="12">
        <v>19</v>
      </c>
      <c r="D27" s="8">
        <v>5.72</v>
      </c>
      <c r="E27" s="12">
        <v>11</v>
      </c>
      <c r="F27" s="8">
        <v>5.61</v>
      </c>
      <c r="G27" s="12">
        <v>8</v>
      </c>
      <c r="H27" s="8">
        <v>6.25</v>
      </c>
      <c r="I27" s="12">
        <v>0</v>
      </c>
    </row>
    <row r="28" spans="2:9" ht="15" customHeight="1" x14ac:dyDescent="0.2">
      <c r="B28" t="s">
        <v>67</v>
      </c>
      <c r="C28" s="12">
        <v>18</v>
      </c>
      <c r="D28" s="8">
        <v>5.42</v>
      </c>
      <c r="E28" s="12">
        <v>4</v>
      </c>
      <c r="F28" s="8">
        <v>2.04</v>
      </c>
      <c r="G28" s="12">
        <v>14</v>
      </c>
      <c r="H28" s="8">
        <v>10.94</v>
      </c>
      <c r="I28" s="12">
        <v>0</v>
      </c>
    </row>
    <row r="29" spans="2:9" ht="15" customHeight="1" x14ac:dyDescent="0.2">
      <c r="B29" t="s">
        <v>73</v>
      </c>
      <c r="C29" s="12">
        <v>18</v>
      </c>
      <c r="D29" s="8">
        <v>5.42</v>
      </c>
      <c r="E29" s="12">
        <v>17</v>
      </c>
      <c r="F29" s="8">
        <v>8.67</v>
      </c>
      <c r="G29" s="12">
        <v>1</v>
      </c>
      <c r="H29" s="8">
        <v>0.78</v>
      </c>
      <c r="I29" s="12">
        <v>0</v>
      </c>
    </row>
    <row r="30" spans="2:9" ht="15" customHeight="1" x14ac:dyDescent="0.2">
      <c r="B30" t="s">
        <v>68</v>
      </c>
      <c r="C30" s="12">
        <v>13</v>
      </c>
      <c r="D30" s="8">
        <v>3.92</v>
      </c>
      <c r="E30" s="12">
        <v>6</v>
      </c>
      <c r="F30" s="8">
        <v>3.06</v>
      </c>
      <c r="G30" s="12">
        <v>7</v>
      </c>
      <c r="H30" s="8">
        <v>5.47</v>
      </c>
      <c r="I30" s="12">
        <v>0</v>
      </c>
    </row>
    <row r="31" spans="2:9" ht="15" customHeight="1" x14ac:dyDescent="0.2">
      <c r="B31" t="s">
        <v>69</v>
      </c>
      <c r="C31" s="12">
        <v>12</v>
      </c>
      <c r="D31" s="8">
        <v>3.61</v>
      </c>
      <c r="E31" s="12">
        <v>5</v>
      </c>
      <c r="F31" s="8">
        <v>2.5499999999999998</v>
      </c>
      <c r="G31" s="12">
        <v>7</v>
      </c>
      <c r="H31" s="8">
        <v>5.47</v>
      </c>
      <c r="I31" s="12">
        <v>0</v>
      </c>
    </row>
    <row r="32" spans="2:9" ht="15" customHeight="1" x14ac:dyDescent="0.2">
      <c r="B32" t="s">
        <v>86</v>
      </c>
      <c r="C32" s="12">
        <v>12</v>
      </c>
      <c r="D32" s="8">
        <v>3.61</v>
      </c>
      <c r="E32" s="12">
        <v>12</v>
      </c>
      <c r="F32" s="8">
        <v>6.12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70</v>
      </c>
      <c r="C33" s="12">
        <v>11</v>
      </c>
      <c r="D33" s="8">
        <v>3.31</v>
      </c>
      <c r="E33" s="12">
        <v>4</v>
      </c>
      <c r="F33" s="8">
        <v>2.04</v>
      </c>
      <c r="G33" s="12">
        <v>7</v>
      </c>
      <c r="H33" s="8">
        <v>5.47</v>
      </c>
      <c r="I33" s="12">
        <v>0</v>
      </c>
    </row>
    <row r="34" spans="2:9" ht="15" customHeight="1" x14ac:dyDescent="0.2">
      <c r="B34" t="s">
        <v>84</v>
      </c>
      <c r="C34" s="12">
        <v>10</v>
      </c>
      <c r="D34" s="8">
        <v>3.01</v>
      </c>
      <c r="E34" s="12">
        <v>9</v>
      </c>
      <c r="F34" s="8">
        <v>4.59</v>
      </c>
      <c r="G34" s="12">
        <v>1</v>
      </c>
      <c r="H34" s="8">
        <v>0.78</v>
      </c>
      <c r="I34" s="12">
        <v>0</v>
      </c>
    </row>
    <row r="35" spans="2:9" ht="15" customHeight="1" x14ac:dyDescent="0.2">
      <c r="B35" t="s">
        <v>78</v>
      </c>
      <c r="C35" s="12">
        <v>8</v>
      </c>
      <c r="D35" s="8">
        <v>2.41</v>
      </c>
      <c r="E35" s="12">
        <v>7</v>
      </c>
      <c r="F35" s="8">
        <v>3.57</v>
      </c>
      <c r="G35" s="12">
        <v>1</v>
      </c>
      <c r="H35" s="8">
        <v>0.78</v>
      </c>
      <c r="I35" s="12">
        <v>0</v>
      </c>
    </row>
    <row r="36" spans="2:9" ht="15" customHeight="1" x14ac:dyDescent="0.2">
      <c r="B36" t="s">
        <v>83</v>
      </c>
      <c r="C36" s="12">
        <v>8</v>
      </c>
      <c r="D36" s="8">
        <v>2.41</v>
      </c>
      <c r="E36" s="12">
        <v>4</v>
      </c>
      <c r="F36" s="8">
        <v>2.04</v>
      </c>
      <c r="G36" s="12">
        <v>3</v>
      </c>
      <c r="H36" s="8">
        <v>2.34</v>
      </c>
      <c r="I36" s="12">
        <v>0</v>
      </c>
    </row>
    <row r="37" spans="2:9" ht="15" customHeight="1" x14ac:dyDescent="0.2">
      <c r="B37" t="s">
        <v>90</v>
      </c>
      <c r="C37" s="12">
        <v>7</v>
      </c>
      <c r="D37" s="8">
        <v>2.11</v>
      </c>
      <c r="E37" s="12">
        <v>1</v>
      </c>
      <c r="F37" s="8">
        <v>0.51</v>
      </c>
      <c r="G37" s="12">
        <v>6</v>
      </c>
      <c r="H37" s="8">
        <v>4.6900000000000004</v>
      </c>
      <c r="I37" s="12">
        <v>0</v>
      </c>
    </row>
    <row r="38" spans="2:9" ht="15" customHeight="1" x14ac:dyDescent="0.2">
      <c r="B38" t="s">
        <v>85</v>
      </c>
      <c r="C38" s="12">
        <v>7</v>
      </c>
      <c r="D38" s="8">
        <v>2.11</v>
      </c>
      <c r="E38" s="12">
        <v>0</v>
      </c>
      <c r="F38" s="8">
        <v>0</v>
      </c>
      <c r="G38" s="12">
        <v>7</v>
      </c>
      <c r="H38" s="8">
        <v>5.47</v>
      </c>
      <c r="I38" s="12">
        <v>0</v>
      </c>
    </row>
    <row r="39" spans="2:9" ht="15" customHeight="1" x14ac:dyDescent="0.2">
      <c r="B39" t="s">
        <v>71</v>
      </c>
      <c r="C39" s="12">
        <v>6</v>
      </c>
      <c r="D39" s="8">
        <v>1.81</v>
      </c>
      <c r="E39" s="12">
        <v>0</v>
      </c>
      <c r="F39" s="8">
        <v>0</v>
      </c>
      <c r="G39" s="12">
        <v>6</v>
      </c>
      <c r="H39" s="8">
        <v>4.6900000000000004</v>
      </c>
      <c r="I39" s="12">
        <v>0</v>
      </c>
    </row>
    <row r="40" spans="2:9" ht="15" customHeight="1" x14ac:dyDescent="0.2">
      <c r="B40" t="s">
        <v>93</v>
      </c>
      <c r="C40" s="12">
        <v>6</v>
      </c>
      <c r="D40" s="8">
        <v>1.81</v>
      </c>
      <c r="E40" s="12">
        <v>3</v>
      </c>
      <c r="F40" s="8">
        <v>1.53</v>
      </c>
      <c r="G40" s="12">
        <v>2</v>
      </c>
      <c r="H40" s="8">
        <v>1.56</v>
      </c>
      <c r="I40" s="12">
        <v>0</v>
      </c>
    </row>
    <row r="41" spans="2:9" ht="15" customHeight="1" x14ac:dyDescent="0.2">
      <c r="B41" t="s">
        <v>72</v>
      </c>
      <c r="C41" s="12">
        <v>5</v>
      </c>
      <c r="D41" s="8">
        <v>1.51</v>
      </c>
      <c r="E41" s="12">
        <v>5</v>
      </c>
      <c r="F41" s="8">
        <v>2.5499999999999998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79</v>
      </c>
      <c r="C42" s="12">
        <v>5</v>
      </c>
      <c r="D42" s="8">
        <v>1.51</v>
      </c>
      <c r="E42" s="12">
        <v>3</v>
      </c>
      <c r="F42" s="8">
        <v>1.53</v>
      </c>
      <c r="G42" s="12">
        <v>2</v>
      </c>
      <c r="H42" s="8">
        <v>1.56</v>
      </c>
      <c r="I42" s="12">
        <v>0</v>
      </c>
    </row>
    <row r="43" spans="2:9" ht="15" customHeight="1" x14ac:dyDescent="0.2">
      <c r="B43" t="s">
        <v>94</v>
      </c>
      <c r="C43" s="12">
        <v>5</v>
      </c>
      <c r="D43" s="8">
        <v>1.51</v>
      </c>
      <c r="E43" s="12">
        <v>2</v>
      </c>
      <c r="F43" s="8">
        <v>1.02</v>
      </c>
      <c r="G43" s="12">
        <v>2</v>
      </c>
      <c r="H43" s="8">
        <v>1.56</v>
      </c>
      <c r="I43" s="12">
        <v>0</v>
      </c>
    </row>
    <row r="44" spans="2:9" ht="15" customHeight="1" x14ac:dyDescent="0.2">
      <c r="B44" t="s">
        <v>95</v>
      </c>
      <c r="C44" s="12">
        <v>5</v>
      </c>
      <c r="D44" s="8">
        <v>1.51</v>
      </c>
      <c r="E44" s="12">
        <v>3</v>
      </c>
      <c r="F44" s="8">
        <v>1.53</v>
      </c>
      <c r="G44" s="12">
        <v>2</v>
      </c>
      <c r="H44" s="8">
        <v>1.56</v>
      </c>
      <c r="I44" s="12">
        <v>0</v>
      </c>
    </row>
    <row r="45" spans="2:9" ht="15" customHeight="1" x14ac:dyDescent="0.2">
      <c r="B45" t="s">
        <v>107</v>
      </c>
      <c r="C45" s="12">
        <v>5</v>
      </c>
      <c r="D45" s="8">
        <v>1.51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243</v>
      </c>
      <c r="C48" s="10" t="s">
        <v>60</v>
      </c>
      <c r="D48" s="10" t="s">
        <v>61</v>
      </c>
      <c r="E48" s="10" t="s">
        <v>62</v>
      </c>
      <c r="F48" s="10" t="s">
        <v>63</v>
      </c>
      <c r="G48" s="10" t="s">
        <v>64</v>
      </c>
      <c r="H48" s="10" t="s">
        <v>65</v>
      </c>
      <c r="I48" s="10" t="s">
        <v>66</v>
      </c>
    </row>
    <row r="49" spans="2:9" ht="15" customHeight="1" x14ac:dyDescent="0.2">
      <c r="B49" t="s">
        <v>140</v>
      </c>
      <c r="C49" s="12">
        <v>18</v>
      </c>
      <c r="D49" s="8">
        <v>5.42</v>
      </c>
      <c r="E49" s="12">
        <v>18</v>
      </c>
      <c r="F49" s="8">
        <v>9.18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130</v>
      </c>
      <c r="C50" s="12">
        <v>14</v>
      </c>
      <c r="D50" s="8">
        <v>4.22</v>
      </c>
      <c r="E50" s="12">
        <v>8</v>
      </c>
      <c r="F50" s="8">
        <v>4.08</v>
      </c>
      <c r="G50" s="12">
        <v>6</v>
      </c>
      <c r="H50" s="8">
        <v>4.6900000000000004</v>
      </c>
      <c r="I50" s="12">
        <v>0</v>
      </c>
    </row>
    <row r="51" spans="2:9" ht="15" customHeight="1" x14ac:dyDescent="0.2">
      <c r="B51" t="s">
        <v>139</v>
      </c>
      <c r="C51" s="12">
        <v>12</v>
      </c>
      <c r="D51" s="8">
        <v>3.61</v>
      </c>
      <c r="E51" s="12">
        <v>12</v>
      </c>
      <c r="F51" s="8">
        <v>6.12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143</v>
      </c>
      <c r="C52" s="12">
        <v>12</v>
      </c>
      <c r="D52" s="8">
        <v>3.61</v>
      </c>
      <c r="E52" s="12">
        <v>12</v>
      </c>
      <c r="F52" s="8">
        <v>6.12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132</v>
      </c>
      <c r="C53" s="12">
        <v>11</v>
      </c>
      <c r="D53" s="8">
        <v>3.31</v>
      </c>
      <c r="E53" s="12">
        <v>5</v>
      </c>
      <c r="F53" s="8">
        <v>2.5499999999999998</v>
      </c>
      <c r="G53" s="12">
        <v>6</v>
      </c>
      <c r="H53" s="8">
        <v>4.6900000000000004</v>
      </c>
      <c r="I53" s="12">
        <v>0</v>
      </c>
    </row>
    <row r="54" spans="2:9" ht="15" customHeight="1" x14ac:dyDescent="0.2">
      <c r="B54" t="s">
        <v>136</v>
      </c>
      <c r="C54" s="12">
        <v>11</v>
      </c>
      <c r="D54" s="8">
        <v>3.31</v>
      </c>
      <c r="E54" s="12">
        <v>10</v>
      </c>
      <c r="F54" s="8">
        <v>5.0999999999999996</v>
      </c>
      <c r="G54" s="12">
        <v>1</v>
      </c>
      <c r="H54" s="8">
        <v>0.78</v>
      </c>
      <c r="I54" s="12">
        <v>0</v>
      </c>
    </row>
    <row r="55" spans="2:9" ht="15" customHeight="1" x14ac:dyDescent="0.2">
      <c r="B55" t="s">
        <v>129</v>
      </c>
      <c r="C55" s="12">
        <v>9</v>
      </c>
      <c r="D55" s="8">
        <v>2.71</v>
      </c>
      <c r="E55" s="12">
        <v>8</v>
      </c>
      <c r="F55" s="8">
        <v>4.08</v>
      </c>
      <c r="G55" s="12">
        <v>1</v>
      </c>
      <c r="H55" s="8">
        <v>0.78</v>
      </c>
      <c r="I55" s="12">
        <v>0</v>
      </c>
    </row>
    <row r="56" spans="2:9" ht="15" customHeight="1" x14ac:dyDescent="0.2">
      <c r="B56" t="s">
        <v>126</v>
      </c>
      <c r="C56" s="12">
        <v>8</v>
      </c>
      <c r="D56" s="8">
        <v>2.41</v>
      </c>
      <c r="E56" s="12">
        <v>4</v>
      </c>
      <c r="F56" s="8">
        <v>2.04</v>
      </c>
      <c r="G56" s="12">
        <v>4</v>
      </c>
      <c r="H56" s="8">
        <v>3.13</v>
      </c>
      <c r="I56" s="12">
        <v>0</v>
      </c>
    </row>
    <row r="57" spans="2:9" ht="15" customHeight="1" x14ac:dyDescent="0.2">
      <c r="B57" t="s">
        <v>142</v>
      </c>
      <c r="C57" s="12">
        <v>8</v>
      </c>
      <c r="D57" s="8">
        <v>2.41</v>
      </c>
      <c r="E57" s="12">
        <v>8</v>
      </c>
      <c r="F57" s="8">
        <v>4.08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168</v>
      </c>
      <c r="C58" s="12">
        <v>7</v>
      </c>
      <c r="D58" s="8">
        <v>2.11</v>
      </c>
      <c r="E58" s="12">
        <v>2</v>
      </c>
      <c r="F58" s="8">
        <v>1.02</v>
      </c>
      <c r="G58" s="12">
        <v>5</v>
      </c>
      <c r="H58" s="8">
        <v>3.91</v>
      </c>
      <c r="I58" s="12">
        <v>0</v>
      </c>
    </row>
    <row r="59" spans="2:9" ht="15" customHeight="1" x14ac:dyDescent="0.2">
      <c r="B59" t="s">
        <v>133</v>
      </c>
      <c r="C59" s="12">
        <v>7</v>
      </c>
      <c r="D59" s="8">
        <v>2.11</v>
      </c>
      <c r="E59" s="12">
        <v>4</v>
      </c>
      <c r="F59" s="8">
        <v>2.04</v>
      </c>
      <c r="G59" s="12">
        <v>3</v>
      </c>
      <c r="H59" s="8">
        <v>2.34</v>
      </c>
      <c r="I59" s="12">
        <v>0</v>
      </c>
    </row>
    <row r="60" spans="2:9" ht="15" customHeight="1" x14ac:dyDescent="0.2">
      <c r="B60" t="s">
        <v>154</v>
      </c>
      <c r="C60" s="12">
        <v>6</v>
      </c>
      <c r="D60" s="8">
        <v>1.81</v>
      </c>
      <c r="E60" s="12">
        <v>0</v>
      </c>
      <c r="F60" s="8">
        <v>0</v>
      </c>
      <c r="G60" s="12">
        <v>6</v>
      </c>
      <c r="H60" s="8">
        <v>4.6900000000000004</v>
      </c>
      <c r="I60" s="12">
        <v>0</v>
      </c>
    </row>
    <row r="61" spans="2:9" ht="15" customHeight="1" x14ac:dyDescent="0.2">
      <c r="B61" t="s">
        <v>197</v>
      </c>
      <c r="C61" s="12">
        <v>5</v>
      </c>
      <c r="D61" s="8">
        <v>1.51</v>
      </c>
      <c r="E61" s="12">
        <v>0</v>
      </c>
      <c r="F61" s="8">
        <v>0</v>
      </c>
      <c r="G61" s="12">
        <v>5</v>
      </c>
      <c r="H61" s="8">
        <v>3.91</v>
      </c>
      <c r="I61" s="12">
        <v>0</v>
      </c>
    </row>
    <row r="62" spans="2:9" ht="15" customHeight="1" x14ac:dyDescent="0.2">
      <c r="B62" t="s">
        <v>125</v>
      </c>
      <c r="C62" s="12">
        <v>5</v>
      </c>
      <c r="D62" s="8">
        <v>1.51</v>
      </c>
      <c r="E62" s="12">
        <v>1</v>
      </c>
      <c r="F62" s="8">
        <v>0.51</v>
      </c>
      <c r="G62" s="12">
        <v>4</v>
      </c>
      <c r="H62" s="8">
        <v>3.13</v>
      </c>
      <c r="I62" s="12">
        <v>0</v>
      </c>
    </row>
    <row r="63" spans="2:9" ht="15" customHeight="1" x14ac:dyDescent="0.2">
      <c r="B63" t="s">
        <v>194</v>
      </c>
      <c r="C63" s="12">
        <v>5</v>
      </c>
      <c r="D63" s="8">
        <v>1.51</v>
      </c>
      <c r="E63" s="12">
        <v>1</v>
      </c>
      <c r="F63" s="8">
        <v>0.51</v>
      </c>
      <c r="G63" s="12">
        <v>4</v>
      </c>
      <c r="H63" s="8">
        <v>3.13</v>
      </c>
      <c r="I63" s="12">
        <v>0</v>
      </c>
    </row>
    <row r="64" spans="2:9" ht="15" customHeight="1" x14ac:dyDescent="0.2">
      <c r="B64" t="s">
        <v>127</v>
      </c>
      <c r="C64" s="12">
        <v>5</v>
      </c>
      <c r="D64" s="8">
        <v>1.51</v>
      </c>
      <c r="E64" s="12">
        <v>5</v>
      </c>
      <c r="F64" s="8">
        <v>2.5499999999999998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147</v>
      </c>
      <c r="C65" s="12">
        <v>5</v>
      </c>
      <c r="D65" s="8">
        <v>1.51</v>
      </c>
      <c r="E65" s="12">
        <v>3</v>
      </c>
      <c r="F65" s="8">
        <v>1.53</v>
      </c>
      <c r="G65" s="12">
        <v>2</v>
      </c>
      <c r="H65" s="8">
        <v>1.56</v>
      </c>
      <c r="I65" s="12">
        <v>0</v>
      </c>
    </row>
    <row r="66" spans="2:9" ht="15" customHeight="1" x14ac:dyDescent="0.2">
      <c r="B66" t="s">
        <v>184</v>
      </c>
      <c r="C66" s="12">
        <v>5</v>
      </c>
      <c r="D66" s="8">
        <v>1.51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124</v>
      </c>
      <c r="C67" s="12">
        <v>4</v>
      </c>
      <c r="D67" s="8">
        <v>1.2</v>
      </c>
      <c r="E67" s="12">
        <v>0</v>
      </c>
      <c r="F67" s="8">
        <v>0</v>
      </c>
      <c r="G67" s="12">
        <v>4</v>
      </c>
      <c r="H67" s="8">
        <v>3.13</v>
      </c>
      <c r="I67" s="12">
        <v>0</v>
      </c>
    </row>
    <row r="68" spans="2:9" ht="15" customHeight="1" x14ac:dyDescent="0.2">
      <c r="B68" t="s">
        <v>149</v>
      </c>
      <c r="C68" s="12">
        <v>4</v>
      </c>
      <c r="D68" s="8">
        <v>1.2</v>
      </c>
      <c r="E68" s="12">
        <v>1</v>
      </c>
      <c r="F68" s="8">
        <v>0.51</v>
      </c>
      <c r="G68" s="12">
        <v>3</v>
      </c>
      <c r="H68" s="8">
        <v>2.34</v>
      </c>
      <c r="I68" s="12">
        <v>0</v>
      </c>
    </row>
    <row r="69" spans="2:9" ht="15" customHeight="1" x14ac:dyDescent="0.2">
      <c r="B69" t="s">
        <v>151</v>
      </c>
      <c r="C69" s="12">
        <v>4</v>
      </c>
      <c r="D69" s="8">
        <v>1.2</v>
      </c>
      <c r="E69" s="12">
        <v>0</v>
      </c>
      <c r="F69" s="8">
        <v>0</v>
      </c>
      <c r="G69" s="12">
        <v>4</v>
      </c>
      <c r="H69" s="8">
        <v>3.13</v>
      </c>
      <c r="I69" s="12">
        <v>0</v>
      </c>
    </row>
    <row r="70" spans="2:9" ht="15" customHeight="1" x14ac:dyDescent="0.2">
      <c r="B70" t="s">
        <v>198</v>
      </c>
      <c r="C70" s="12">
        <v>4</v>
      </c>
      <c r="D70" s="8">
        <v>1.2</v>
      </c>
      <c r="E70" s="12">
        <v>4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182</v>
      </c>
      <c r="C71" s="12">
        <v>4</v>
      </c>
      <c r="D71" s="8">
        <v>1.2</v>
      </c>
      <c r="E71" s="12">
        <v>3</v>
      </c>
      <c r="F71" s="8">
        <v>1.53</v>
      </c>
      <c r="G71" s="12">
        <v>1</v>
      </c>
      <c r="H71" s="8">
        <v>0.78</v>
      </c>
      <c r="I71" s="12">
        <v>0</v>
      </c>
    </row>
    <row r="72" spans="2:9" ht="15" customHeight="1" x14ac:dyDescent="0.2">
      <c r="B72" t="s">
        <v>156</v>
      </c>
      <c r="C72" s="12">
        <v>4</v>
      </c>
      <c r="D72" s="8">
        <v>1.2</v>
      </c>
      <c r="E72" s="12">
        <v>3</v>
      </c>
      <c r="F72" s="8">
        <v>1.53</v>
      </c>
      <c r="G72" s="12">
        <v>1</v>
      </c>
      <c r="H72" s="8">
        <v>0.78</v>
      </c>
      <c r="I72" s="12">
        <v>0</v>
      </c>
    </row>
    <row r="73" spans="2:9" ht="15" customHeight="1" x14ac:dyDescent="0.2">
      <c r="B73" t="s">
        <v>138</v>
      </c>
      <c r="C73" s="12">
        <v>4</v>
      </c>
      <c r="D73" s="8">
        <v>1.2</v>
      </c>
      <c r="E73" s="12">
        <v>4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199</v>
      </c>
      <c r="C74" s="12">
        <v>4</v>
      </c>
      <c r="D74" s="8">
        <v>1.2</v>
      </c>
      <c r="E74" s="12">
        <v>3</v>
      </c>
      <c r="F74" s="8">
        <v>1.53</v>
      </c>
      <c r="G74" s="12">
        <v>1</v>
      </c>
      <c r="H74" s="8">
        <v>0.78</v>
      </c>
      <c r="I74" s="12">
        <v>0</v>
      </c>
    </row>
    <row r="75" spans="2:9" ht="15" customHeight="1" x14ac:dyDescent="0.2">
      <c r="B75" t="s">
        <v>141</v>
      </c>
      <c r="C75" s="12">
        <v>4</v>
      </c>
      <c r="D75" s="8">
        <v>1.2</v>
      </c>
      <c r="E75" s="12">
        <v>3</v>
      </c>
      <c r="F75" s="8">
        <v>1.53</v>
      </c>
      <c r="G75" s="12">
        <v>1</v>
      </c>
      <c r="H75" s="8">
        <v>0.78</v>
      </c>
      <c r="I75" s="12">
        <v>0</v>
      </c>
    </row>
    <row r="76" spans="2:9" ht="15" customHeight="1" x14ac:dyDescent="0.2">
      <c r="B76" t="s">
        <v>176</v>
      </c>
      <c r="C76" s="12">
        <v>4</v>
      </c>
      <c r="D76" s="8">
        <v>1.2</v>
      </c>
      <c r="E76" s="12">
        <v>0</v>
      </c>
      <c r="F76" s="8">
        <v>0</v>
      </c>
      <c r="G76" s="12">
        <v>4</v>
      </c>
      <c r="H76" s="8">
        <v>3.13</v>
      </c>
      <c r="I76" s="12">
        <v>0</v>
      </c>
    </row>
    <row r="77" spans="2:9" ht="15" customHeight="1" x14ac:dyDescent="0.2">
      <c r="B77" t="s">
        <v>200</v>
      </c>
      <c r="C77" s="12">
        <v>4</v>
      </c>
      <c r="D77" s="8">
        <v>1.2</v>
      </c>
      <c r="E77" s="12">
        <v>4</v>
      </c>
      <c r="F77" s="8">
        <v>2.04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201</v>
      </c>
      <c r="C78" s="12">
        <v>4</v>
      </c>
      <c r="D78" s="8">
        <v>1.2</v>
      </c>
      <c r="E78" s="12">
        <v>3</v>
      </c>
      <c r="F78" s="8">
        <v>1.53</v>
      </c>
      <c r="G78" s="12">
        <v>1</v>
      </c>
      <c r="H78" s="8">
        <v>0.78</v>
      </c>
      <c r="I78" s="12">
        <v>0</v>
      </c>
    </row>
    <row r="80" spans="2:9" ht="15" customHeight="1" x14ac:dyDescent="0.2">
      <c r="B8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65CC-9370-44D6-84F5-623C3D882EF3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0.49</v>
      </c>
      <c r="E5" s="12">
        <v>0</v>
      </c>
      <c r="F5" s="8">
        <v>0</v>
      </c>
      <c r="G5" s="12">
        <v>1</v>
      </c>
      <c r="H5" s="8">
        <v>1.54</v>
      </c>
      <c r="I5" s="12">
        <v>0</v>
      </c>
    </row>
    <row r="6" spans="2:9" ht="15" customHeight="1" x14ac:dyDescent="0.2">
      <c r="B6" t="s">
        <v>45</v>
      </c>
      <c r="C6" s="12">
        <v>31</v>
      </c>
      <c r="D6" s="8">
        <v>15.27</v>
      </c>
      <c r="E6" s="12">
        <v>16</v>
      </c>
      <c r="F6" s="8">
        <v>12.12</v>
      </c>
      <c r="G6" s="12">
        <v>15</v>
      </c>
      <c r="H6" s="8">
        <v>23.08</v>
      </c>
      <c r="I6" s="12">
        <v>0</v>
      </c>
    </row>
    <row r="7" spans="2:9" ht="15" customHeight="1" x14ac:dyDescent="0.2">
      <c r="B7" t="s">
        <v>46</v>
      </c>
      <c r="C7" s="12">
        <v>20</v>
      </c>
      <c r="D7" s="8">
        <v>9.85</v>
      </c>
      <c r="E7" s="12">
        <v>10</v>
      </c>
      <c r="F7" s="8">
        <v>7.58</v>
      </c>
      <c r="G7" s="12">
        <v>8</v>
      </c>
      <c r="H7" s="8">
        <v>12.31</v>
      </c>
      <c r="I7" s="12">
        <v>1</v>
      </c>
    </row>
    <row r="8" spans="2:9" ht="15" customHeight="1" x14ac:dyDescent="0.2">
      <c r="B8" t="s">
        <v>47</v>
      </c>
      <c r="C8" s="12">
        <v>4</v>
      </c>
      <c r="D8" s="8">
        <v>1.97</v>
      </c>
      <c r="E8" s="12">
        <v>0</v>
      </c>
      <c r="F8" s="8">
        <v>0</v>
      </c>
      <c r="G8" s="12">
        <v>3</v>
      </c>
      <c r="H8" s="8">
        <v>4.62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0.49</v>
      </c>
      <c r="E9" s="12">
        <v>1</v>
      </c>
      <c r="F9" s="8">
        <v>0.76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0.99</v>
      </c>
      <c r="E10" s="12">
        <v>1</v>
      </c>
      <c r="F10" s="8">
        <v>0.76</v>
      </c>
      <c r="G10" s="12">
        <v>1</v>
      </c>
      <c r="H10" s="8">
        <v>1.54</v>
      </c>
      <c r="I10" s="12">
        <v>0</v>
      </c>
    </row>
    <row r="11" spans="2:9" ht="15" customHeight="1" x14ac:dyDescent="0.2">
      <c r="B11" t="s">
        <v>50</v>
      </c>
      <c r="C11" s="12">
        <v>63</v>
      </c>
      <c r="D11" s="8">
        <v>31.03</v>
      </c>
      <c r="E11" s="12">
        <v>46</v>
      </c>
      <c r="F11" s="8">
        <v>34.85</v>
      </c>
      <c r="G11" s="12">
        <v>17</v>
      </c>
      <c r="H11" s="8">
        <v>26.15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0.49</v>
      </c>
      <c r="E12" s="12">
        <v>0</v>
      </c>
      <c r="F12" s="8">
        <v>0</v>
      </c>
      <c r="G12" s="12">
        <v>1</v>
      </c>
      <c r="H12" s="8">
        <v>1.54</v>
      </c>
      <c r="I12" s="12">
        <v>0</v>
      </c>
    </row>
    <row r="13" spans="2:9" ht="15" customHeight="1" x14ac:dyDescent="0.2">
      <c r="B13" t="s">
        <v>52</v>
      </c>
      <c r="C13" s="12">
        <v>4</v>
      </c>
      <c r="D13" s="8">
        <v>1.97</v>
      </c>
      <c r="E13" s="12">
        <v>1</v>
      </c>
      <c r="F13" s="8">
        <v>0.76</v>
      </c>
      <c r="G13" s="12">
        <v>3</v>
      </c>
      <c r="H13" s="8">
        <v>4.62</v>
      </c>
      <c r="I13" s="12">
        <v>0</v>
      </c>
    </row>
    <row r="14" spans="2:9" ht="15" customHeight="1" x14ac:dyDescent="0.2">
      <c r="B14" t="s">
        <v>53</v>
      </c>
      <c r="C14" s="12">
        <v>6</v>
      </c>
      <c r="D14" s="8">
        <v>2.96</v>
      </c>
      <c r="E14" s="12">
        <v>6</v>
      </c>
      <c r="F14" s="8">
        <v>4.55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54</v>
      </c>
      <c r="C15" s="12">
        <v>7</v>
      </c>
      <c r="D15" s="8">
        <v>3.45</v>
      </c>
      <c r="E15" s="12">
        <v>4</v>
      </c>
      <c r="F15" s="8">
        <v>3.03</v>
      </c>
      <c r="G15" s="12">
        <v>2</v>
      </c>
      <c r="H15" s="8">
        <v>3.08</v>
      </c>
      <c r="I15" s="12">
        <v>0</v>
      </c>
    </row>
    <row r="16" spans="2:9" ht="15" customHeight="1" x14ac:dyDescent="0.2">
      <c r="B16" t="s">
        <v>55</v>
      </c>
      <c r="C16" s="12">
        <v>26</v>
      </c>
      <c r="D16" s="8">
        <v>12.81</v>
      </c>
      <c r="E16" s="12">
        <v>24</v>
      </c>
      <c r="F16" s="8">
        <v>18.18</v>
      </c>
      <c r="G16" s="12">
        <v>1</v>
      </c>
      <c r="H16" s="8">
        <v>1.54</v>
      </c>
      <c r="I16" s="12">
        <v>0</v>
      </c>
    </row>
    <row r="17" spans="2:9" ht="15" customHeight="1" x14ac:dyDescent="0.2">
      <c r="B17" t="s">
        <v>56</v>
      </c>
      <c r="C17" s="12">
        <v>6</v>
      </c>
      <c r="D17" s="8">
        <v>2.96</v>
      </c>
      <c r="E17" s="12">
        <v>5</v>
      </c>
      <c r="F17" s="8">
        <v>3.79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14</v>
      </c>
      <c r="D18" s="8">
        <v>6.9</v>
      </c>
      <c r="E18" s="12">
        <v>5</v>
      </c>
      <c r="F18" s="8">
        <v>3.79</v>
      </c>
      <c r="G18" s="12">
        <v>9</v>
      </c>
      <c r="H18" s="8">
        <v>13.85</v>
      </c>
      <c r="I18" s="12">
        <v>0</v>
      </c>
    </row>
    <row r="19" spans="2:9" ht="15" customHeight="1" x14ac:dyDescent="0.2">
      <c r="B19" t="s">
        <v>58</v>
      </c>
      <c r="C19" s="12">
        <v>17</v>
      </c>
      <c r="D19" s="8">
        <v>8.3699999999999992</v>
      </c>
      <c r="E19" s="12">
        <v>13</v>
      </c>
      <c r="F19" s="8">
        <v>9.85</v>
      </c>
      <c r="G19" s="12">
        <v>4</v>
      </c>
      <c r="H19" s="8">
        <v>6.15</v>
      </c>
      <c r="I19" s="12">
        <v>0</v>
      </c>
    </row>
    <row r="20" spans="2:9" ht="15" customHeight="1" x14ac:dyDescent="0.2">
      <c r="B20" s="9" t="s">
        <v>241</v>
      </c>
      <c r="C20" s="12">
        <f>SUM(LTBL_46482[総数／事業所数])</f>
        <v>203</v>
      </c>
      <c r="E20" s="12">
        <f>SUBTOTAL(109,LTBL_46482[個人／事業所数])</f>
        <v>132</v>
      </c>
      <c r="G20" s="12">
        <f>SUBTOTAL(109,LTBL_46482[法人／事業所数])</f>
        <v>65</v>
      </c>
      <c r="I20" s="12">
        <f>SUBTOTAL(109,LTBL_46482[法人以外の団体／事業所数])</f>
        <v>1</v>
      </c>
    </row>
    <row r="21" spans="2:9" ht="15" customHeight="1" x14ac:dyDescent="0.2">
      <c r="E21" s="11">
        <f>LTBL_46482[[#Totals],[個人／事業所数]]/LTBL_46482[[#Totals],[総数／事業所数]]</f>
        <v>0.65024630541871919</v>
      </c>
      <c r="G21" s="11">
        <f>LTBL_46482[[#Totals],[法人／事業所数]]/LTBL_46482[[#Totals],[総数／事業所数]]</f>
        <v>0.32019704433497537</v>
      </c>
      <c r="I21" s="11">
        <f>LTBL_46482[[#Totals],[法人以外の団体／事業所数]]/LTBL_46482[[#Totals],[総数／事業所数]]</f>
        <v>4.9261083743842365E-3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23</v>
      </c>
      <c r="D24" s="8">
        <v>11.33</v>
      </c>
      <c r="E24" s="12">
        <v>22</v>
      </c>
      <c r="F24" s="8">
        <v>16.670000000000002</v>
      </c>
      <c r="G24" s="12">
        <v>1</v>
      </c>
      <c r="H24" s="8">
        <v>1.54</v>
      </c>
      <c r="I24" s="12">
        <v>0</v>
      </c>
    </row>
    <row r="25" spans="2:9" ht="15" customHeight="1" x14ac:dyDescent="0.2">
      <c r="B25" t="s">
        <v>82</v>
      </c>
      <c r="C25" s="12">
        <v>23</v>
      </c>
      <c r="D25" s="8">
        <v>11.33</v>
      </c>
      <c r="E25" s="12">
        <v>23</v>
      </c>
      <c r="F25" s="8">
        <v>17.420000000000002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75</v>
      </c>
      <c r="C26" s="12">
        <v>22</v>
      </c>
      <c r="D26" s="8">
        <v>10.84</v>
      </c>
      <c r="E26" s="12">
        <v>13</v>
      </c>
      <c r="F26" s="8">
        <v>9.85</v>
      </c>
      <c r="G26" s="12">
        <v>9</v>
      </c>
      <c r="H26" s="8">
        <v>13.85</v>
      </c>
      <c r="I26" s="12">
        <v>0</v>
      </c>
    </row>
    <row r="27" spans="2:9" ht="15" customHeight="1" x14ac:dyDescent="0.2">
      <c r="B27" t="s">
        <v>67</v>
      </c>
      <c r="C27" s="12">
        <v>15</v>
      </c>
      <c r="D27" s="8">
        <v>7.39</v>
      </c>
      <c r="E27" s="12">
        <v>4</v>
      </c>
      <c r="F27" s="8">
        <v>3.03</v>
      </c>
      <c r="G27" s="12">
        <v>11</v>
      </c>
      <c r="H27" s="8">
        <v>16.920000000000002</v>
      </c>
      <c r="I27" s="12">
        <v>0</v>
      </c>
    </row>
    <row r="28" spans="2:9" ht="15" customHeight="1" x14ac:dyDescent="0.2">
      <c r="B28" t="s">
        <v>68</v>
      </c>
      <c r="C28" s="12">
        <v>10</v>
      </c>
      <c r="D28" s="8">
        <v>4.93</v>
      </c>
      <c r="E28" s="12">
        <v>9</v>
      </c>
      <c r="F28" s="8">
        <v>6.82</v>
      </c>
      <c r="G28" s="12">
        <v>1</v>
      </c>
      <c r="H28" s="8">
        <v>1.54</v>
      </c>
      <c r="I28" s="12">
        <v>0</v>
      </c>
    </row>
    <row r="29" spans="2:9" ht="15" customHeight="1" x14ac:dyDescent="0.2">
      <c r="B29" t="s">
        <v>86</v>
      </c>
      <c r="C29" s="12">
        <v>9</v>
      </c>
      <c r="D29" s="8">
        <v>4.43</v>
      </c>
      <c r="E29" s="12">
        <v>9</v>
      </c>
      <c r="F29" s="8">
        <v>6.82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85</v>
      </c>
      <c r="C30" s="12">
        <v>8</v>
      </c>
      <c r="D30" s="8">
        <v>3.94</v>
      </c>
      <c r="E30" s="12">
        <v>0</v>
      </c>
      <c r="F30" s="8">
        <v>0</v>
      </c>
      <c r="G30" s="12">
        <v>8</v>
      </c>
      <c r="H30" s="8">
        <v>12.31</v>
      </c>
      <c r="I30" s="12">
        <v>0</v>
      </c>
    </row>
    <row r="31" spans="2:9" ht="15" customHeight="1" x14ac:dyDescent="0.2">
      <c r="B31" t="s">
        <v>70</v>
      </c>
      <c r="C31" s="12">
        <v>7</v>
      </c>
      <c r="D31" s="8">
        <v>3.45</v>
      </c>
      <c r="E31" s="12">
        <v>3</v>
      </c>
      <c r="F31" s="8">
        <v>2.27</v>
      </c>
      <c r="G31" s="12">
        <v>4</v>
      </c>
      <c r="H31" s="8">
        <v>6.15</v>
      </c>
      <c r="I31" s="12">
        <v>0</v>
      </c>
    </row>
    <row r="32" spans="2:9" ht="15" customHeight="1" x14ac:dyDescent="0.2">
      <c r="B32" t="s">
        <v>69</v>
      </c>
      <c r="C32" s="12">
        <v>6</v>
      </c>
      <c r="D32" s="8">
        <v>2.96</v>
      </c>
      <c r="E32" s="12">
        <v>3</v>
      </c>
      <c r="F32" s="8">
        <v>2.27</v>
      </c>
      <c r="G32" s="12">
        <v>3</v>
      </c>
      <c r="H32" s="8">
        <v>4.62</v>
      </c>
      <c r="I32" s="12">
        <v>0</v>
      </c>
    </row>
    <row r="33" spans="2:9" ht="15" customHeight="1" x14ac:dyDescent="0.2">
      <c r="B33" t="s">
        <v>90</v>
      </c>
      <c r="C33" s="12">
        <v>6</v>
      </c>
      <c r="D33" s="8">
        <v>2.96</v>
      </c>
      <c r="E33" s="12">
        <v>2</v>
      </c>
      <c r="F33" s="8">
        <v>1.52</v>
      </c>
      <c r="G33" s="12">
        <v>2</v>
      </c>
      <c r="H33" s="8">
        <v>3.08</v>
      </c>
      <c r="I33" s="12">
        <v>1</v>
      </c>
    </row>
    <row r="34" spans="2:9" ht="15" customHeight="1" x14ac:dyDescent="0.2">
      <c r="B34" t="s">
        <v>81</v>
      </c>
      <c r="C34" s="12">
        <v>6</v>
      </c>
      <c r="D34" s="8">
        <v>2.96</v>
      </c>
      <c r="E34" s="12">
        <v>4</v>
      </c>
      <c r="F34" s="8">
        <v>3.03</v>
      </c>
      <c r="G34" s="12">
        <v>2</v>
      </c>
      <c r="H34" s="8">
        <v>3.08</v>
      </c>
      <c r="I34" s="12">
        <v>0</v>
      </c>
    </row>
    <row r="35" spans="2:9" ht="15" customHeight="1" x14ac:dyDescent="0.2">
      <c r="B35" t="s">
        <v>83</v>
      </c>
      <c r="C35" s="12">
        <v>6</v>
      </c>
      <c r="D35" s="8">
        <v>2.96</v>
      </c>
      <c r="E35" s="12">
        <v>5</v>
      </c>
      <c r="F35" s="8">
        <v>3.79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84</v>
      </c>
      <c r="C36" s="12">
        <v>6</v>
      </c>
      <c r="D36" s="8">
        <v>2.96</v>
      </c>
      <c r="E36" s="12">
        <v>5</v>
      </c>
      <c r="F36" s="8">
        <v>3.79</v>
      </c>
      <c r="G36" s="12">
        <v>1</v>
      </c>
      <c r="H36" s="8">
        <v>1.54</v>
      </c>
      <c r="I36" s="12">
        <v>0</v>
      </c>
    </row>
    <row r="37" spans="2:9" ht="15" customHeight="1" x14ac:dyDescent="0.2">
      <c r="B37" t="s">
        <v>95</v>
      </c>
      <c r="C37" s="12">
        <v>6</v>
      </c>
      <c r="D37" s="8">
        <v>2.96</v>
      </c>
      <c r="E37" s="12">
        <v>3</v>
      </c>
      <c r="F37" s="8">
        <v>2.27</v>
      </c>
      <c r="G37" s="12">
        <v>3</v>
      </c>
      <c r="H37" s="8">
        <v>4.62</v>
      </c>
      <c r="I37" s="12">
        <v>0</v>
      </c>
    </row>
    <row r="38" spans="2:9" ht="15" customHeight="1" x14ac:dyDescent="0.2">
      <c r="B38" t="s">
        <v>74</v>
      </c>
      <c r="C38" s="12">
        <v>5</v>
      </c>
      <c r="D38" s="8">
        <v>2.46</v>
      </c>
      <c r="E38" s="12">
        <v>4</v>
      </c>
      <c r="F38" s="8">
        <v>3.03</v>
      </c>
      <c r="G38" s="12">
        <v>1</v>
      </c>
      <c r="H38" s="8">
        <v>1.54</v>
      </c>
      <c r="I38" s="12">
        <v>0</v>
      </c>
    </row>
    <row r="39" spans="2:9" ht="15" customHeight="1" x14ac:dyDescent="0.2">
      <c r="B39" t="s">
        <v>92</v>
      </c>
      <c r="C39" s="12">
        <v>3</v>
      </c>
      <c r="D39" s="8">
        <v>1.48</v>
      </c>
      <c r="E39" s="12">
        <v>0</v>
      </c>
      <c r="F39" s="8">
        <v>0</v>
      </c>
      <c r="G39" s="12">
        <v>3</v>
      </c>
      <c r="H39" s="8">
        <v>4.62</v>
      </c>
      <c r="I39" s="12">
        <v>0</v>
      </c>
    </row>
    <row r="40" spans="2:9" ht="15" customHeight="1" x14ac:dyDescent="0.2">
      <c r="B40" t="s">
        <v>87</v>
      </c>
      <c r="C40" s="12">
        <v>3</v>
      </c>
      <c r="D40" s="8">
        <v>1.48</v>
      </c>
      <c r="E40" s="12">
        <v>2</v>
      </c>
      <c r="F40" s="8">
        <v>1.52</v>
      </c>
      <c r="G40" s="12">
        <v>1</v>
      </c>
      <c r="H40" s="8">
        <v>1.54</v>
      </c>
      <c r="I40" s="12">
        <v>0</v>
      </c>
    </row>
    <row r="41" spans="2:9" ht="15" customHeight="1" x14ac:dyDescent="0.2">
      <c r="B41" t="s">
        <v>72</v>
      </c>
      <c r="C41" s="12">
        <v>3</v>
      </c>
      <c r="D41" s="8">
        <v>1.48</v>
      </c>
      <c r="E41" s="12">
        <v>2</v>
      </c>
      <c r="F41" s="8">
        <v>1.52</v>
      </c>
      <c r="G41" s="12">
        <v>1</v>
      </c>
      <c r="H41" s="8">
        <v>1.54</v>
      </c>
      <c r="I41" s="12">
        <v>0</v>
      </c>
    </row>
    <row r="42" spans="2:9" ht="15" customHeight="1" x14ac:dyDescent="0.2">
      <c r="B42" t="s">
        <v>78</v>
      </c>
      <c r="C42" s="12">
        <v>3</v>
      </c>
      <c r="D42" s="8">
        <v>1.48</v>
      </c>
      <c r="E42" s="12">
        <v>3</v>
      </c>
      <c r="F42" s="8">
        <v>2.27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79</v>
      </c>
      <c r="C43" s="12">
        <v>3</v>
      </c>
      <c r="D43" s="8">
        <v>1.48</v>
      </c>
      <c r="E43" s="12">
        <v>3</v>
      </c>
      <c r="F43" s="8">
        <v>2.27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13</v>
      </c>
      <c r="D47" s="8">
        <v>6.4</v>
      </c>
      <c r="E47" s="12">
        <v>13</v>
      </c>
      <c r="F47" s="8">
        <v>9.85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129</v>
      </c>
      <c r="C48" s="12">
        <v>12</v>
      </c>
      <c r="D48" s="8">
        <v>5.91</v>
      </c>
      <c r="E48" s="12">
        <v>11</v>
      </c>
      <c r="F48" s="8">
        <v>8.33</v>
      </c>
      <c r="G48" s="12">
        <v>1</v>
      </c>
      <c r="H48" s="8">
        <v>1.54</v>
      </c>
      <c r="I48" s="12">
        <v>0</v>
      </c>
    </row>
    <row r="49" spans="2:9" ht="15" customHeight="1" x14ac:dyDescent="0.2">
      <c r="B49" t="s">
        <v>143</v>
      </c>
      <c r="C49" s="12">
        <v>9</v>
      </c>
      <c r="D49" s="8">
        <v>4.43</v>
      </c>
      <c r="E49" s="12">
        <v>9</v>
      </c>
      <c r="F49" s="8">
        <v>6.82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131</v>
      </c>
      <c r="C50" s="12">
        <v>7</v>
      </c>
      <c r="D50" s="8">
        <v>3.45</v>
      </c>
      <c r="E50" s="12">
        <v>3</v>
      </c>
      <c r="F50" s="8">
        <v>2.27</v>
      </c>
      <c r="G50" s="12">
        <v>4</v>
      </c>
      <c r="H50" s="8">
        <v>6.15</v>
      </c>
      <c r="I50" s="12">
        <v>0</v>
      </c>
    </row>
    <row r="51" spans="2:9" ht="15" customHeight="1" x14ac:dyDescent="0.2">
      <c r="B51" t="s">
        <v>139</v>
      </c>
      <c r="C51" s="12">
        <v>7</v>
      </c>
      <c r="D51" s="8">
        <v>3.45</v>
      </c>
      <c r="E51" s="12">
        <v>7</v>
      </c>
      <c r="F51" s="8">
        <v>5.3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124</v>
      </c>
      <c r="C52" s="12">
        <v>6</v>
      </c>
      <c r="D52" s="8">
        <v>2.96</v>
      </c>
      <c r="E52" s="12">
        <v>0</v>
      </c>
      <c r="F52" s="8">
        <v>0</v>
      </c>
      <c r="G52" s="12">
        <v>6</v>
      </c>
      <c r="H52" s="8">
        <v>9.23</v>
      </c>
      <c r="I52" s="12">
        <v>0</v>
      </c>
    </row>
    <row r="53" spans="2:9" ht="15" customHeight="1" x14ac:dyDescent="0.2">
      <c r="B53" t="s">
        <v>188</v>
      </c>
      <c r="C53" s="12">
        <v>6</v>
      </c>
      <c r="D53" s="8">
        <v>2.96</v>
      </c>
      <c r="E53" s="12">
        <v>0</v>
      </c>
      <c r="F53" s="8">
        <v>0</v>
      </c>
      <c r="G53" s="12">
        <v>6</v>
      </c>
      <c r="H53" s="8">
        <v>9.23</v>
      </c>
      <c r="I53" s="12">
        <v>0</v>
      </c>
    </row>
    <row r="54" spans="2:9" ht="15" customHeight="1" x14ac:dyDescent="0.2">
      <c r="B54" t="s">
        <v>130</v>
      </c>
      <c r="C54" s="12">
        <v>5</v>
      </c>
      <c r="D54" s="8">
        <v>2.46</v>
      </c>
      <c r="E54" s="12">
        <v>4</v>
      </c>
      <c r="F54" s="8">
        <v>3.03</v>
      </c>
      <c r="G54" s="12">
        <v>1</v>
      </c>
      <c r="H54" s="8">
        <v>1.54</v>
      </c>
      <c r="I54" s="12">
        <v>0</v>
      </c>
    </row>
    <row r="55" spans="2:9" ht="15" customHeight="1" x14ac:dyDescent="0.2">
      <c r="B55" t="s">
        <v>125</v>
      </c>
      <c r="C55" s="12">
        <v>4</v>
      </c>
      <c r="D55" s="8">
        <v>1.97</v>
      </c>
      <c r="E55" s="12">
        <v>0</v>
      </c>
      <c r="F55" s="8">
        <v>0</v>
      </c>
      <c r="G55" s="12">
        <v>4</v>
      </c>
      <c r="H55" s="8">
        <v>6.15</v>
      </c>
      <c r="I55" s="12">
        <v>0</v>
      </c>
    </row>
    <row r="56" spans="2:9" ht="15" customHeight="1" x14ac:dyDescent="0.2">
      <c r="B56" t="s">
        <v>193</v>
      </c>
      <c r="C56" s="12">
        <v>4</v>
      </c>
      <c r="D56" s="8">
        <v>1.97</v>
      </c>
      <c r="E56" s="12">
        <v>3</v>
      </c>
      <c r="F56" s="8">
        <v>2.27</v>
      </c>
      <c r="G56" s="12">
        <v>1</v>
      </c>
      <c r="H56" s="8">
        <v>1.54</v>
      </c>
      <c r="I56" s="12">
        <v>0</v>
      </c>
    </row>
    <row r="57" spans="2:9" ht="15" customHeight="1" x14ac:dyDescent="0.2">
      <c r="B57" t="s">
        <v>203</v>
      </c>
      <c r="C57" s="12">
        <v>4</v>
      </c>
      <c r="D57" s="8">
        <v>1.97</v>
      </c>
      <c r="E57" s="12">
        <v>0</v>
      </c>
      <c r="F57" s="8">
        <v>0</v>
      </c>
      <c r="G57" s="12">
        <v>2</v>
      </c>
      <c r="H57" s="8">
        <v>3.08</v>
      </c>
      <c r="I57" s="12">
        <v>1</v>
      </c>
    </row>
    <row r="58" spans="2:9" ht="15" customHeight="1" x14ac:dyDescent="0.2">
      <c r="B58" t="s">
        <v>127</v>
      </c>
      <c r="C58" s="12">
        <v>4</v>
      </c>
      <c r="D58" s="8">
        <v>1.97</v>
      </c>
      <c r="E58" s="12">
        <v>4</v>
      </c>
      <c r="F58" s="8">
        <v>3.03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132</v>
      </c>
      <c r="C59" s="12">
        <v>4</v>
      </c>
      <c r="D59" s="8">
        <v>1.97</v>
      </c>
      <c r="E59" s="12">
        <v>1</v>
      </c>
      <c r="F59" s="8">
        <v>0.76</v>
      </c>
      <c r="G59" s="12">
        <v>3</v>
      </c>
      <c r="H59" s="8">
        <v>4.62</v>
      </c>
      <c r="I59" s="12">
        <v>0</v>
      </c>
    </row>
    <row r="60" spans="2:9" ht="15" customHeight="1" x14ac:dyDescent="0.2">
      <c r="B60" t="s">
        <v>133</v>
      </c>
      <c r="C60" s="12">
        <v>4</v>
      </c>
      <c r="D60" s="8">
        <v>1.97</v>
      </c>
      <c r="E60" s="12">
        <v>4</v>
      </c>
      <c r="F60" s="8">
        <v>3.03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136</v>
      </c>
      <c r="C61" s="12">
        <v>4</v>
      </c>
      <c r="D61" s="8">
        <v>1.97</v>
      </c>
      <c r="E61" s="12">
        <v>3</v>
      </c>
      <c r="F61" s="8">
        <v>2.27</v>
      </c>
      <c r="G61" s="12">
        <v>1</v>
      </c>
      <c r="H61" s="8">
        <v>1.54</v>
      </c>
      <c r="I61" s="12">
        <v>0</v>
      </c>
    </row>
    <row r="62" spans="2:9" ht="15" customHeight="1" x14ac:dyDescent="0.2">
      <c r="B62" t="s">
        <v>157</v>
      </c>
      <c r="C62" s="12">
        <v>3</v>
      </c>
      <c r="D62" s="8">
        <v>1.48</v>
      </c>
      <c r="E62" s="12">
        <v>3</v>
      </c>
      <c r="F62" s="8">
        <v>2.27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202</v>
      </c>
      <c r="C63" s="12">
        <v>3</v>
      </c>
      <c r="D63" s="8">
        <v>1.48</v>
      </c>
      <c r="E63" s="12">
        <v>3</v>
      </c>
      <c r="F63" s="8">
        <v>2.27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126</v>
      </c>
      <c r="C64" s="12">
        <v>3</v>
      </c>
      <c r="D64" s="8">
        <v>1.48</v>
      </c>
      <c r="E64" s="12">
        <v>2</v>
      </c>
      <c r="F64" s="8">
        <v>1.52</v>
      </c>
      <c r="G64" s="12">
        <v>1</v>
      </c>
      <c r="H64" s="8">
        <v>1.54</v>
      </c>
      <c r="I64" s="12">
        <v>0</v>
      </c>
    </row>
    <row r="65" spans="2:9" ht="15" customHeight="1" x14ac:dyDescent="0.2">
      <c r="B65" t="s">
        <v>151</v>
      </c>
      <c r="C65" s="12">
        <v>3</v>
      </c>
      <c r="D65" s="8">
        <v>1.48</v>
      </c>
      <c r="E65" s="12">
        <v>0</v>
      </c>
      <c r="F65" s="8">
        <v>0</v>
      </c>
      <c r="G65" s="12">
        <v>3</v>
      </c>
      <c r="H65" s="8">
        <v>4.62</v>
      </c>
      <c r="I65" s="12">
        <v>0</v>
      </c>
    </row>
    <row r="66" spans="2:9" ht="15" customHeight="1" x14ac:dyDescent="0.2">
      <c r="B66" t="s">
        <v>128</v>
      </c>
      <c r="C66" s="12">
        <v>3</v>
      </c>
      <c r="D66" s="8">
        <v>1.48</v>
      </c>
      <c r="E66" s="12">
        <v>3</v>
      </c>
      <c r="F66" s="8">
        <v>2.27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135</v>
      </c>
      <c r="C67" s="12">
        <v>3</v>
      </c>
      <c r="D67" s="8">
        <v>1.48</v>
      </c>
      <c r="E67" s="12">
        <v>3</v>
      </c>
      <c r="F67" s="8">
        <v>2.27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141</v>
      </c>
      <c r="C68" s="12">
        <v>3</v>
      </c>
      <c r="D68" s="8">
        <v>1.48</v>
      </c>
      <c r="E68" s="12">
        <v>3</v>
      </c>
      <c r="F68" s="8">
        <v>2.27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142</v>
      </c>
      <c r="C69" s="12">
        <v>3</v>
      </c>
      <c r="D69" s="8">
        <v>1.48</v>
      </c>
      <c r="E69" s="12">
        <v>3</v>
      </c>
      <c r="F69" s="8">
        <v>2.27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201</v>
      </c>
      <c r="C70" s="12">
        <v>3</v>
      </c>
      <c r="D70" s="8">
        <v>1.48</v>
      </c>
      <c r="E70" s="12">
        <v>1</v>
      </c>
      <c r="F70" s="8">
        <v>0.76</v>
      </c>
      <c r="G70" s="12">
        <v>2</v>
      </c>
      <c r="H70" s="8">
        <v>3.08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54F5-250F-4E18-B04B-6FFF00863DA0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20</v>
      </c>
      <c r="D6" s="8">
        <v>10.81</v>
      </c>
      <c r="E6" s="12">
        <v>9</v>
      </c>
      <c r="F6" s="8">
        <v>7.44</v>
      </c>
      <c r="G6" s="12">
        <v>11</v>
      </c>
      <c r="H6" s="8">
        <v>18.329999999999998</v>
      </c>
      <c r="I6" s="12">
        <v>0</v>
      </c>
    </row>
    <row r="7" spans="2:9" ht="15" customHeight="1" x14ac:dyDescent="0.2">
      <c r="B7" t="s">
        <v>46</v>
      </c>
      <c r="C7" s="12">
        <v>17</v>
      </c>
      <c r="D7" s="8">
        <v>9.19</v>
      </c>
      <c r="E7" s="12">
        <v>5</v>
      </c>
      <c r="F7" s="8">
        <v>4.13</v>
      </c>
      <c r="G7" s="12">
        <v>12</v>
      </c>
      <c r="H7" s="8">
        <v>20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0.54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74</v>
      </c>
      <c r="D11" s="8">
        <v>40</v>
      </c>
      <c r="E11" s="12">
        <v>51</v>
      </c>
      <c r="F11" s="8">
        <v>42.15</v>
      </c>
      <c r="G11" s="12">
        <v>23</v>
      </c>
      <c r="H11" s="8">
        <v>38.33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2</v>
      </c>
      <c r="D13" s="8">
        <v>1.08</v>
      </c>
      <c r="E13" s="12">
        <v>0</v>
      </c>
      <c r="F13" s="8">
        <v>0</v>
      </c>
      <c r="G13" s="12">
        <v>1</v>
      </c>
      <c r="H13" s="8">
        <v>1.67</v>
      </c>
      <c r="I13" s="12">
        <v>0</v>
      </c>
    </row>
    <row r="14" spans="2:9" ht="15" customHeight="1" x14ac:dyDescent="0.2">
      <c r="B14" t="s">
        <v>53</v>
      </c>
      <c r="C14" s="12">
        <v>2</v>
      </c>
      <c r="D14" s="8">
        <v>1.08</v>
      </c>
      <c r="E14" s="12">
        <v>2</v>
      </c>
      <c r="F14" s="8">
        <v>1.65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54</v>
      </c>
      <c r="C15" s="12">
        <v>15</v>
      </c>
      <c r="D15" s="8">
        <v>8.11</v>
      </c>
      <c r="E15" s="12">
        <v>10</v>
      </c>
      <c r="F15" s="8">
        <v>8.26</v>
      </c>
      <c r="G15" s="12">
        <v>5</v>
      </c>
      <c r="H15" s="8">
        <v>8.33</v>
      </c>
      <c r="I15" s="12">
        <v>0</v>
      </c>
    </row>
    <row r="16" spans="2:9" ht="15" customHeight="1" x14ac:dyDescent="0.2">
      <c r="B16" t="s">
        <v>55</v>
      </c>
      <c r="C16" s="12">
        <v>27</v>
      </c>
      <c r="D16" s="8">
        <v>14.59</v>
      </c>
      <c r="E16" s="12">
        <v>25</v>
      </c>
      <c r="F16" s="8">
        <v>20.66</v>
      </c>
      <c r="G16" s="12">
        <v>2</v>
      </c>
      <c r="H16" s="8">
        <v>3.33</v>
      </c>
      <c r="I16" s="12">
        <v>0</v>
      </c>
    </row>
    <row r="17" spans="2:9" ht="15" customHeight="1" x14ac:dyDescent="0.2">
      <c r="B17" t="s">
        <v>56</v>
      </c>
      <c r="C17" s="12">
        <v>4</v>
      </c>
      <c r="D17" s="8">
        <v>2.16</v>
      </c>
      <c r="E17" s="12">
        <v>3</v>
      </c>
      <c r="F17" s="8">
        <v>2.48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12</v>
      </c>
      <c r="D18" s="8">
        <v>6.49</v>
      </c>
      <c r="E18" s="12">
        <v>7</v>
      </c>
      <c r="F18" s="8">
        <v>5.79</v>
      </c>
      <c r="G18" s="12">
        <v>5</v>
      </c>
      <c r="H18" s="8">
        <v>8.33</v>
      </c>
      <c r="I18" s="12">
        <v>0</v>
      </c>
    </row>
    <row r="19" spans="2:9" ht="15" customHeight="1" x14ac:dyDescent="0.2">
      <c r="B19" t="s">
        <v>58</v>
      </c>
      <c r="C19" s="12">
        <v>11</v>
      </c>
      <c r="D19" s="8">
        <v>5.95</v>
      </c>
      <c r="E19" s="12">
        <v>9</v>
      </c>
      <c r="F19" s="8">
        <v>7.44</v>
      </c>
      <c r="G19" s="12">
        <v>1</v>
      </c>
      <c r="H19" s="8">
        <v>1.67</v>
      </c>
      <c r="I19" s="12">
        <v>0</v>
      </c>
    </row>
    <row r="20" spans="2:9" ht="15" customHeight="1" x14ac:dyDescent="0.2">
      <c r="B20" s="9" t="s">
        <v>241</v>
      </c>
      <c r="C20" s="12">
        <f>SUM(LTBL_46490[総数／事業所数])</f>
        <v>185</v>
      </c>
      <c r="E20" s="12">
        <f>SUBTOTAL(109,LTBL_46490[個人／事業所数])</f>
        <v>121</v>
      </c>
      <c r="G20" s="12">
        <f>SUBTOTAL(109,LTBL_46490[法人／事業所数])</f>
        <v>60</v>
      </c>
      <c r="I20" s="12">
        <f>SUBTOTAL(109,LTBL_46490[法人以外の団体／事業所数])</f>
        <v>0</v>
      </c>
    </row>
    <row r="21" spans="2:9" ht="15" customHeight="1" x14ac:dyDescent="0.2">
      <c r="E21" s="11">
        <f>LTBL_46490[[#Totals],[個人／事業所数]]/LTBL_46490[[#Totals],[総数／事業所数]]</f>
        <v>0.65405405405405403</v>
      </c>
      <c r="G21" s="11">
        <f>LTBL_46490[[#Totals],[法人／事業所数]]/LTBL_46490[[#Totals],[総数／事業所数]]</f>
        <v>0.32432432432432434</v>
      </c>
      <c r="I21" s="11">
        <f>LTBL_46490[[#Totals],[法人以外の団体／事業所数]]/LTBL_46490[[#Totals],[総数／事業所数]]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75</v>
      </c>
      <c r="C24" s="12">
        <v>24</v>
      </c>
      <c r="D24" s="8">
        <v>12.97</v>
      </c>
      <c r="E24" s="12">
        <v>11</v>
      </c>
      <c r="F24" s="8">
        <v>9.09</v>
      </c>
      <c r="G24" s="12">
        <v>13</v>
      </c>
      <c r="H24" s="8">
        <v>21.67</v>
      </c>
      <c r="I24" s="12">
        <v>0</v>
      </c>
    </row>
    <row r="25" spans="2:9" ht="15" customHeight="1" x14ac:dyDescent="0.2">
      <c r="B25" t="s">
        <v>82</v>
      </c>
      <c r="C25" s="12">
        <v>23</v>
      </c>
      <c r="D25" s="8">
        <v>12.43</v>
      </c>
      <c r="E25" s="12">
        <v>22</v>
      </c>
      <c r="F25" s="8">
        <v>18.18</v>
      </c>
      <c r="G25" s="12">
        <v>1</v>
      </c>
      <c r="H25" s="8">
        <v>1.67</v>
      </c>
      <c r="I25" s="12">
        <v>0</v>
      </c>
    </row>
    <row r="26" spans="2:9" ht="15" customHeight="1" x14ac:dyDescent="0.2">
      <c r="B26" t="s">
        <v>73</v>
      </c>
      <c r="C26" s="12">
        <v>22</v>
      </c>
      <c r="D26" s="8">
        <v>11.89</v>
      </c>
      <c r="E26" s="12">
        <v>20</v>
      </c>
      <c r="F26" s="8">
        <v>16.53</v>
      </c>
      <c r="G26" s="12">
        <v>2</v>
      </c>
      <c r="H26" s="8">
        <v>3.33</v>
      </c>
      <c r="I26" s="12">
        <v>0</v>
      </c>
    </row>
    <row r="27" spans="2:9" ht="15" customHeight="1" x14ac:dyDescent="0.2">
      <c r="B27" t="s">
        <v>81</v>
      </c>
      <c r="C27" s="12">
        <v>13</v>
      </c>
      <c r="D27" s="8">
        <v>7.03</v>
      </c>
      <c r="E27" s="12">
        <v>10</v>
      </c>
      <c r="F27" s="8">
        <v>8.26</v>
      </c>
      <c r="G27" s="12">
        <v>3</v>
      </c>
      <c r="H27" s="8">
        <v>5</v>
      </c>
      <c r="I27" s="12">
        <v>0</v>
      </c>
    </row>
    <row r="28" spans="2:9" ht="15" customHeight="1" x14ac:dyDescent="0.2">
      <c r="B28" t="s">
        <v>74</v>
      </c>
      <c r="C28" s="12">
        <v>10</v>
      </c>
      <c r="D28" s="8">
        <v>5.41</v>
      </c>
      <c r="E28" s="12">
        <v>9</v>
      </c>
      <c r="F28" s="8">
        <v>7.44</v>
      </c>
      <c r="G28" s="12">
        <v>1</v>
      </c>
      <c r="H28" s="8">
        <v>1.67</v>
      </c>
      <c r="I28" s="12">
        <v>0</v>
      </c>
    </row>
    <row r="29" spans="2:9" ht="15" customHeight="1" x14ac:dyDescent="0.2">
      <c r="B29" t="s">
        <v>67</v>
      </c>
      <c r="C29" s="12">
        <v>9</v>
      </c>
      <c r="D29" s="8">
        <v>4.8600000000000003</v>
      </c>
      <c r="E29" s="12">
        <v>1</v>
      </c>
      <c r="F29" s="8">
        <v>0.83</v>
      </c>
      <c r="G29" s="12">
        <v>8</v>
      </c>
      <c r="H29" s="8">
        <v>13.33</v>
      </c>
      <c r="I29" s="12">
        <v>0</v>
      </c>
    </row>
    <row r="30" spans="2:9" ht="15" customHeight="1" x14ac:dyDescent="0.2">
      <c r="B30" t="s">
        <v>86</v>
      </c>
      <c r="C30" s="12">
        <v>9</v>
      </c>
      <c r="D30" s="8">
        <v>4.8600000000000003</v>
      </c>
      <c r="E30" s="12">
        <v>9</v>
      </c>
      <c r="F30" s="8">
        <v>7.44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84</v>
      </c>
      <c r="C31" s="12">
        <v>7</v>
      </c>
      <c r="D31" s="8">
        <v>3.78</v>
      </c>
      <c r="E31" s="12">
        <v>7</v>
      </c>
      <c r="F31" s="8">
        <v>5.79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69</v>
      </c>
      <c r="C32" s="12">
        <v>6</v>
      </c>
      <c r="D32" s="8">
        <v>3.24</v>
      </c>
      <c r="E32" s="12">
        <v>3</v>
      </c>
      <c r="F32" s="8">
        <v>2.48</v>
      </c>
      <c r="G32" s="12">
        <v>3</v>
      </c>
      <c r="H32" s="8">
        <v>5</v>
      </c>
      <c r="I32" s="12">
        <v>0</v>
      </c>
    </row>
    <row r="33" spans="2:9" ht="15" customHeight="1" x14ac:dyDescent="0.2">
      <c r="B33" t="s">
        <v>72</v>
      </c>
      <c r="C33" s="12">
        <v>6</v>
      </c>
      <c r="D33" s="8">
        <v>3.24</v>
      </c>
      <c r="E33" s="12">
        <v>5</v>
      </c>
      <c r="F33" s="8">
        <v>4.13</v>
      </c>
      <c r="G33" s="12">
        <v>1</v>
      </c>
      <c r="H33" s="8">
        <v>1.67</v>
      </c>
      <c r="I33" s="12">
        <v>0</v>
      </c>
    </row>
    <row r="34" spans="2:9" ht="15" customHeight="1" x14ac:dyDescent="0.2">
      <c r="B34" t="s">
        <v>68</v>
      </c>
      <c r="C34" s="12">
        <v>5</v>
      </c>
      <c r="D34" s="8">
        <v>2.7</v>
      </c>
      <c r="E34" s="12">
        <v>5</v>
      </c>
      <c r="F34" s="8">
        <v>4.13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71</v>
      </c>
      <c r="C35" s="12">
        <v>5</v>
      </c>
      <c r="D35" s="8">
        <v>2.7</v>
      </c>
      <c r="E35" s="12">
        <v>3</v>
      </c>
      <c r="F35" s="8">
        <v>2.48</v>
      </c>
      <c r="G35" s="12">
        <v>2</v>
      </c>
      <c r="H35" s="8">
        <v>3.33</v>
      </c>
      <c r="I35" s="12">
        <v>0</v>
      </c>
    </row>
    <row r="36" spans="2:9" ht="15" customHeight="1" x14ac:dyDescent="0.2">
      <c r="B36" t="s">
        <v>85</v>
      </c>
      <c r="C36" s="12">
        <v>5</v>
      </c>
      <c r="D36" s="8">
        <v>2.7</v>
      </c>
      <c r="E36" s="12">
        <v>0</v>
      </c>
      <c r="F36" s="8">
        <v>0</v>
      </c>
      <c r="G36" s="12">
        <v>5</v>
      </c>
      <c r="H36" s="8">
        <v>8.33</v>
      </c>
      <c r="I36" s="12">
        <v>0</v>
      </c>
    </row>
    <row r="37" spans="2:9" ht="15" customHeight="1" x14ac:dyDescent="0.2">
      <c r="B37" t="s">
        <v>70</v>
      </c>
      <c r="C37" s="12">
        <v>4</v>
      </c>
      <c r="D37" s="8">
        <v>2.16</v>
      </c>
      <c r="E37" s="12">
        <v>2</v>
      </c>
      <c r="F37" s="8">
        <v>1.65</v>
      </c>
      <c r="G37" s="12">
        <v>2</v>
      </c>
      <c r="H37" s="8">
        <v>3.33</v>
      </c>
      <c r="I37" s="12">
        <v>0</v>
      </c>
    </row>
    <row r="38" spans="2:9" ht="15" customHeight="1" x14ac:dyDescent="0.2">
      <c r="B38" t="s">
        <v>90</v>
      </c>
      <c r="C38" s="12">
        <v>4</v>
      </c>
      <c r="D38" s="8">
        <v>2.16</v>
      </c>
      <c r="E38" s="12">
        <v>0</v>
      </c>
      <c r="F38" s="8">
        <v>0</v>
      </c>
      <c r="G38" s="12">
        <v>4</v>
      </c>
      <c r="H38" s="8">
        <v>6.67</v>
      </c>
      <c r="I38" s="12">
        <v>0</v>
      </c>
    </row>
    <row r="39" spans="2:9" ht="15" customHeight="1" x14ac:dyDescent="0.2">
      <c r="B39" t="s">
        <v>83</v>
      </c>
      <c r="C39" s="12">
        <v>4</v>
      </c>
      <c r="D39" s="8">
        <v>2.16</v>
      </c>
      <c r="E39" s="12">
        <v>3</v>
      </c>
      <c r="F39" s="8">
        <v>2.48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87</v>
      </c>
      <c r="C40" s="12">
        <v>3</v>
      </c>
      <c r="D40" s="8">
        <v>1.62</v>
      </c>
      <c r="E40" s="12">
        <v>2</v>
      </c>
      <c r="F40" s="8">
        <v>1.65</v>
      </c>
      <c r="G40" s="12">
        <v>1</v>
      </c>
      <c r="H40" s="8">
        <v>1.67</v>
      </c>
      <c r="I40" s="12">
        <v>0</v>
      </c>
    </row>
    <row r="41" spans="2:9" ht="15" customHeight="1" x14ac:dyDescent="0.2">
      <c r="B41" t="s">
        <v>104</v>
      </c>
      <c r="C41" s="12">
        <v>2</v>
      </c>
      <c r="D41" s="8">
        <v>1.08</v>
      </c>
      <c r="E41" s="12">
        <v>0</v>
      </c>
      <c r="F41" s="8">
        <v>0</v>
      </c>
      <c r="G41" s="12">
        <v>2</v>
      </c>
      <c r="H41" s="8">
        <v>3.33</v>
      </c>
      <c r="I41" s="12">
        <v>0</v>
      </c>
    </row>
    <row r="42" spans="2:9" ht="15" customHeight="1" x14ac:dyDescent="0.2">
      <c r="B42" t="s">
        <v>88</v>
      </c>
      <c r="C42" s="12">
        <v>2</v>
      </c>
      <c r="D42" s="8">
        <v>1.08</v>
      </c>
      <c r="E42" s="12">
        <v>0</v>
      </c>
      <c r="F42" s="8">
        <v>0</v>
      </c>
      <c r="G42" s="12">
        <v>2</v>
      </c>
      <c r="H42" s="8">
        <v>3.33</v>
      </c>
      <c r="I42" s="12">
        <v>0</v>
      </c>
    </row>
    <row r="43" spans="2:9" ht="15" customHeight="1" x14ac:dyDescent="0.2">
      <c r="B43" t="s">
        <v>89</v>
      </c>
      <c r="C43" s="12">
        <v>2</v>
      </c>
      <c r="D43" s="8">
        <v>1.08</v>
      </c>
      <c r="E43" s="12">
        <v>1</v>
      </c>
      <c r="F43" s="8">
        <v>0.83</v>
      </c>
      <c r="G43" s="12">
        <v>1</v>
      </c>
      <c r="H43" s="8">
        <v>1.67</v>
      </c>
      <c r="I43" s="12">
        <v>0</v>
      </c>
    </row>
    <row r="44" spans="2:9" ht="15" customHeight="1" x14ac:dyDescent="0.2">
      <c r="B44" t="s">
        <v>77</v>
      </c>
      <c r="C44" s="12">
        <v>2</v>
      </c>
      <c r="D44" s="8">
        <v>1.08</v>
      </c>
      <c r="E44" s="12">
        <v>0</v>
      </c>
      <c r="F44" s="8">
        <v>0</v>
      </c>
      <c r="G44" s="12">
        <v>1</v>
      </c>
      <c r="H44" s="8">
        <v>1.67</v>
      </c>
      <c r="I44" s="12">
        <v>0</v>
      </c>
    </row>
    <row r="45" spans="2:9" ht="15" customHeight="1" x14ac:dyDescent="0.2">
      <c r="B45" t="s">
        <v>80</v>
      </c>
      <c r="C45" s="12">
        <v>2</v>
      </c>
      <c r="D45" s="8">
        <v>1.08</v>
      </c>
      <c r="E45" s="12">
        <v>0</v>
      </c>
      <c r="F45" s="8">
        <v>0</v>
      </c>
      <c r="G45" s="12">
        <v>2</v>
      </c>
      <c r="H45" s="8">
        <v>3.33</v>
      </c>
      <c r="I45" s="12">
        <v>0</v>
      </c>
    </row>
    <row r="46" spans="2:9" ht="15" customHeight="1" x14ac:dyDescent="0.2">
      <c r="B46" t="s">
        <v>91</v>
      </c>
      <c r="C46" s="12">
        <v>2</v>
      </c>
      <c r="D46" s="8">
        <v>1.08</v>
      </c>
      <c r="E46" s="12">
        <v>1</v>
      </c>
      <c r="F46" s="8">
        <v>0.83</v>
      </c>
      <c r="G46" s="12">
        <v>1</v>
      </c>
      <c r="H46" s="8">
        <v>1.67</v>
      </c>
      <c r="I46" s="12">
        <v>0</v>
      </c>
    </row>
    <row r="47" spans="2:9" ht="15" customHeight="1" x14ac:dyDescent="0.2">
      <c r="B47" t="s">
        <v>94</v>
      </c>
      <c r="C47" s="12">
        <v>2</v>
      </c>
      <c r="D47" s="8">
        <v>1.08</v>
      </c>
      <c r="E47" s="12">
        <v>2</v>
      </c>
      <c r="F47" s="8">
        <v>1.65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111</v>
      </c>
      <c r="C48" s="12">
        <v>2</v>
      </c>
      <c r="D48" s="8">
        <v>1.08</v>
      </c>
      <c r="E48" s="12">
        <v>0</v>
      </c>
      <c r="F48" s="8">
        <v>0</v>
      </c>
      <c r="G48" s="12">
        <v>1</v>
      </c>
      <c r="H48" s="8">
        <v>1.67</v>
      </c>
      <c r="I48" s="12">
        <v>0</v>
      </c>
    </row>
    <row r="51" spans="2:9" ht="33" customHeight="1" x14ac:dyDescent="0.2">
      <c r="B51" t="s">
        <v>243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2">
      <c r="B52" t="s">
        <v>140</v>
      </c>
      <c r="C52" s="12">
        <v>11</v>
      </c>
      <c r="D52" s="8">
        <v>5.95</v>
      </c>
      <c r="E52" s="12">
        <v>11</v>
      </c>
      <c r="F52" s="8">
        <v>9.09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132</v>
      </c>
      <c r="C53" s="12">
        <v>9</v>
      </c>
      <c r="D53" s="8">
        <v>4.8600000000000003</v>
      </c>
      <c r="E53" s="12">
        <v>2</v>
      </c>
      <c r="F53" s="8">
        <v>1.65</v>
      </c>
      <c r="G53" s="12">
        <v>7</v>
      </c>
      <c r="H53" s="8">
        <v>11.67</v>
      </c>
      <c r="I53" s="12">
        <v>0</v>
      </c>
    </row>
    <row r="54" spans="2:9" ht="15" customHeight="1" x14ac:dyDescent="0.2">
      <c r="B54" t="s">
        <v>143</v>
      </c>
      <c r="C54" s="12">
        <v>9</v>
      </c>
      <c r="D54" s="8">
        <v>4.8600000000000003</v>
      </c>
      <c r="E54" s="12">
        <v>9</v>
      </c>
      <c r="F54" s="8">
        <v>7.44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127</v>
      </c>
      <c r="C55" s="12">
        <v>8</v>
      </c>
      <c r="D55" s="8">
        <v>4.32</v>
      </c>
      <c r="E55" s="12">
        <v>8</v>
      </c>
      <c r="F55" s="8">
        <v>6.61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133</v>
      </c>
      <c r="C56" s="12">
        <v>7</v>
      </c>
      <c r="D56" s="8">
        <v>3.78</v>
      </c>
      <c r="E56" s="12">
        <v>5</v>
      </c>
      <c r="F56" s="8">
        <v>4.13</v>
      </c>
      <c r="G56" s="12">
        <v>2</v>
      </c>
      <c r="H56" s="8">
        <v>3.33</v>
      </c>
      <c r="I56" s="12">
        <v>0</v>
      </c>
    </row>
    <row r="57" spans="2:9" ht="15" customHeight="1" x14ac:dyDescent="0.2">
      <c r="B57" t="s">
        <v>124</v>
      </c>
      <c r="C57" s="12">
        <v>6</v>
      </c>
      <c r="D57" s="8">
        <v>3.24</v>
      </c>
      <c r="E57" s="12">
        <v>0</v>
      </c>
      <c r="F57" s="8">
        <v>0</v>
      </c>
      <c r="G57" s="12">
        <v>6</v>
      </c>
      <c r="H57" s="8">
        <v>10</v>
      </c>
      <c r="I57" s="12">
        <v>0</v>
      </c>
    </row>
    <row r="58" spans="2:9" ht="15" customHeight="1" x14ac:dyDescent="0.2">
      <c r="B58" t="s">
        <v>129</v>
      </c>
      <c r="C58" s="12">
        <v>6</v>
      </c>
      <c r="D58" s="8">
        <v>3.24</v>
      </c>
      <c r="E58" s="12">
        <v>5</v>
      </c>
      <c r="F58" s="8">
        <v>4.13</v>
      </c>
      <c r="G58" s="12">
        <v>1</v>
      </c>
      <c r="H58" s="8">
        <v>1.67</v>
      </c>
      <c r="I58" s="12">
        <v>0</v>
      </c>
    </row>
    <row r="59" spans="2:9" ht="15" customHeight="1" x14ac:dyDescent="0.2">
      <c r="B59" t="s">
        <v>139</v>
      </c>
      <c r="C59" s="12">
        <v>6</v>
      </c>
      <c r="D59" s="8">
        <v>3.24</v>
      </c>
      <c r="E59" s="12">
        <v>6</v>
      </c>
      <c r="F59" s="8">
        <v>4.96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126</v>
      </c>
      <c r="C60" s="12">
        <v>5</v>
      </c>
      <c r="D60" s="8">
        <v>2.7</v>
      </c>
      <c r="E60" s="12">
        <v>3</v>
      </c>
      <c r="F60" s="8">
        <v>2.48</v>
      </c>
      <c r="G60" s="12">
        <v>2</v>
      </c>
      <c r="H60" s="8">
        <v>3.33</v>
      </c>
      <c r="I60" s="12">
        <v>0</v>
      </c>
    </row>
    <row r="61" spans="2:9" ht="15" customHeight="1" x14ac:dyDescent="0.2">
      <c r="B61" t="s">
        <v>152</v>
      </c>
      <c r="C61" s="12">
        <v>5</v>
      </c>
      <c r="D61" s="8">
        <v>2.7</v>
      </c>
      <c r="E61" s="12">
        <v>4</v>
      </c>
      <c r="F61" s="8">
        <v>3.31</v>
      </c>
      <c r="G61" s="12">
        <v>1</v>
      </c>
      <c r="H61" s="8">
        <v>1.67</v>
      </c>
      <c r="I61" s="12">
        <v>0</v>
      </c>
    </row>
    <row r="62" spans="2:9" ht="15" customHeight="1" x14ac:dyDescent="0.2">
      <c r="B62" t="s">
        <v>130</v>
      </c>
      <c r="C62" s="12">
        <v>5</v>
      </c>
      <c r="D62" s="8">
        <v>2.7</v>
      </c>
      <c r="E62" s="12">
        <v>5</v>
      </c>
      <c r="F62" s="8">
        <v>4.13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147</v>
      </c>
      <c r="C63" s="12">
        <v>5</v>
      </c>
      <c r="D63" s="8">
        <v>2.7</v>
      </c>
      <c r="E63" s="12">
        <v>4</v>
      </c>
      <c r="F63" s="8">
        <v>3.31</v>
      </c>
      <c r="G63" s="12">
        <v>1</v>
      </c>
      <c r="H63" s="8">
        <v>1.67</v>
      </c>
      <c r="I63" s="12">
        <v>0</v>
      </c>
    </row>
    <row r="64" spans="2:9" ht="15" customHeight="1" x14ac:dyDescent="0.2">
      <c r="B64" t="s">
        <v>142</v>
      </c>
      <c r="C64" s="12">
        <v>5</v>
      </c>
      <c r="D64" s="8">
        <v>2.7</v>
      </c>
      <c r="E64" s="12">
        <v>5</v>
      </c>
      <c r="F64" s="8">
        <v>4.13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154</v>
      </c>
      <c r="C65" s="12">
        <v>4</v>
      </c>
      <c r="D65" s="8">
        <v>2.16</v>
      </c>
      <c r="E65" s="12">
        <v>2</v>
      </c>
      <c r="F65" s="8">
        <v>1.65</v>
      </c>
      <c r="G65" s="12">
        <v>2</v>
      </c>
      <c r="H65" s="8">
        <v>3.33</v>
      </c>
      <c r="I65" s="12">
        <v>0</v>
      </c>
    </row>
    <row r="66" spans="2:9" ht="15" customHeight="1" x14ac:dyDescent="0.2">
      <c r="B66" t="s">
        <v>128</v>
      </c>
      <c r="C66" s="12">
        <v>4</v>
      </c>
      <c r="D66" s="8">
        <v>2.16</v>
      </c>
      <c r="E66" s="12">
        <v>3</v>
      </c>
      <c r="F66" s="8">
        <v>2.48</v>
      </c>
      <c r="G66" s="12">
        <v>1</v>
      </c>
      <c r="H66" s="8">
        <v>1.67</v>
      </c>
      <c r="I66" s="12">
        <v>0</v>
      </c>
    </row>
    <row r="67" spans="2:9" ht="15" customHeight="1" x14ac:dyDescent="0.2">
      <c r="B67" t="s">
        <v>137</v>
      </c>
      <c r="C67" s="12">
        <v>4</v>
      </c>
      <c r="D67" s="8">
        <v>2.16</v>
      </c>
      <c r="E67" s="12">
        <v>3</v>
      </c>
      <c r="F67" s="8">
        <v>2.48</v>
      </c>
      <c r="G67" s="12">
        <v>1</v>
      </c>
      <c r="H67" s="8">
        <v>1.67</v>
      </c>
      <c r="I67" s="12">
        <v>0</v>
      </c>
    </row>
    <row r="68" spans="2:9" ht="15" customHeight="1" x14ac:dyDescent="0.2">
      <c r="B68" t="s">
        <v>138</v>
      </c>
      <c r="C68" s="12">
        <v>4</v>
      </c>
      <c r="D68" s="8">
        <v>2.16</v>
      </c>
      <c r="E68" s="12">
        <v>4</v>
      </c>
      <c r="F68" s="8">
        <v>3.31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150</v>
      </c>
      <c r="C69" s="12">
        <v>3</v>
      </c>
      <c r="D69" s="8">
        <v>1.62</v>
      </c>
      <c r="E69" s="12">
        <v>0</v>
      </c>
      <c r="F69" s="8">
        <v>0</v>
      </c>
      <c r="G69" s="12">
        <v>3</v>
      </c>
      <c r="H69" s="8">
        <v>5</v>
      </c>
      <c r="I69" s="12">
        <v>0</v>
      </c>
    </row>
    <row r="70" spans="2:9" ht="15" customHeight="1" x14ac:dyDescent="0.2">
      <c r="B70" t="s">
        <v>156</v>
      </c>
      <c r="C70" s="12">
        <v>3</v>
      </c>
      <c r="D70" s="8">
        <v>1.62</v>
      </c>
      <c r="E70" s="12">
        <v>2</v>
      </c>
      <c r="F70" s="8">
        <v>1.65</v>
      </c>
      <c r="G70" s="12">
        <v>1</v>
      </c>
      <c r="H70" s="8">
        <v>1.67</v>
      </c>
      <c r="I70" s="12">
        <v>0</v>
      </c>
    </row>
    <row r="71" spans="2:9" ht="15" customHeight="1" x14ac:dyDescent="0.2">
      <c r="B71" t="s">
        <v>141</v>
      </c>
      <c r="C71" s="12">
        <v>3</v>
      </c>
      <c r="D71" s="8">
        <v>1.62</v>
      </c>
      <c r="E71" s="12">
        <v>3</v>
      </c>
      <c r="F71" s="8">
        <v>2.48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188</v>
      </c>
      <c r="C72" s="12">
        <v>3</v>
      </c>
      <c r="D72" s="8">
        <v>1.62</v>
      </c>
      <c r="E72" s="12">
        <v>0</v>
      </c>
      <c r="F72" s="8">
        <v>0</v>
      </c>
      <c r="G72" s="12">
        <v>3</v>
      </c>
      <c r="H72" s="8">
        <v>5</v>
      </c>
      <c r="I72" s="12">
        <v>0</v>
      </c>
    </row>
    <row r="74" spans="2:9" ht="15" customHeight="1" x14ac:dyDescent="0.2">
      <c r="B74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0C60-EAFE-4BD9-8D47-232851EA7A55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28</v>
      </c>
      <c r="D6" s="8">
        <v>14.07</v>
      </c>
      <c r="E6" s="12">
        <v>15</v>
      </c>
      <c r="F6" s="8">
        <v>11.36</v>
      </c>
      <c r="G6" s="12">
        <v>13</v>
      </c>
      <c r="H6" s="8">
        <v>21.31</v>
      </c>
      <c r="I6" s="12">
        <v>0</v>
      </c>
    </row>
    <row r="7" spans="2:9" ht="15" customHeight="1" x14ac:dyDescent="0.2">
      <c r="B7" t="s">
        <v>46</v>
      </c>
      <c r="C7" s="12">
        <v>19</v>
      </c>
      <c r="D7" s="8">
        <v>9.5500000000000007</v>
      </c>
      <c r="E7" s="12">
        <v>8</v>
      </c>
      <c r="F7" s="8">
        <v>6.06</v>
      </c>
      <c r="G7" s="12">
        <v>10</v>
      </c>
      <c r="H7" s="8">
        <v>16.39</v>
      </c>
      <c r="I7" s="12">
        <v>1</v>
      </c>
    </row>
    <row r="8" spans="2:9" ht="15" customHeight="1" x14ac:dyDescent="0.2">
      <c r="B8" t="s">
        <v>47</v>
      </c>
      <c r="C8" s="12">
        <v>4</v>
      </c>
      <c r="D8" s="8">
        <v>2.0099999999999998</v>
      </c>
      <c r="E8" s="12">
        <v>0</v>
      </c>
      <c r="F8" s="8">
        <v>0</v>
      </c>
      <c r="G8" s="12">
        <v>2</v>
      </c>
      <c r="H8" s="8">
        <v>3.28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0.5</v>
      </c>
      <c r="E9" s="12">
        <v>0</v>
      </c>
      <c r="F9" s="8">
        <v>0</v>
      </c>
      <c r="G9" s="12">
        <v>1</v>
      </c>
      <c r="H9" s="8">
        <v>1.64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1.01</v>
      </c>
      <c r="E10" s="12">
        <v>0</v>
      </c>
      <c r="F10" s="8">
        <v>0</v>
      </c>
      <c r="G10" s="12">
        <v>1</v>
      </c>
      <c r="H10" s="8">
        <v>1.64</v>
      </c>
      <c r="I10" s="12">
        <v>1</v>
      </c>
    </row>
    <row r="11" spans="2:9" ht="15" customHeight="1" x14ac:dyDescent="0.2">
      <c r="B11" t="s">
        <v>50</v>
      </c>
      <c r="C11" s="12">
        <v>62</v>
      </c>
      <c r="D11" s="8">
        <v>31.16</v>
      </c>
      <c r="E11" s="12">
        <v>40</v>
      </c>
      <c r="F11" s="8">
        <v>30.3</v>
      </c>
      <c r="G11" s="12">
        <v>22</v>
      </c>
      <c r="H11" s="8">
        <v>36.07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0.5</v>
      </c>
      <c r="E12" s="12">
        <v>1</v>
      </c>
      <c r="F12" s="8">
        <v>0.76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6</v>
      </c>
      <c r="D13" s="8">
        <v>3.02</v>
      </c>
      <c r="E13" s="12">
        <v>6</v>
      </c>
      <c r="F13" s="8">
        <v>4.55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53</v>
      </c>
      <c r="C14" s="12">
        <v>6</v>
      </c>
      <c r="D14" s="8">
        <v>3.02</v>
      </c>
      <c r="E14" s="12">
        <v>3</v>
      </c>
      <c r="F14" s="8">
        <v>2.27</v>
      </c>
      <c r="G14" s="12">
        <v>3</v>
      </c>
      <c r="H14" s="8">
        <v>4.92</v>
      </c>
      <c r="I14" s="12">
        <v>0</v>
      </c>
    </row>
    <row r="15" spans="2:9" ht="15" customHeight="1" x14ac:dyDescent="0.2">
      <c r="B15" t="s">
        <v>54</v>
      </c>
      <c r="C15" s="12">
        <v>18</v>
      </c>
      <c r="D15" s="8">
        <v>9.0500000000000007</v>
      </c>
      <c r="E15" s="12">
        <v>16</v>
      </c>
      <c r="F15" s="8">
        <v>12.12</v>
      </c>
      <c r="G15" s="12">
        <v>2</v>
      </c>
      <c r="H15" s="8">
        <v>3.28</v>
      </c>
      <c r="I15" s="12">
        <v>0</v>
      </c>
    </row>
    <row r="16" spans="2:9" ht="15" customHeight="1" x14ac:dyDescent="0.2">
      <c r="B16" t="s">
        <v>55</v>
      </c>
      <c r="C16" s="12">
        <v>30</v>
      </c>
      <c r="D16" s="8">
        <v>15.08</v>
      </c>
      <c r="E16" s="12">
        <v>30</v>
      </c>
      <c r="F16" s="8">
        <v>22.73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5</v>
      </c>
      <c r="D17" s="8">
        <v>2.5099999999999998</v>
      </c>
      <c r="E17" s="12">
        <v>3</v>
      </c>
      <c r="F17" s="8">
        <v>2.27</v>
      </c>
      <c r="G17" s="12">
        <v>1</v>
      </c>
      <c r="H17" s="8">
        <v>1.64</v>
      </c>
      <c r="I17" s="12">
        <v>0</v>
      </c>
    </row>
    <row r="18" spans="2:9" ht="15" customHeight="1" x14ac:dyDescent="0.2">
      <c r="B18" t="s">
        <v>57</v>
      </c>
      <c r="C18" s="12">
        <v>9</v>
      </c>
      <c r="D18" s="8">
        <v>4.5199999999999996</v>
      </c>
      <c r="E18" s="12">
        <v>5</v>
      </c>
      <c r="F18" s="8">
        <v>3.79</v>
      </c>
      <c r="G18" s="12">
        <v>3</v>
      </c>
      <c r="H18" s="8">
        <v>4.92</v>
      </c>
      <c r="I18" s="12">
        <v>0</v>
      </c>
    </row>
    <row r="19" spans="2:9" ht="15" customHeight="1" x14ac:dyDescent="0.2">
      <c r="B19" t="s">
        <v>58</v>
      </c>
      <c r="C19" s="12">
        <v>8</v>
      </c>
      <c r="D19" s="8">
        <v>4.0199999999999996</v>
      </c>
      <c r="E19" s="12">
        <v>5</v>
      </c>
      <c r="F19" s="8">
        <v>3.79</v>
      </c>
      <c r="G19" s="12">
        <v>3</v>
      </c>
      <c r="H19" s="8">
        <v>4.92</v>
      </c>
      <c r="I19" s="12">
        <v>0</v>
      </c>
    </row>
    <row r="20" spans="2:9" ht="15" customHeight="1" x14ac:dyDescent="0.2">
      <c r="B20" s="9" t="s">
        <v>241</v>
      </c>
      <c r="C20" s="12">
        <f>SUM(LTBL_46491[総数／事業所数])</f>
        <v>199</v>
      </c>
      <c r="E20" s="12">
        <f>SUBTOTAL(109,LTBL_46491[個人／事業所数])</f>
        <v>132</v>
      </c>
      <c r="G20" s="12">
        <f>SUBTOTAL(109,LTBL_46491[法人／事業所数])</f>
        <v>61</v>
      </c>
      <c r="I20" s="12">
        <f>SUBTOTAL(109,LTBL_46491[法人以外の団体／事業所数])</f>
        <v>2</v>
      </c>
    </row>
    <row r="21" spans="2:9" ht="15" customHeight="1" x14ac:dyDescent="0.2">
      <c r="E21" s="11">
        <f>LTBL_46491[[#Totals],[個人／事業所数]]/LTBL_46491[[#Totals],[総数／事業所数]]</f>
        <v>0.66331658291457285</v>
      </c>
      <c r="G21" s="11">
        <f>LTBL_46491[[#Totals],[法人／事業所数]]/LTBL_46491[[#Totals],[総数／事業所数]]</f>
        <v>0.30653266331658291</v>
      </c>
      <c r="I21" s="11">
        <f>LTBL_46491[[#Totals],[法人以外の団体／事業所数]]/LTBL_46491[[#Totals],[総数／事業所数]]</f>
        <v>1.0050251256281407E-2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28</v>
      </c>
      <c r="D24" s="8">
        <v>14.07</v>
      </c>
      <c r="E24" s="12">
        <v>25</v>
      </c>
      <c r="F24" s="8">
        <v>18.940000000000001</v>
      </c>
      <c r="G24" s="12">
        <v>3</v>
      </c>
      <c r="H24" s="8">
        <v>4.92</v>
      </c>
      <c r="I24" s="12">
        <v>0</v>
      </c>
    </row>
    <row r="25" spans="2:9" ht="15" customHeight="1" x14ac:dyDescent="0.2">
      <c r="B25" t="s">
        <v>82</v>
      </c>
      <c r="C25" s="12">
        <v>21</v>
      </c>
      <c r="D25" s="8">
        <v>10.55</v>
      </c>
      <c r="E25" s="12">
        <v>21</v>
      </c>
      <c r="F25" s="8">
        <v>15.91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75</v>
      </c>
      <c r="C26" s="12">
        <v>17</v>
      </c>
      <c r="D26" s="8">
        <v>8.5399999999999991</v>
      </c>
      <c r="E26" s="12">
        <v>9</v>
      </c>
      <c r="F26" s="8">
        <v>6.82</v>
      </c>
      <c r="G26" s="12">
        <v>8</v>
      </c>
      <c r="H26" s="8">
        <v>13.11</v>
      </c>
      <c r="I26" s="12">
        <v>0</v>
      </c>
    </row>
    <row r="27" spans="2:9" ht="15" customHeight="1" x14ac:dyDescent="0.2">
      <c r="B27" t="s">
        <v>67</v>
      </c>
      <c r="C27" s="12">
        <v>14</v>
      </c>
      <c r="D27" s="8">
        <v>7.04</v>
      </c>
      <c r="E27" s="12">
        <v>3</v>
      </c>
      <c r="F27" s="8">
        <v>2.27</v>
      </c>
      <c r="G27" s="12">
        <v>11</v>
      </c>
      <c r="H27" s="8">
        <v>18.03</v>
      </c>
      <c r="I27" s="12">
        <v>0</v>
      </c>
    </row>
    <row r="28" spans="2:9" ht="15" customHeight="1" x14ac:dyDescent="0.2">
      <c r="B28" t="s">
        <v>81</v>
      </c>
      <c r="C28" s="12">
        <v>14</v>
      </c>
      <c r="D28" s="8">
        <v>7.04</v>
      </c>
      <c r="E28" s="12">
        <v>13</v>
      </c>
      <c r="F28" s="8">
        <v>9.85</v>
      </c>
      <c r="G28" s="12">
        <v>1</v>
      </c>
      <c r="H28" s="8">
        <v>1.64</v>
      </c>
      <c r="I28" s="12">
        <v>0</v>
      </c>
    </row>
    <row r="29" spans="2:9" ht="15" customHeight="1" x14ac:dyDescent="0.2">
      <c r="B29" t="s">
        <v>68</v>
      </c>
      <c r="C29" s="12">
        <v>8</v>
      </c>
      <c r="D29" s="8">
        <v>4.0199999999999996</v>
      </c>
      <c r="E29" s="12">
        <v>6</v>
      </c>
      <c r="F29" s="8">
        <v>4.55</v>
      </c>
      <c r="G29" s="12">
        <v>2</v>
      </c>
      <c r="H29" s="8">
        <v>3.28</v>
      </c>
      <c r="I29" s="12">
        <v>0</v>
      </c>
    </row>
    <row r="30" spans="2:9" ht="15" customHeight="1" x14ac:dyDescent="0.2">
      <c r="B30" t="s">
        <v>94</v>
      </c>
      <c r="C30" s="12">
        <v>8</v>
      </c>
      <c r="D30" s="8">
        <v>4.0199999999999996</v>
      </c>
      <c r="E30" s="12">
        <v>8</v>
      </c>
      <c r="F30" s="8">
        <v>6.06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69</v>
      </c>
      <c r="C31" s="12">
        <v>6</v>
      </c>
      <c r="D31" s="8">
        <v>3.02</v>
      </c>
      <c r="E31" s="12">
        <v>6</v>
      </c>
      <c r="F31" s="8">
        <v>4.55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70</v>
      </c>
      <c r="C32" s="12">
        <v>5</v>
      </c>
      <c r="D32" s="8">
        <v>2.5099999999999998</v>
      </c>
      <c r="E32" s="12">
        <v>3</v>
      </c>
      <c r="F32" s="8">
        <v>2.27</v>
      </c>
      <c r="G32" s="12">
        <v>2</v>
      </c>
      <c r="H32" s="8">
        <v>3.28</v>
      </c>
      <c r="I32" s="12">
        <v>0</v>
      </c>
    </row>
    <row r="33" spans="2:9" ht="15" customHeight="1" x14ac:dyDescent="0.2">
      <c r="B33" t="s">
        <v>74</v>
      </c>
      <c r="C33" s="12">
        <v>5</v>
      </c>
      <c r="D33" s="8">
        <v>2.5099999999999998</v>
      </c>
      <c r="E33" s="12">
        <v>3</v>
      </c>
      <c r="F33" s="8">
        <v>2.27</v>
      </c>
      <c r="G33" s="12">
        <v>2</v>
      </c>
      <c r="H33" s="8">
        <v>3.28</v>
      </c>
      <c r="I33" s="12">
        <v>0</v>
      </c>
    </row>
    <row r="34" spans="2:9" ht="15" customHeight="1" x14ac:dyDescent="0.2">
      <c r="B34" t="s">
        <v>77</v>
      </c>
      <c r="C34" s="12">
        <v>5</v>
      </c>
      <c r="D34" s="8">
        <v>2.5099999999999998</v>
      </c>
      <c r="E34" s="12">
        <v>5</v>
      </c>
      <c r="F34" s="8">
        <v>3.79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83</v>
      </c>
      <c r="C35" s="12">
        <v>5</v>
      </c>
      <c r="D35" s="8">
        <v>2.5099999999999998</v>
      </c>
      <c r="E35" s="12">
        <v>3</v>
      </c>
      <c r="F35" s="8">
        <v>2.27</v>
      </c>
      <c r="G35" s="12">
        <v>1</v>
      </c>
      <c r="H35" s="8">
        <v>1.64</v>
      </c>
      <c r="I35" s="12">
        <v>0</v>
      </c>
    </row>
    <row r="36" spans="2:9" ht="15" customHeight="1" x14ac:dyDescent="0.2">
      <c r="B36" t="s">
        <v>84</v>
      </c>
      <c r="C36" s="12">
        <v>5</v>
      </c>
      <c r="D36" s="8">
        <v>2.5099999999999998</v>
      </c>
      <c r="E36" s="12">
        <v>5</v>
      </c>
      <c r="F36" s="8">
        <v>3.79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79</v>
      </c>
      <c r="C37" s="12">
        <v>4</v>
      </c>
      <c r="D37" s="8">
        <v>2.0099999999999998</v>
      </c>
      <c r="E37" s="12">
        <v>1</v>
      </c>
      <c r="F37" s="8">
        <v>0.76</v>
      </c>
      <c r="G37" s="12">
        <v>3</v>
      </c>
      <c r="H37" s="8">
        <v>4.92</v>
      </c>
      <c r="I37" s="12">
        <v>0</v>
      </c>
    </row>
    <row r="38" spans="2:9" ht="15" customHeight="1" x14ac:dyDescent="0.2">
      <c r="B38" t="s">
        <v>80</v>
      </c>
      <c r="C38" s="12">
        <v>4</v>
      </c>
      <c r="D38" s="8">
        <v>2.0099999999999998</v>
      </c>
      <c r="E38" s="12">
        <v>3</v>
      </c>
      <c r="F38" s="8">
        <v>2.27</v>
      </c>
      <c r="G38" s="12">
        <v>1</v>
      </c>
      <c r="H38" s="8">
        <v>1.64</v>
      </c>
      <c r="I38" s="12">
        <v>0</v>
      </c>
    </row>
    <row r="39" spans="2:9" ht="15" customHeight="1" x14ac:dyDescent="0.2">
      <c r="B39" t="s">
        <v>85</v>
      </c>
      <c r="C39" s="12">
        <v>4</v>
      </c>
      <c r="D39" s="8">
        <v>2.0099999999999998</v>
      </c>
      <c r="E39" s="12">
        <v>0</v>
      </c>
      <c r="F39" s="8">
        <v>0</v>
      </c>
      <c r="G39" s="12">
        <v>3</v>
      </c>
      <c r="H39" s="8">
        <v>4.92</v>
      </c>
      <c r="I39" s="12">
        <v>0</v>
      </c>
    </row>
    <row r="40" spans="2:9" ht="15" customHeight="1" x14ac:dyDescent="0.2">
      <c r="B40" t="s">
        <v>86</v>
      </c>
      <c r="C40" s="12">
        <v>4</v>
      </c>
      <c r="D40" s="8">
        <v>2.0099999999999998</v>
      </c>
      <c r="E40" s="12">
        <v>4</v>
      </c>
      <c r="F40" s="8">
        <v>3.03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90</v>
      </c>
      <c r="C41" s="12">
        <v>3</v>
      </c>
      <c r="D41" s="8">
        <v>1.51</v>
      </c>
      <c r="E41" s="12">
        <v>0</v>
      </c>
      <c r="F41" s="8">
        <v>0</v>
      </c>
      <c r="G41" s="12">
        <v>2</v>
      </c>
      <c r="H41" s="8">
        <v>3.28</v>
      </c>
      <c r="I41" s="12">
        <v>1</v>
      </c>
    </row>
    <row r="42" spans="2:9" ht="15" customHeight="1" x14ac:dyDescent="0.2">
      <c r="B42" t="s">
        <v>103</v>
      </c>
      <c r="C42" s="12">
        <v>3</v>
      </c>
      <c r="D42" s="8">
        <v>1.51</v>
      </c>
      <c r="E42" s="12">
        <v>2</v>
      </c>
      <c r="F42" s="8">
        <v>1.52</v>
      </c>
      <c r="G42" s="12">
        <v>1</v>
      </c>
      <c r="H42" s="8">
        <v>1.64</v>
      </c>
      <c r="I42" s="12">
        <v>0</v>
      </c>
    </row>
    <row r="43" spans="2:9" ht="15" customHeight="1" x14ac:dyDescent="0.2">
      <c r="B43" t="s">
        <v>71</v>
      </c>
      <c r="C43" s="12">
        <v>3</v>
      </c>
      <c r="D43" s="8">
        <v>1.51</v>
      </c>
      <c r="E43" s="12">
        <v>0</v>
      </c>
      <c r="F43" s="8">
        <v>0</v>
      </c>
      <c r="G43" s="12">
        <v>3</v>
      </c>
      <c r="H43" s="8">
        <v>4.92</v>
      </c>
      <c r="I43" s="12">
        <v>0</v>
      </c>
    </row>
    <row r="44" spans="2:9" ht="15" customHeight="1" x14ac:dyDescent="0.2">
      <c r="B44" t="s">
        <v>72</v>
      </c>
      <c r="C44" s="12">
        <v>3</v>
      </c>
      <c r="D44" s="8">
        <v>1.51</v>
      </c>
      <c r="E44" s="12">
        <v>2</v>
      </c>
      <c r="F44" s="8">
        <v>1.52</v>
      </c>
      <c r="G44" s="12">
        <v>1</v>
      </c>
      <c r="H44" s="8">
        <v>1.64</v>
      </c>
      <c r="I44" s="12">
        <v>0</v>
      </c>
    </row>
    <row r="45" spans="2:9" ht="15" customHeight="1" x14ac:dyDescent="0.2">
      <c r="B45" t="s">
        <v>111</v>
      </c>
      <c r="C45" s="12">
        <v>3</v>
      </c>
      <c r="D45" s="8">
        <v>1.51</v>
      </c>
      <c r="E45" s="12">
        <v>0</v>
      </c>
      <c r="F45" s="8">
        <v>0</v>
      </c>
      <c r="G45" s="12">
        <v>3</v>
      </c>
      <c r="H45" s="8">
        <v>4.92</v>
      </c>
      <c r="I45" s="12">
        <v>0</v>
      </c>
    </row>
    <row r="48" spans="2:9" ht="33" customHeight="1" x14ac:dyDescent="0.2">
      <c r="B48" t="s">
        <v>243</v>
      </c>
      <c r="C48" s="10" t="s">
        <v>60</v>
      </c>
      <c r="D48" s="10" t="s">
        <v>61</v>
      </c>
      <c r="E48" s="10" t="s">
        <v>62</v>
      </c>
      <c r="F48" s="10" t="s">
        <v>63</v>
      </c>
      <c r="G48" s="10" t="s">
        <v>64</v>
      </c>
      <c r="H48" s="10" t="s">
        <v>65</v>
      </c>
      <c r="I48" s="10" t="s">
        <v>66</v>
      </c>
    </row>
    <row r="49" spans="2:9" ht="15" customHeight="1" x14ac:dyDescent="0.2">
      <c r="B49" t="s">
        <v>139</v>
      </c>
      <c r="C49" s="12">
        <v>13</v>
      </c>
      <c r="D49" s="8">
        <v>6.53</v>
      </c>
      <c r="E49" s="12">
        <v>13</v>
      </c>
      <c r="F49" s="8">
        <v>9.85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127</v>
      </c>
      <c r="C50" s="12">
        <v>9</v>
      </c>
      <c r="D50" s="8">
        <v>4.5199999999999996</v>
      </c>
      <c r="E50" s="12">
        <v>7</v>
      </c>
      <c r="F50" s="8">
        <v>5.3</v>
      </c>
      <c r="G50" s="12">
        <v>2</v>
      </c>
      <c r="H50" s="8">
        <v>3.28</v>
      </c>
      <c r="I50" s="12">
        <v>0</v>
      </c>
    </row>
    <row r="51" spans="2:9" ht="15" customHeight="1" x14ac:dyDescent="0.2">
      <c r="B51" t="s">
        <v>129</v>
      </c>
      <c r="C51" s="12">
        <v>8</v>
      </c>
      <c r="D51" s="8">
        <v>4.0199999999999996</v>
      </c>
      <c r="E51" s="12">
        <v>8</v>
      </c>
      <c r="F51" s="8">
        <v>6.06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205</v>
      </c>
      <c r="C52" s="12">
        <v>8</v>
      </c>
      <c r="D52" s="8">
        <v>4.0199999999999996</v>
      </c>
      <c r="E52" s="12">
        <v>8</v>
      </c>
      <c r="F52" s="8">
        <v>6.06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7</v>
      </c>
      <c r="D53" s="8">
        <v>3.52</v>
      </c>
      <c r="E53" s="12">
        <v>0</v>
      </c>
      <c r="F53" s="8">
        <v>0</v>
      </c>
      <c r="G53" s="12">
        <v>7</v>
      </c>
      <c r="H53" s="8">
        <v>11.48</v>
      </c>
      <c r="I53" s="12">
        <v>0</v>
      </c>
    </row>
    <row r="54" spans="2:9" ht="15" customHeight="1" x14ac:dyDescent="0.2">
      <c r="B54" t="s">
        <v>136</v>
      </c>
      <c r="C54" s="12">
        <v>6</v>
      </c>
      <c r="D54" s="8">
        <v>3.02</v>
      </c>
      <c r="E54" s="12">
        <v>6</v>
      </c>
      <c r="F54" s="8">
        <v>4.55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5</v>
      </c>
      <c r="D55" s="8">
        <v>2.5099999999999998</v>
      </c>
      <c r="E55" s="12">
        <v>5</v>
      </c>
      <c r="F55" s="8">
        <v>3.79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140</v>
      </c>
      <c r="C56" s="12">
        <v>5</v>
      </c>
      <c r="D56" s="8">
        <v>2.5099999999999998</v>
      </c>
      <c r="E56" s="12">
        <v>5</v>
      </c>
      <c r="F56" s="8">
        <v>3.79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142</v>
      </c>
      <c r="C57" s="12">
        <v>5</v>
      </c>
      <c r="D57" s="8">
        <v>2.5099999999999998</v>
      </c>
      <c r="E57" s="12">
        <v>5</v>
      </c>
      <c r="F57" s="8">
        <v>3.79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189</v>
      </c>
      <c r="C58" s="12">
        <v>4</v>
      </c>
      <c r="D58" s="8">
        <v>2.0099999999999998</v>
      </c>
      <c r="E58" s="12">
        <v>3</v>
      </c>
      <c r="F58" s="8">
        <v>2.27</v>
      </c>
      <c r="G58" s="12">
        <v>1</v>
      </c>
      <c r="H58" s="8">
        <v>1.64</v>
      </c>
      <c r="I58" s="12">
        <v>0</v>
      </c>
    </row>
    <row r="59" spans="2:9" ht="15" customHeight="1" x14ac:dyDescent="0.2">
      <c r="B59" t="s">
        <v>126</v>
      </c>
      <c r="C59" s="12">
        <v>4</v>
      </c>
      <c r="D59" s="8">
        <v>2.0099999999999998</v>
      </c>
      <c r="E59" s="12">
        <v>4</v>
      </c>
      <c r="F59" s="8">
        <v>3.03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128</v>
      </c>
      <c r="C60" s="12">
        <v>4</v>
      </c>
      <c r="D60" s="8">
        <v>2.0099999999999998</v>
      </c>
      <c r="E60" s="12">
        <v>3</v>
      </c>
      <c r="F60" s="8">
        <v>2.27</v>
      </c>
      <c r="G60" s="12">
        <v>1</v>
      </c>
      <c r="H60" s="8">
        <v>1.64</v>
      </c>
      <c r="I60" s="12">
        <v>0</v>
      </c>
    </row>
    <row r="61" spans="2:9" ht="15" customHeight="1" x14ac:dyDescent="0.2">
      <c r="B61" t="s">
        <v>147</v>
      </c>
      <c r="C61" s="12">
        <v>4</v>
      </c>
      <c r="D61" s="8">
        <v>2.0099999999999998</v>
      </c>
      <c r="E61" s="12">
        <v>2</v>
      </c>
      <c r="F61" s="8">
        <v>1.52</v>
      </c>
      <c r="G61" s="12">
        <v>2</v>
      </c>
      <c r="H61" s="8">
        <v>3.28</v>
      </c>
      <c r="I61" s="12">
        <v>0</v>
      </c>
    </row>
    <row r="62" spans="2:9" ht="15" customHeight="1" x14ac:dyDescent="0.2">
      <c r="B62" t="s">
        <v>131</v>
      </c>
      <c r="C62" s="12">
        <v>4</v>
      </c>
      <c r="D62" s="8">
        <v>2.0099999999999998</v>
      </c>
      <c r="E62" s="12">
        <v>2</v>
      </c>
      <c r="F62" s="8">
        <v>1.52</v>
      </c>
      <c r="G62" s="12">
        <v>2</v>
      </c>
      <c r="H62" s="8">
        <v>3.28</v>
      </c>
      <c r="I62" s="12">
        <v>0</v>
      </c>
    </row>
    <row r="63" spans="2:9" ht="15" customHeight="1" x14ac:dyDescent="0.2">
      <c r="B63" t="s">
        <v>156</v>
      </c>
      <c r="C63" s="12">
        <v>4</v>
      </c>
      <c r="D63" s="8">
        <v>2.0099999999999998</v>
      </c>
      <c r="E63" s="12">
        <v>3</v>
      </c>
      <c r="F63" s="8">
        <v>2.27</v>
      </c>
      <c r="G63" s="12">
        <v>1</v>
      </c>
      <c r="H63" s="8">
        <v>1.64</v>
      </c>
      <c r="I63" s="12">
        <v>0</v>
      </c>
    </row>
    <row r="64" spans="2:9" ht="15" customHeight="1" x14ac:dyDescent="0.2">
      <c r="B64" t="s">
        <v>188</v>
      </c>
      <c r="C64" s="12">
        <v>4</v>
      </c>
      <c r="D64" s="8">
        <v>2.0099999999999998</v>
      </c>
      <c r="E64" s="12">
        <v>0</v>
      </c>
      <c r="F64" s="8">
        <v>0</v>
      </c>
      <c r="G64" s="12">
        <v>3</v>
      </c>
      <c r="H64" s="8">
        <v>4.92</v>
      </c>
      <c r="I64" s="12">
        <v>0</v>
      </c>
    </row>
    <row r="65" spans="2:9" ht="15" customHeight="1" x14ac:dyDescent="0.2">
      <c r="B65" t="s">
        <v>143</v>
      </c>
      <c r="C65" s="12">
        <v>4</v>
      </c>
      <c r="D65" s="8">
        <v>2.0099999999999998</v>
      </c>
      <c r="E65" s="12">
        <v>4</v>
      </c>
      <c r="F65" s="8">
        <v>3.03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125</v>
      </c>
      <c r="C66" s="12">
        <v>3</v>
      </c>
      <c r="D66" s="8">
        <v>1.51</v>
      </c>
      <c r="E66" s="12">
        <v>1</v>
      </c>
      <c r="F66" s="8">
        <v>0.76</v>
      </c>
      <c r="G66" s="12">
        <v>2</v>
      </c>
      <c r="H66" s="8">
        <v>3.28</v>
      </c>
      <c r="I66" s="12">
        <v>0</v>
      </c>
    </row>
    <row r="67" spans="2:9" ht="15" customHeight="1" x14ac:dyDescent="0.2">
      <c r="B67" t="s">
        <v>155</v>
      </c>
      <c r="C67" s="12">
        <v>3</v>
      </c>
      <c r="D67" s="8">
        <v>1.51</v>
      </c>
      <c r="E67" s="12">
        <v>0</v>
      </c>
      <c r="F67" s="8">
        <v>0</v>
      </c>
      <c r="G67" s="12">
        <v>3</v>
      </c>
      <c r="H67" s="8">
        <v>4.92</v>
      </c>
      <c r="I67" s="12">
        <v>0</v>
      </c>
    </row>
    <row r="68" spans="2:9" ht="15" customHeight="1" x14ac:dyDescent="0.2">
      <c r="B68" t="s">
        <v>204</v>
      </c>
      <c r="C68" s="12">
        <v>3</v>
      </c>
      <c r="D68" s="8">
        <v>1.51</v>
      </c>
      <c r="E68" s="12">
        <v>3</v>
      </c>
      <c r="F68" s="8">
        <v>2.27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168</v>
      </c>
      <c r="C69" s="12">
        <v>3</v>
      </c>
      <c r="D69" s="8">
        <v>1.51</v>
      </c>
      <c r="E69" s="12">
        <v>0</v>
      </c>
      <c r="F69" s="8">
        <v>0</v>
      </c>
      <c r="G69" s="12">
        <v>3</v>
      </c>
      <c r="H69" s="8">
        <v>4.92</v>
      </c>
      <c r="I69" s="12">
        <v>0</v>
      </c>
    </row>
    <row r="70" spans="2:9" ht="15" customHeight="1" x14ac:dyDescent="0.2">
      <c r="B70" t="s">
        <v>132</v>
      </c>
      <c r="C70" s="12">
        <v>3</v>
      </c>
      <c r="D70" s="8">
        <v>1.51</v>
      </c>
      <c r="E70" s="12">
        <v>0</v>
      </c>
      <c r="F70" s="8">
        <v>0</v>
      </c>
      <c r="G70" s="12">
        <v>3</v>
      </c>
      <c r="H70" s="8">
        <v>4.92</v>
      </c>
      <c r="I70" s="12">
        <v>0</v>
      </c>
    </row>
    <row r="71" spans="2:9" ht="15" customHeight="1" x14ac:dyDescent="0.2">
      <c r="B71" t="s">
        <v>133</v>
      </c>
      <c r="C71" s="12">
        <v>3</v>
      </c>
      <c r="D71" s="8">
        <v>1.51</v>
      </c>
      <c r="E71" s="12">
        <v>3</v>
      </c>
      <c r="F71" s="8">
        <v>2.27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158</v>
      </c>
      <c r="C72" s="12">
        <v>3</v>
      </c>
      <c r="D72" s="8">
        <v>1.51</v>
      </c>
      <c r="E72" s="12">
        <v>2</v>
      </c>
      <c r="F72" s="8">
        <v>1.52</v>
      </c>
      <c r="G72" s="12">
        <v>1</v>
      </c>
      <c r="H72" s="8">
        <v>1.64</v>
      </c>
      <c r="I72" s="12">
        <v>0</v>
      </c>
    </row>
    <row r="73" spans="2:9" ht="15" customHeight="1" x14ac:dyDescent="0.2">
      <c r="B73" t="s">
        <v>146</v>
      </c>
      <c r="C73" s="12">
        <v>3</v>
      </c>
      <c r="D73" s="8">
        <v>1.51</v>
      </c>
      <c r="E73" s="12">
        <v>3</v>
      </c>
      <c r="F73" s="8">
        <v>2.27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166</v>
      </c>
      <c r="C74" s="12">
        <v>3</v>
      </c>
      <c r="D74" s="8">
        <v>1.51</v>
      </c>
      <c r="E74" s="12">
        <v>3</v>
      </c>
      <c r="F74" s="8">
        <v>2.27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C92C-E1E8-4B72-8CF6-FD7817186F5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56</v>
      </c>
      <c r="D6" s="8">
        <v>14.25</v>
      </c>
      <c r="E6" s="12">
        <v>30</v>
      </c>
      <c r="F6" s="8">
        <v>12.05</v>
      </c>
      <c r="G6" s="12">
        <v>26</v>
      </c>
      <c r="H6" s="8">
        <v>20.63</v>
      </c>
      <c r="I6" s="12">
        <v>0</v>
      </c>
    </row>
    <row r="7" spans="2:9" ht="15" customHeight="1" x14ac:dyDescent="0.2">
      <c r="B7" t="s">
        <v>46</v>
      </c>
      <c r="C7" s="12">
        <v>27</v>
      </c>
      <c r="D7" s="8">
        <v>6.87</v>
      </c>
      <c r="E7" s="12">
        <v>13</v>
      </c>
      <c r="F7" s="8">
        <v>5.22</v>
      </c>
      <c r="G7" s="12">
        <v>14</v>
      </c>
      <c r="H7" s="8">
        <v>11.11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0.79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0.51</v>
      </c>
      <c r="E9" s="12">
        <v>1</v>
      </c>
      <c r="F9" s="8">
        <v>0.4</v>
      </c>
      <c r="G9" s="12">
        <v>1</v>
      </c>
      <c r="H9" s="8">
        <v>0.79</v>
      </c>
      <c r="I9" s="12">
        <v>0</v>
      </c>
    </row>
    <row r="10" spans="2:9" ht="15" customHeight="1" x14ac:dyDescent="0.2">
      <c r="B10" t="s">
        <v>49</v>
      </c>
      <c r="C10" s="12">
        <v>6</v>
      </c>
      <c r="D10" s="8">
        <v>1.53</v>
      </c>
      <c r="E10" s="12">
        <v>2</v>
      </c>
      <c r="F10" s="8">
        <v>0.8</v>
      </c>
      <c r="G10" s="12">
        <v>4</v>
      </c>
      <c r="H10" s="8">
        <v>3.17</v>
      </c>
      <c r="I10" s="12">
        <v>0</v>
      </c>
    </row>
    <row r="11" spans="2:9" ht="15" customHeight="1" x14ac:dyDescent="0.2">
      <c r="B11" t="s">
        <v>50</v>
      </c>
      <c r="C11" s="12">
        <v>127</v>
      </c>
      <c r="D11" s="8">
        <v>32.32</v>
      </c>
      <c r="E11" s="12">
        <v>86</v>
      </c>
      <c r="F11" s="8">
        <v>34.54</v>
      </c>
      <c r="G11" s="12">
        <v>40</v>
      </c>
      <c r="H11" s="8">
        <v>31.75</v>
      </c>
      <c r="I11" s="12">
        <v>1</v>
      </c>
    </row>
    <row r="12" spans="2:9" ht="15" customHeight="1" x14ac:dyDescent="0.2">
      <c r="B12" t="s">
        <v>51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0.79</v>
      </c>
      <c r="I12" s="12">
        <v>0</v>
      </c>
    </row>
    <row r="13" spans="2:9" ht="15" customHeight="1" x14ac:dyDescent="0.2">
      <c r="B13" t="s">
        <v>52</v>
      </c>
      <c r="C13" s="12">
        <v>8</v>
      </c>
      <c r="D13" s="8">
        <v>2.04</v>
      </c>
      <c r="E13" s="12">
        <v>1</v>
      </c>
      <c r="F13" s="8">
        <v>0.4</v>
      </c>
      <c r="G13" s="12">
        <v>6</v>
      </c>
      <c r="H13" s="8">
        <v>4.76</v>
      </c>
      <c r="I13" s="12">
        <v>0</v>
      </c>
    </row>
    <row r="14" spans="2:9" ht="15" customHeight="1" x14ac:dyDescent="0.2">
      <c r="B14" t="s">
        <v>53</v>
      </c>
      <c r="C14" s="12">
        <v>15</v>
      </c>
      <c r="D14" s="8">
        <v>3.82</v>
      </c>
      <c r="E14" s="12">
        <v>2</v>
      </c>
      <c r="F14" s="8">
        <v>0.8</v>
      </c>
      <c r="G14" s="12">
        <v>12</v>
      </c>
      <c r="H14" s="8">
        <v>9.52</v>
      </c>
      <c r="I14" s="12">
        <v>0</v>
      </c>
    </row>
    <row r="15" spans="2:9" ht="15" customHeight="1" x14ac:dyDescent="0.2">
      <c r="B15" t="s">
        <v>54</v>
      </c>
      <c r="C15" s="12">
        <v>43</v>
      </c>
      <c r="D15" s="8">
        <v>10.94</v>
      </c>
      <c r="E15" s="12">
        <v>36</v>
      </c>
      <c r="F15" s="8">
        <v>14.46</v>
      </c>
      <c r="G15" s="12">
        <v>6</v>
      </c>
      <c r="H15" s="8">
        <v>4.76</v>
      </c>
      <c r="I15" s="12">
        <v>0</v>
      </c>
    </row>
    <row r="16" spans="2:9" ht="15" customHeight="1" x14ac:dyDescent="0.2">
      <c r="B16" t="s">
        <v>55</v>
      </c>
      <c r="C16" s="12">
        <v>59</v>
      </c>
      <c r="D16" s="8">
        <v>15.01</v>
      </c>
      <c r="E16" s="12">
        <v>54</v>
      </c>
      <c r="F16" s="8">
        <v>21.69</v>
      </c>
      <c r="G16" s="12">
        <v>4</v>
      </c>
      <c r="H16" s="8">
        <v>3.17</v>
      </c>
      <c r="I16" s="12">
        <v>0</v>
      </c>
    </row>
    <row r="17" spans="2:9" ht="15" customHeight="1" x14ac:dyDescent="0.2">
      <c r="B17" t="s">
        <v>56</v>
      </c>
      <c r="C17" s="12">
        <v>19</v>
      </c>
      <c r="D17" s="8">
        <v>4.83</v>
      </c>
      <c r="E17" s="12">
        <v>6</v>
      </c>
      <c r="F17" s="8">
        <v>2.41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15</v>
      </c>
      <c r="D18" s="8">
        <v>3.82</v>
      </c>
      <c r="E18" s="12">
        <v>9</v>
      </c>
      <c r="F18" s="8">
        <v>3.61</v>
      </c>
      <c r="G18" s="12">
        <v>6</v>
      </c>
      <c r="H18" s="8">
        <v>4.76</v>
      </c>
      <c r="I18" s="12">
        <v>0</v>
      </c>
    </row>
    <row r="19" spans="2:9" ht="15" customHeight="1" x14ac:dyDescent="0.2">
      <c r="B19" t="s">
        <v>58</v>
      </c>
      <c r="C19" s="12">
        <v>14</v>
      </c>
      <c r="D19" s="8">
        <v>3.56</v>
      </c>
      <c r="E19" s="12">
        <v>9</v>
      </c>
      <c r="F19" s="8">
        <v>3.61</v>
      </c>
      <c r="G19" s="12">
        <v>5</v>
      </c>
      <c r="H19" s="8">
        <v>3.97</v>
      </c>
      <c r="I19" s="12">
        <v>0</v>
      </c>
    </row>
    <row r="20" spans="2:9" ht="15" customHeight="1" x14ac:dyDescent="0.2">
      <c r="B20" s="9" t="s">
        <v>241</v>
      </c>
      <c r="C20" s="12">
        <f>SUM(LTBL_46492[総数／事業所数])</f>
        <v>393</v>
      </c>
      <c r="E20" s="12">
        <f>SUBTOTAL(109,LTBL_46492[個人／事業所数])</f>
        <v>249</v>
      </c>
      <c r="G20" s="12">
        <f>SUBTOTAL(109,LTBL_46492[法人／事業所数])</f>
        <v>126</v>
      </c>
      <c r="I20" s="12">
        <f>SUBTOTAL(109,LTBL_46492[法人以外の団体／事業所数])</f>
        <v>1</v>
      </c>
    </row>
    <row r="21" spans="2:9" ht="15" customHeight="1" x14ac:dyDescent="0.2">
      <c r="E21" s="11">
        <f>LTBL_46492[[#Totals],[個人／事業所数]]/LTBL_46492[[#Totals],[総数／事業所数]]</f>
        <v>0.63358778625954193</v>
      </c>
      <c r="G21" s="11">
        <f>LTBL_46492[[#Totals],[法人／事業所数]]/LTBL_46492[[#Totals],[総数／事業所数]]</f>
        <v>0.32061068702290074</v>
      </c>
      <c r="I21" s="11">
        <f>LTBL_46492[[#Totals],[法人以外の団体／事業所数]]/LTBL_46492[[#Totals],[総数／事業所数]]</f>
        <v>2.5445292620865142E-3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82</v>
      </c>
      <c r="C24" s="12">
        <v>58</v>
      </c>
      <c r="D24" s="8">
        <v>14.76</v>
      </c>
      <c r="E24" s="12">
        <v>54</v>
      </c>
      <c r="F24" s="8">
        <v>21.69</v>
      </c>
      <c r="G24" s="12">
        <v>4</v>
      </c>
      <c r="H24" s="8">
        <v>3.17</v>
      </c>
      <c r="I24" s="12">
        <v>0</v>
      </c>
    </row>
    <row r="25" spans="2:9" ht="15" customHeight="1" x14ac:dyDescent="0.2">
      <c r="B25" t="s">
        <v>73</v>
      </c>
      <c r="C25" s="12">
        <v>39</v>
      </c>
      <c r="D25" s="8">
        <v>9.92</v>
      </c>
      <c r="E25" s="12">
        <v>30</v>
      </c>
      <c r="F25" s="8">
        <v>12.05</v>
      </c>
      <c r="G25" s="12">
        <v>8</v>
      </c>
      <c r="H25" s="8">
        <v>6.35</v>
      </c>
      <c r="I25" s="12">
        <v>1</v>
      </c>
    </row>
    <row r="26" spans="2:9" ht="15" customHeight="1" x14ac:dyDescent="0.2">
      <c r="B26" t="s">
        <v>75</v>
      </c>
      <c r="C26" s="12">
        <v>36</v>
      </c>
      <c r="D26" s="8">
        <v>9.16</v>
      </c>
      <c r="E26" s="12">
        <v>27</v>
      </c>
      <c r="F26" s="8">
        <v>10.84</v>
      </c>
      <c r="G26" s="12">
        <v>9</v>
      </c>
      <c r="H26" s="8">
        <v>7.14</v>
      </c>
      <c r="I26" s="12">
        <v>0</v>
      </c>
    </row>
    <row r="27" spans="2:9" ht="15" customHeight="1" x14ac:dyDescent="0.2">
      <c r="B27" t="s">
        <v>81</v>
      </c>
      <c r="C27" s="12">
        <v>32</v>
      </c>
      <c r="D27" s="8">
        <v>8.14</v>
      </c>
      <c r="E27" s="12">
        <v>31</v>
      </c>
      <c r="F27" s="8">
        <v>12.45</v>
      </c>
      <c r="G27" s="12">
        <v>1</v>
      </c>
      <c r="H27" s="8">
        <v>0.79</v>
      </c>
      <c r="I27" s="12">
        <v>0</v>
      </c>
    </row>
    <row r="28" spans="2:9" ht="15" customHeight="1" x14ac:dyDescent="0.2">
      <c r="B28" t="s">
        <v>67</v>
      </c>
      <c r="C28" s="12">
        <v>31</v>
      </c>
      <c r="D28" s="8">
        <v>7.89</v>
      </c>
      <c r="E28" s="12">
        <v>12</v>
      </c>
      <c r="F28" s="8">
        <v>4.82</v>
      </c>
      <c r="G28" s="12">
        <v>19</v>
      </c>
      <c r="H28" s="8">
        <v>15.08</v>
      </c>
      <c r="I28" s="12">
        <v>0</v>
      </c>
    </row>
    <row r="29" spans="2:9" ht="15" customHeight="1" x14ac:dyDescent="0.2">
      <c r="B29" t="s">
        <v>74</v>
      </c>
      <c r="C29" s="12">
        <v>30</v>
      </c>
      <c r="D29" s="8">
        <v>7.63</v>
      </c>
      <c r="E29" s="12">
        <v>21</v>
      </c>
      <c r="F29" s="8">
        <v>8.43</v>
      </c>
      <c r="G29" s="12">
        <v>9</v>
      </c>
      <c r="H29" s="8">
        <v>7.14</v>
      </c>
      <c r="I29" s="12">
        <v>0</v>
      </c>
    </row>
    <row r="30" spans="2:9" ht="15" customHeight="1" x14ac:dyDescent="0.2">
      <c r="B30" t="s">
        <v>83</v>
      </c>
      <c r="C30" s="12">
        <v>19</v>
      </c>
      <c r="D30" s="8">
        <v>4.83</v>
      </c>
      <c r="E30" s="12">
        <v>6</v>
      </c>
      <c r="F30" s="8">
        <v>2.41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68</v>
      </c>
      <c r="C31" s="12">
        <v>15</v>
      </c>
      <c r="D31" s="8">
        <v>3.82</v>
      </c>
      <c r="E31" s="12">
        <v>12</v>
      </c>
      <c r="F31" s="8">
        <v>4.82</v>
      </c>
      <c r="G31" s="12">
        <v>3</v>
      </c>
      <c r="H31" s="8">
        <v>2.38</v>
      </c>
      <c r="I31" s="12">
        <v>0</v>
      </c>
    </row>
    <row r="32" spans="2:9" ht="15" customHeight="1" x14ac:dyDescent="0.2">
      <c r="B32" t="s">
        <v>84</v>
      </c>
      <c r="C32" s="12">
        <v>11</v>
      </c>
      <c r="D32" s="8">
        <v>2.8</v>
      </c>
      <c r="E32" s="12">
        <v>9</v>
      </c>
      <c r="F32" s="8">
        <v>3.61</v>
      </c>
      <c r="G32" s="12">
        <v>2</v>
      </c>
      <c r="H32" s="8">
        <v>1.59</v>
      </c>
      <c r="I32" s="12">
        <v>0</v>
      </c>
    </row>
    <row r="33" spans="2:9" ht="15" customHeight="1" x14ac:dyDescent="0.2">
      <c r="B33" t="s">
        <v>69</v>
      </c>
      <c r="C33" s="12">
        <v>10</v>
      </c>
      <c r="D33" s="8">
        <v>2.54</v>
      </c>
      <c r="E33" s="12">
        <v>6</v>
      </c>
      <c r="F33" s="8">
        <v>2.41</v>
      </c>
      <c r="G33" s="12">
        <v>4</v>
      </c>
      <c r="H33" s="8">
        <v>3.17</v>
      </c>
      <c r="I33" s="12">
        <v>0</v>
      </c>
    </row>
    <row r="34" spans="2:9" ht="15" customHeight="1" x14ac:dyDescent="0.2">
      <c r="B34" t="s">
        <v>70</v>
      </c>
      <c r="C34" s="12">
        <v>9</v>
      </c>
      <c r="D34" s="8">
        <v>2.29</v>
      </c>
      <c r="E34" s="12">
        <v>6</v>
      </c>
      <c r="F34" s="8">
        <v>2.41</v>
      </c>
      <c r="G34" s="12">
        <v>3</v>
      </c>
      <c r="H34" s="8">
        <v>2.38</v>
      </c>
      <c r="I34" s="12">
        <v>0</v>
      </c>
    </row>
    <row r="35" spans="2:9" ht="15" customHeight="1" x14ac:dyDescent="0.2">
      <c r="B35" t="s">
        <v>79</v>
      </c>
      <c r="C35" s="12">
        <v>9</v>
      </c>
      <c r="D35" s="8">
        <v>2.29</v>
      </c>
      <c r="E35" s="12">
        <v>2</v>
      </c>
      <c r="F35" s="8">
        <v>0.8</v>
      </c>
      <c r="G35" s="12">
        <v>6</v>
      </c>
      <c r="H35" s="8">
        <v>4.76</v>
      </c>
      <c r="I35" s="12">
        <v>0</v>
      </c>
    </row>
    <row r="36" spans="2:9" ht="15" customHeight="1" x14ac:dyDescent="0.2">
      <c r="B36" t="s">
        <v>86</v>
      </c>
      <c r="C36" s="12">
        <v>8</v>
      </c>
      <c r="D36" s="8">
        <v>2.04</v>
      </c>
      <c r="E36" s="12">
        <v>6</v>
      </c>
      <c r="F36" s="8">
        <v>2.41</v>
      </c>
      <c r="G36" s="12">
        <v>2</v>
      </c>
      <c r="H36" s="8">
        <v>1.59</v>
      </c>
      <c r="I36" s="12">
        <v>0</v>
      </c>
    </row>
    <row r="37" spans="2:9" ht="15" customHeight="1" x14ac:dyDescent="0.2">
      <c r="B37" t="s">
        <v>71</v>
      </c>
      <c r="C37" s="12">
        <v>7</v>
      </c>
      <c r="D37" s="8">
        <v>1.78</v>
      </c>
      <c r="E37" s="12">
        <v>3</v>
      </c>
      <c r="F37" s="8">
        <v>1.2</v>
      </c>
      <c r="G37" s="12">
        <v>4</v>
      </c>
      <c r="H37" s="8">
        <v>3.17</v>
      </c>
      <c r="I37" s="12">
        <v>0</v>
      </c>
    </row>
    <row r="38" spans="2:9" ht="15" customHeight="1" x14ac:dyDescent="0.2">
      <c r="B38" t="s">
        <v>80</v>
      </c>
      <c r="C38" s="12">
        <v>6</v>
      </c>
      <c r="D38" s="8">
        <v>1.53</v>
      </c>
      <c r="E38" s="12">
        <v>4</v>
      </c>
      <c r="F38" s="8">
        <v>1.61</v>
      </c>
      <c r="G38" s="12">
        <v>2</v>
      </c>
      <c r="H38" s="8">
        <v>1.59</v>
      </c>
      <c r="I38" s="12">
        <v>0</v>
      </c>
    </row>
    <row r="39" spans="2:9" ht="15" customHeight="1" x14ac:dyDescent="0.2">
      <c r="B39" t="s">
        <v>104</v>
      </c>
      <c r="C39" s="12">
        <v>5</v>
      </c>
      <c r="D39" s="8">
        <v>1.27</v>
      </c>
      <c r="E39" s="12">
        <v>2</v>
      </c>
      <c r="F39" s="8">
        <v>0.8</v>
      </c>
      <c r="G39" s="12">
        <v>3</v>
      </c>
      <c r="H39" s="8">
        <v>2.38</v>
      </c>
      <c r="I39" s="12">
        <v>0</v>
      </c>
    </row>
    <row r="40" spans="2:9" ht="15" customHeight="1" x14ac:dyDescent="0.2">
      <c r="B40" t="s">
        <v>87</v>
      </c>
      <c r="C40" s="12">
        <v>5</v>
      </c>
      <c r="D40" s="8">
        <v>1.27</v>
      </c>
      <c r="E40" s="12">
        <v>2</v>
      </c>
      <c r="F40" s="8">
        <v>0.8</v>
      </c>
      <c r="G40" s="12">
        <v>3</v>
      </c>
      <c r="H40" s="8">
        <v>2.38</v>
      </c>
      <c r="I40" s="12">
        <v>0</v>
      </c>
    </row>
    <row r="41" spans="2:9" ht="15" customHeight="1" x14ac:dyDescent="0.2">
      <c r="B41" t="s">
        <v>72</v>
      </c>
      <c r="C41" s="12">
        <v>5</v>
      </c>
      <c r="D41" s="8">
        <v>1.27</v>
      </c>
      <c r="E41" s="12">
        <v>2</v>
      </c>
      <c r="F41" s="8">
        <v>0.8</v>
      </c>
      <c r="G41" s="12">
        <v>3</v>
      </c>
      <c r="H41" s="8">
        <v>2.38</v>
      </c>
      <c r="I41" s="12">
        <v>0</v>
      </c>
    </row>
    <row r="42" spans="2:9" ht="15" customHeight="1" x14ac:dyDescent="0.2">
      <c r="B42" t="s">
        <v>77</v>
      </c>
      <c r="C42" s="12">
        <v>5</v>
      </c>
      <c r="D42" s="8">
        <v>1.27</v>
      </c>
      <c r="E42" s="12">
        <v>0</v>
      </c>
      <c r="F42" s="8">
        <v>0</v>
      </c>
      <c r="G42" s="12">
        <v>4</v>
      </c>
      <c r="H42" s="8">
        <v>3.17</v>
      </c>
      <c r="I42" s="12">
        <v>0</v>
      </c>
    </row>
    <row r="43" spans="2:9" ht="15" customHeight="1" x14ac:dyDescent="0.2">
      <c r="B43" t="s">
        <v>112</v>
      </c>
      <c r="C43" s="12">
        <v>5</v>
      </c>
      <c r="D43" s="8">
        <v>1.27</v>
      </c>
      <c r="E43" s="12">
        <v>0</v>
      </c>
      <c r="F43" s="8">
        <v>0</v>
      </c>
      <c r="G43" s="12">
        <v>5</v>
      </c>
      <c r="H43" s="8">
        <v>3.97</v>
      </c>
      <c r="I43" s="12">
        <v>0</v>
      </c>
    </row>
    <row r="44" spans="2:9" ht="15" customHeight="1" x14ac:dyDescent="0.2">
      <c r="B44" t="s">
        <v>93</v>
      </c>
      <c r="C44" s="12">
        <v>5</v>
      </c>
      <c r="D44" s="8">
        <v>1.27</v>
      </c>
      <c r="E44" s="12">
        <v>1</v>
      </c>
      <c r="F44" s="8">
        <v>0.4</v>
      </c>
      <c r="G44" s="12">
        <v>3</v>
      </c>
      <c r="H44" s="8">
        <v>2.38</v>
      </c>
      <c r="I44" s="12">
        <v>0</v>
      </c>
    </row>
    <row r="47" spans="2:9" ht="33" customHeight="1" x14ac:dyDescent="0.2">
      <c r="B47" t="s">
        <v>243</v>
      </c>
      <c r="C47" s="10" t="s">
        <v>60</v>
      </c>
      <c r="D47" s="10" t="s">
        <v>61</v>
      </c>
      <c r="E47" s="10" t="s">
        <v>62</v>
      </c>
      <c r="F47" s="10" t="s">
        <v>63</v>
      </c>
      <c r="G47" s="10" t="s">
        <v>64</v>
      </c>
      <c r="H47" s="10" t="s">
        <v>65</v>
      </c>
      <c r="I47" s="10" t="s">
        <v>66</v>
      </c>
    </row>
    <row r="48" spans="2:9" ht="15" customHeight="1" x14ac:dyDescent="0.2">
      <c r="B48" t="s">
        <v>140</v>
      </c>
      <c r="C48" s="12">
        <v>38</v>
      </c>
      <c r="D48" s="8">
        <v>9.67</v>
      </c>
      <c r="E48" s="12">
        <v>36</v>
      </c>
      <c r="F48" s="8">
        <v>14.46</v>
      </c>
      <c r="G48" s="12">
        <v>2</v>
      </c>
      <c r="H48" s="8">
        <v>1.59</v>
      </c>
      <c r="I48" s="12">
        <v>0</v>
      </c>
    </row>
    <row r="49" spans="2:9" ht="15" customHeight="1" x14ac:dyDescent="0.2">
      <c r="B49" t="s">
        <v>130</v>
      </c>
      <c r="C49" s="12">
        <v>22</v>
      </c>
      <c r="D49" s="8">
        <v>5.6</v>
      </c>
      <c r="E49" s="12">
        <v>17</v>
      </c>
      <c r="F49" s="8">
        <v>6.83</v>
      </c>
      <c r="G49" s="12">
        <v>5</v>
      </c>
      <c r="H49" s="8">
        <v>3.97</v>
      </c>
      <c r="I49" s="12">
        <v>0</v>
      </c>
    </row>
    <row r="50" spans="2:9" ht="15" customHeight="1" x14ac:dyDescent="0.2">
      <c r="B50" t="s">
        <v>124</v>
      </c>
      <c r="C50" s="12">
        <v>15</v>
      </c>
      <c r="D50" s="8">
        <v>3.82</v>
      </c>
      <c r="E50" s="12">
        <v>3</v>
      </c>
      <c r="F50" s="8">
        <v>1.2</v>
      </c>
      <c r="G50" s="12">
        <v>12</v>
      </c>
      <c r="H50" s="8">
        <v>9.52</v>
      </c>
      <c r="I50" s="12">
        <v>0</v>
      </c>
    </row>
    <row r="51" spans="2:9" ht="15" customHeight="1" x14ac:dyDescent="0.2">
      <c r="B51" t="s">
        <v>139</v>
      </c>
      <c r="C51" s="12">
        <v>15</v>
      </c>
      <c r="D51" s="8">
        <v>3.82</v>
      </c>
      <c r="E51" s="12">
        <v>15</v>
      </c>
      <c r="F51" s="8">
        <v>6.02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13</v>
      </c>
      <c r="D52" s="8">
        <v>3.31</v>
      </c>
      <c r="E52" s="12">
        <v>13</v>
      </c>
      <c r="F52" s="8">
        <v>5.22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165</v>
      </c>
      <c r="C53" s="12">
        <v>13</v>
      </c>
      <c r="D53" s="8">
        <v>3.31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127</v>
      </c>
      <c r="C54" s="12">
        <v>11</v>
      </c>
      <c r="D54" s="8">
        <v>2.8</v>
      </c>
      <c r="E54" s="12">
        <v>8</v>
      </c>
      <c r="F54" s="8">
        <v>3.21</v>
      </c>
      <c r="G54" s="12">
        <v>3</v>
      </c>
      <c r="H54" s="8">
        <v>2.38</v>
      </c>
      <c r="I54" s="12">
        <v>0</v>
      </c>
    </row>
    <row r="55" spans="2:9" ht="15" customHeight="1" x14ac:dyDescent="0.2">
      <c r="B55" t="s">
        <v>133</v>
      </c>
      <c r="C55" s="12">
        <v>11</v>
      </c>
      <c r="D55" s="8">
        <v>2.8</v>
      </c>
      <c r="E55" s="12">
        <v>9</v>
      </c>
      <c r="F55" s="8">
        <v>3.61</v>
      </c>
      <c r="G55" s="12">
        <v>2</v>
      </c>
      <c r="H55" s="8">
        <v>1.59</v>
      </c>
      <c r="I55" s="12">
        <v>0</v>
      </c>
    </row>
    <row r="56" spans="2:9" ht="15" customHeight="1" x14ac:dyDescent="0.2">
      <c r="B56" t="s">
        <v>128</v>
      </c>
      <c r="C56" s="12">
        <v>10</v>
      </c>
      <c r="D56" s="8">
        <v>2.54</v>
      </c>
      <c r="E56" s="12">
        <v>8</v>
      </c>
      <c r="F56" s="8">
        <v>3.21</v>
      </c>
      <c r="G56" s="12">
        <v>2</v>
      </c>
      <c r="H56" s="8">
        <v>1.59</v>
      </c>
      <c r="I56" s="12">
        <v>0</v>
      </c>
    </row>
    <row r="57" spans="2:9" ht="15" customHeight="1" x14ac:dyDescent="0.2">
      <c r="B57" t="s">
        <v>129</v>
      </c>
      <c r="C57" s="12">
        <v>10</v>
      </c>
      <c r="D57" s="8">
        <v>2.54</v>
      </c>
      <c r="E57" s="12">
        <v>7</v>
      </c>
      <c r="F57" s="8">
        <v>2.81</v>
      </c>
      <c r="G57" s="12">
        <v>2</v>
      </c>
      <c r="H57" s="8">
        <v>1.59</v>
      </c>
      <c r="I57" s="12">
        <v>1</v>
      </c>
    </row>
    <row r="58" spans="2:9" ht="15" customHeight="1" x14ac:dyDescent="0.2">
      <c r="B58" t="s">
        <v>142</v>
      </c>
      <c r="C58" s="12">
        <v>10</v>
      </c>
      <c r="D58" s="8">
        <v>2.54</v>
      </c>
      <c r="E58" s="12">
        <v>9</v>
      </c>
      <c r="F58" s="8">
        <v>3.61</v>
      </c>
      <c r="G58" s="12">
        <v>1</v>
      </c>
      <c r="H58" s="8">
        <v>0.79</v>
      </c>
      <c r="I58" s="12">
        <v>0</v>
      </c>
    </row>
    <row r="59" spans="2:9" ht="15" customHeight="1" x14ac:dyDescent="0.2">
      <c r="B59" t="s">
        <v>147</v>
      </c>
      <c r="C59" s="12">
        <v>8</v>
      </c>
      <c r="D59" s="8">
        <v>2.04</v>
      </c>
      <c r="E59" s="12">
        <v>4</v>
      </c>
      <c r="F59" s="8">
        <v>1.61</v>
      </c>
      <c r="G59" s="12">
        <v>4</v>
      </c>
      <c r="H59" s="8">
        <v>3.17</v>
      </c>
      <c r="I59" s="12">
        <v>0</v>
      </c>
    </row>
    <row r="60" spans="2:9" ht="15" customHeight="1" x14ac:dyDescent="0.2">
      <c r="B60" t="s">
        <v>132</v>
      </c>
      <c r="C60" s="12">
        <v>8</v>
      </c>
      <c r="D60" s="8">
        <v>2.04</v>
      </c>
      <c r="E60" s="12">
        <v>4</v>
      </c>
      <c r="F60" s="8">
        <v>1.61</v>
      </c>
      <c r="G60" s="12">
        <v>4</v>
      </c>
      <c r="H60" s="8">
        <v>3.17</v>
      </c>
      <c r="I60" s="12">
        <v>0</v>
      </c>
    </row>
    <row r="61" spans="2:9" ht="15" customHeight="1" x14ac:dyDescent="0.2">
      <c r="B61" t="s">
        <v>138</v>
      </c>
      <c r="C61" s="12">
        <v>8</v>
      </c>
      <c r="D61" s="8">
        <v>2.04</v>
      </c>
      <c r="E61" s="12">
        <v>8</v>
      </c>
      <c r="F61" s="8">
        <v>3.21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143</v>
      </c>
      <c r="C62" s="12">
        <v>8</v>
      </c>
      <c r="D62" s="8">
        <v>2.04</v>
      </c>
      <c r="E62" s="12">
        <v>6</v>
      </c>
      <c r="F62" s="8">
        <v>2.41</v>
      </c>
      <c r="G62" s="12">
        <v>2</v>
      </c>
      <c r="H62" s="8">
        <v>1.59</v>
      </c>
      <c r="I62" s="12">
        <v>0</v>
      </c>
    </row>
    <row r="63" spans="2:9" ht="15" customHeight="1" x14ac:dyDescent="0.2">
      <c r="B63" t="s">
        <v>157</v>
      </c>
      <c r="C63" s="12">
        <v>7</v>
      </c>
      <c r="D63" s="8">
        <v>1.78</v>
      </c>
      <c r="E63" s="12">
        <v>5</v>
      </c>
      <c r="F63" s="8">
        <v>2.0099999999999998</v>
      </c>
      <c r="G63" s="12">
        <v>2</v>
      </c>
      <c r="H63" s="8">
        <v>1.59</v>
      </c>
      <c r="I63" s="12">
        <v>0</v>
      </c>
    </row>
    <row r="64" spans="2:9" ht="15" customHeight="1" x14ac:dyDescent="0.2">
      <c r="B64" t="s">
        <v>126</v>
      </c>
      <c r="C64" s="12">
        <v>6</v>
      </c>
      <c r="D64" s="8">
        <v>1.53</v>
      </c>
      <c r="E64" s="12">
        <v>4</v>
      </c>
      <c r="F64" s="8">
        <v>1.61</v>
      </c>
      <c r="G64" s="12">
        <v>2</v>
      </c>
      <c r="H64" s="8">
        <v>1.59</v>
      </c>
      <c r="I64" s="12">
        <v>0</v>
      </c>
    </row>
    <row r="65" spans="2:9" ht="15" customHeight="1" x14ac:dyDescent="0.2">
      <c r="B65" t="s">
        <v>125</v>
      </c>
      <c r="C65" s="12">
        <v>5</v>
      </c>
      <c r="D65" s="8">
        <v>1.27</v>
      </c>
      <c r="E65" s="12">
        <v>2</v>
      </c>
      <c r="F65" s="8">
        <v>0.8</v>
      </c>
      <c r="G65" s="12">
        <v>3</v>
      </c>
      <c r="H65" s="8">
        <v>2.38</v>
      </c>
      <c r="I65" s="12">
        <v>0</v>
      </c>
    </row>
    <row r="66" spans="2:9" ht="15" customHeight="1" x14ac:dyDescent="0.2">
      <c r="B66" t="s">
        <v>174</v>
      </c>
      <c r="C66" s="12">
        <v>5</v>
      </c>
      <c r="D66" s="8">
        <v>1.27</v>
      </c>
      <c r="E66" s="12">
        <v>5</v>
      </c>
      <c r="F66" s="8">
        <v>2.0099999999999998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206</v>
      </c>
      <c r="C67" s="12">
        <v>5</v>
      </c>
      <c r="D67" s="8">
        <v>1.27</v>
      </c>
      <c r="E67" s="12">
        <v>0</v>
      </c>
      <c r="F67" s="8">
        <v>0</v>
      </c>
      <c r="G67" s="12">
        <v>5</v>
      </c>
      <c r="H67" s="8">
        <v>3.97</v>
      </c>
      <c r="I67" s="12">
        <v>0</v>
      </c>
    </row>
    <row r="68" spans="2:9" ht="15" customHeight="1" x14ac:dyDescent="0.2">
      <c r="B68" t="s">
        <v>158</v>
      </c>
      <c r="C68" s="12">
        <v>5</v>
      </c>
      <c r="D68" s="8">
        <v>1.27</v>
      </c>
      <c r="E68" s="12">
        <v>3</v>
      </c>
      <c r="F68" s="8">
        <v>1.2</v>
      </c>
      <c r="G68" s="12">
        <v>2</v>
      </c>
      <c r="H68" s="8">
        <v>1.59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5AA5-C5E7-4FBE-9D95-06FFDE9B98A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28</v>
      </c>
      <c r="D6" s="8">
        <v>11.11</v>
      </c>
      <c r="E6" s="12">
        <v>15</v>
      </c>
      <c r="F6" s="8">
        <v>8.8800000000000008</v>
      </c>
      <c r="G6" s="12">
        <v>13</v>
      </c>
      <c r="H6" s="8">
        <v>16.88</v>
      </c>
      <c r="I6" s="12">
        <v>0</v>
      </c>
    </row>
    <row r="7" spans="2:9" ht="15" customHeight="1" x14ac:dyDescent="0.2">
      <c r="B7" t="s">
        <v>46</v>
      </c>
      <c r="C7" s="12">
        <v>13</v>
      </c>
      <c r="D7" s="8">
        <v>5.16</v>
      </c>
      <c r="E7" s="12">
        <v>8</v>
      </c>
      <c r="F7" s="8">
        <v>4.7300000000000004</v>
      </c>
      <c r="G7" s="12">
        <v>5</v>
      </c>
      <c r="H7" s="8">
        <v>6.49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0.79</v>
      </c>
      <c r="E9" s="12">
        <v>0</v>
      </c>
      <c r="F9" s="8">
        <v>0</v>
      </c>
      <c r="G9" s="12">
        <v>2</v>
      </c>
      <c r="H9" s="8">
        <v>2.6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0.79</v>
      </c>
      <c r="E10" s="12">
        <v>1</v>
      </c>
      <c r="F10" s="8">
        <v>0.59</v>
      </c>
      <c r="G10" s="12">
        <v>1</v>
      </c>
      <c r="H10" s="8">
        <v>1.3</v>
      </c>
      <c r="I10" s="12">
        <v>0</v>
      </c>
    </row>
    <row r="11" spans="2:9" ht="15" customHeight="1" x14ac:dyDescent="0.2">
      <c r="B11" t="s">
        <v>50</v>
      </c>
      <c r="C11" s="12">
        <v>70</v>
      </c>
      <c r="D11" s="8">
        <v>27.78</v>
      </c>
      <c r="E11" s="12">
        <v>39</v>
      </c>
      <c r="F11" s="8">
        <v>23.08</v>
      </c>
      <c r="G11" s="12">
        <v>30</v>
      </c>
      <c r="H11" s="8">
        <v>38.96</v>
      </c>
      <c r="I11" s="12">
        <v>1</v>
      </c>
    </row>
    <row r="12" spans="2:9" ht="15" customHeight="1" x14ac:dyDescent="0.2">
      <c r="B12" t="s">
        <v>51</v>
      </c>
      <c r="C12" s="12">
        <v>1</v>
      </c>
      <c r="D12" s="8">
        <v>0.4</v>
      </c>
      <c r="E12" s="12">
        <v>1</v>
      </c>
      <c r="F12" s="8">
        <v>0.59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8</v>
      </c>
      <c r="D13" s="8">
        <v>3.17</v>
      </c>
      <c r="E13" s="12">
        <v>0</v>
      </c>
      <c r="F13" s="8">
        <v>0</v>
      </c>
      <c r="G13" s="12">
        <v>8</v>
      </c>
      <c r="H13" s="8">
        <v>10.39</v>
      </c>
      <c r="I13" s="12">
        <v>0</v>
      </c>
    </row>
    <row r="14" spans="2:9" ht="15" customHeight="1" x14ac:dyDescent="0.2">
      <c r="B14" t="s">
        <v>53</v>
      </c>
      <c r="C14" s="12">
        <v>14</v>
      </c>
      <c r="D14" s="8">
        <v>5.56</v>
      </c>
      <c r="E14" s="12">
        <v>9</v>
      </c>
      <c r="F14" s="8">
        <v>5.33</v>
      </c>
      <c r="G14" s="12">
        <v>5</v>
      </c>
      <c r="H14" s="8">
        <v>6.49</v>
      </c>
      <c r="I14" s="12">
        <v>0</v>
      </c>
    </row>
    <row r="15" spans="2:9" ht="15" customHeight="1" x14ac:dyDescent="0.2">
      <c r="B15" t="s">
        <v>54</v>
      </c>
      <c r="C15" s="12">
        <v>45</v>
      </c>
      <c r="D15" s="8">
        <v>17.86</v>
      </c>
      <c r="E15" s="12">
        <v>41</v>
      </c>
      <c r="F15" s="8">
        <v>24.26</v>
      </c>
      <c r="G15" s="12">
        <v>4</v>
      </c>
      <c r="H15" s="8">
        <v>5.19</v>
      </c>
      <c r="I15" s="12">
        <v>0</v>
      </c>
    </row>
    <row r="16" spans="2:9" ht="15" customHeight="1" x14ac:dyDescent="0.2">
      <c r="B16" t="s">
        <v>55</v>
      </c>
      <c r="C16" s="12">
        <v>32</v>
      </c>
      <c r="D16" s="8">
        <v>12.7</v>
      </c>
      <c r="E16" s="12">
        <v>29</v>
      </c>
      <c r="F16" s="8">
        <v>17.16</v>
      </c>
      <c r="G16" s="12">
        <v>2</v>
      </c>
      <c r="H16" s="8">
        <v>2.6</v>
      </c>
      <c r="I16" s="12">
        <v>0</v>
      </c>
    </row>
    <row r="17" spans="2:9" ht="15" customHeight="1" x14ac:dyDescent="0.2">
      <c r="B17" t="s">
        <v>56</v>
      </c>
      <c r="C17" s="12">
        <v>8</v>
      </c>
      <c r="D17" s="8">
        <v>3.17</v>
      </c>
      <c r="E17" s="12">
        <v>6</v>
      </c>
      <c r="F17" s="8">
        <v>3.55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11</v>
      </c>
      <c r="D18" s="8">
        <v>4.37</v>
      </c>
      <c r="E18" s="12">
        <v>8</v>
      </c>
      <c r="F18" s="8">
        <v>4.7300000000000004</v>
      </c>
      <c r="G18" s="12">
        <v>3</v>
      </c>
      <c r="H18" s="8">
        <v>3.9</v>
      </c>
      <c r="I18" s="12">
        <v>0</v>
      </c>
    </row>
    <row r="19" spans="2:9" ht="15" customHeight="1" x14ac:dyDescent="0.2">
      <c r="B19" t="s">
        <v>58</v>
      </c>
      <c r="C19" s="12">
        <v>18</v>
      </c>
      <c r="D19" s="8">
        <v>7.14</v>
      </c>
      <c r="E19" s="12">
        <v>12</v>
      </c>
      <c r="F19" s="8">
        <v>7.1</v>
      </c>
      <c r="G19" s="12">
        <v>4</v>
      </c>
      <c r="H19" s="8">
        <v>5.19</v>
      </c>
      <c r="I19" s="12">
        <v>0</v>
      </c>
    </row>
    <row r="20" spans="2:9" ht="15" customHeight="1" x14ac:dyDescent="0.2">
      <c r="B20" s="9" t="s">
        <v>241</v>
      </c>
      <c r="C20" s="12">
        <f>SUM(LTBL_46501[総数／事業所数])</f>
        <v>252</v>
      </c>
      <c r="E20" s="12">
        <f>SUBTOTAL(109,LTBL_46501[個人／事業所数])</f>
        <v>169</v>
      </c>
      <c r="G20" s="12">
        <f>SUBTOTAL(109,LTBL_46501[法人／事業所数])</f>
        <v>77</v>
      </c>
      <c r="I20" s="12">
        <f>SUBTOTAL(109,LTBL_46501[法人以外の団体／事業所数])</f>
        <v>1</v>
      </c>
    </row>
    <row r="21" spans="2:9" ht="15" customHeight="1" x14ac:dyDescent="0.2">
      <c r="E21" s="11">
        <f>LTBL_46501[[#Totals],[個人／事業所数]]/LTBL_46501[[#Totals],[総数／事業所数]]</f>
        <v>0.67063492063492058</v>
      </c>
      <c r="G21" s="11">
        <f>LTBL_46501[[#Totals],[法人／事業所数]]/LTBL_46501[[#Totals],[総数／事業所数]]</f>
        <v>0.30555555555555558</v>
      </c>
      <c r="I21" s="11">
        <f>LTBL_46501[[#Totals],[法人以外の団体／事業所数]]/LTBL_46501[[#Totals],[総数／事業所数]]</f>
        <v>3.968253968253968E-3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36</v>
      </c>
      <c r="D24" s="8">
        <v>14.29</v>
      </c>
      <c r="E24" s="12">
        <v>33</v>
      </c>
      <c r="F24" s="8">
        <v>19.53</v>
      </c>
      <c r="G24" s="12">
        <v>3</v>
      </c>
      <c r="H24" s="8">
        <v>3.9</v>
      </c>
      <c r="I24" s="12">
        <v>0</v>
      </c>
    </row>
    <row r="25" spans="2:9" ht="15" customHeight="1" x14ac:dyDescent="0.2">
      <c r="B25" t="s">
        <v>82</v>
      </c>
      <c r="C25" s="12">
        <v>25</v>
      </c>
      <c r="D25" s="8">
        <v>9.92</v>
      </c>
      <c r="E25" s="12">
        <v>24</v>
      </c>
      <c r="F25" s="8">
        <v>14.2</v>
      </c>
      <c r="G25" s="12">
        <v>1</v>
      </c>
      <c r="H25" s="8">
        <v>1.3</v>
      </c>
      <c r="I25" s="12">
        <v>0</v>
      </c>
    </row>
    <row r="26" spans="2:9" ht="15" customHeight="1" x14ac:dyDescent="0.2">
      <c r="B26" t="s">
        <v>75</v>
      </c>
      <c r="C26" s="12">
        <v>24</v>
      </c>
      <c r="D26" s="8">
        <v>9.52</v>
      </c>
      <c r="E26" s="12">
        <v>10</v>
      </c>
      <c r="F26" s="8">
        <v>5.92</v>
      </c>
      <c r="G26" s="12">
        <v>14</v>
      </c>
      <c r="H26" s="8">
        <v>18.18</v>
      </c>
      <c r="I26" s="12">
        <v>0</v>
      </c>
    </row>
    <row r="27" spans="2:9" ht="15" customHeight="1" x14ac:dyDescent="0.2">
      <c r="B27" t="s">
        <v>73</v>
      </c>
      <c r="C27" s="12">
        <v>23</v>
      </c>
      <c r="D27" s="8">
        <v>9.1300000000000008</v>
      </c>
      <c r="E27" s="12">
        <v>20</v>
      </c>
      <c r="F27" s="8">
        <v>11.83</v>
      </c>
      <c r="G27" s="12">
        <v>2</v>
      </c>
      <c r="H27" s="8">
        <v>2.6</v>
      </c>
      <c r="I27" s="12">
        <v>1</v>
      </c>
    </row>
    <row r="28" spans="2:9" ht="15" customHeight="1" x14ac:dyDescent="0.2">
      <c r="B28" t="s">
        <v>67</v>
      </c>
      <c r="C28" s="12">
        <v>11</v>
      </c>
      <c r="D28" s="8">
        <v>4.37</v>
      </c>
      <c r="E28" s="12">
        <v>2</v>
      </c>
      <c r="F28" s="8">
        <v>1.18</v>
      </c>
      <c r="G28" s="12">
        <v>9</v>
      </c>
      <c r="H28" s="8">
        <v>11.69</v>
      </c>
      <c r="I28" s="12">
        <v>0</v>
      </c>
    </row>
    <row r="29" spans="2:9" ht="15" customHeight="1" x14ac:dyDescent="0.2">
      <c r="B29" t="s">
        <v>79</v>
      </c>
      <c r="C29" s="12">
        <v>11</v>
      </c>
      <c r="D29" s="8">
        <v>4.37</v>
      </c>
      <c r="E29" s="12">
        <v>7</v>
      </c>
      <c r="F29" s="8">
        <v>4.1399999999999997</v>
      </c>
      <c r="G29" s="12">
        <v>4</v>
      </c>
      <c r="H29" s="8">
        <v>5.19</v>
      </c>
      <c r="I29" s="12">
        <v>0</v>
      </c>
    </row>
    <row r="30" spans="2:9" ht="15" customHeight="1" x14ac:dyDescent="0.2">
      <c r="B30" t="s">
        <v>68</v>
      </c>
      <c r="C30" s="12">
        <v>10</v>
      </c>
      <c r="D30" s="8">
        <v>3.97</v>
      </c>
      <c r="E30" s="12">
        <v>9</v>
      </c>
      <c r="F30" s="8">
        <v>5.33</v>
      </c>
      <c r="G30" s="12">
        <v>1</v>
      </c>
      <c r="H30" s="8">
        <v>1.3</v>
      </c>
      <c r="I30" s="12">
        <v>0</v>
      </c>
    </row>
    <row r="31" spans="2:9" ht="15" customHeight="1" x14ac:dyDescent="0.2">
      <c r="B31" t="s">
        <v>74</v>
      </c>
      <c r="C31" s="12">
        <v>8</v>
      </c>
      <c r="D31" s="8">
        <v>3.17</v>
      </c>
      <c r="E31" s="12">
        <v>4</v>
      </c>
      <c r="F31" s="8">
        <v>2.37</v>
      </c>
      <c r="G31" s="12">
        <v>4</v>
      </c>
      <c r="H31" s="8">
        <v>5.19</v>
      </c>
      <c r="I31" s="12">
        <v>0</v>
      </c>
    </row>
    <row r="32" spans="2:9" ht="15" customHeight="1" x14ac:dyDescent="0.2">
      <c r="B32" t="s">
        <v>80</v>
      </c>
      <c r="C32" s="12">
        <v>8</v>
      </c>
      <c r="D32" s="8">
        <v>3.17</v>
      </c>
      <c r="E32" s="12">
        <v>7</v>
      </c>
      <c r="F32" s="8">
        <v>4.1399999999999997</v>
      </c>
      <c r="G32" s="12">
        <v>1</v>
      </c>
      <c r="H32" s="8">
        <v>1.3</v>
      </c>
      <c r="I32" s="12">
        <v>0</v>
      </c>
    </row>
    <row r="33" spans="2:9" ht="15" customHeight="1" x14ac:dyDescent="0.2">
      <c r="B33" t="s">
        <v>83</v>
      </c>
      <c r="C33" s="12">
        <v>8</v>
      </c>
      <c r="D33" s="8">
        <v>3.17</v>
      </c>
      <c r="E33" s="12">
        <v>6</v>
      </c>
      <c r="F33" s="8">
        <v>3.55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84</v>
      </c>
      <c r="C34" s="12">
        <v>8</v>
      </c>
      <c r="D34" s="8">
        <v>3.17</v>
      </c>
      <c r="E34" s="12">
        <v>8</v>
      </c>
      <c r="F34" s="8">
        <v>4.7300000000000004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69</v>
      </c>
      <c r="C35" s="12">
        <v>7</v>
      </c>
      <c r="D35" s="8">
        <v>2.78</v>
      </c>
      <c r="E35" s="12">
        <v>4</v>
      </c>
      <c r="F35" s="8">
        <v>2.37</v>
      </c>
      <c r="G35" s="12">
        <v>3</v>
      </c>
      <c r="H35" s="8">
        <v>3.9</v>
      </c>
      <c r="I35" s="12">
        <v>0</v>
      </c>
    </row>
    <row r="36" spans="2:9" ht="15" customHeight="1" x14ac:dyDescent="0.2">
      <c r="B36" t="s">
        <v>70</v>
      </c>
      <c r="C36" s="12">
        <v>7</v>
      </c>
      <c r="D36" s="8">
        <v>2.78</v>
      </c>
      <c r="E36" s="12">
        <v>4</v>
      </c>
      <c r="F36" s="8">
        <v>2.37</v>
      </c>
      <c r="G36" s="12">
        <v>3</v>
      </c>
      <c r="H36" s="8">
        <v>3.9</v>
      </c>
      <c r="I36" s="12">
        <v>0</v>
      </c>
    </row>
    <row r="37" spans="2:9" ht="15" customHeight="1" x14ac:dyDescent="0.2">
      <c r="B37" t="s">
        <v>86</v>
      </c>
      <c r="C37" s="12">
        <v>7</v>
      </c>
      <c r="D37" s="8">
        <v>2.78</v>
      </c>
      <c r="E37" s="12">
        <v>7</v>
      </c>
      <c r="F37" s="8">
        <v>4.1399999999999997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113</v>
      </c>
      <c r="C38" s="12">
        <v>6</v>
      </c>
      <c r="D38" s="8">
        <v>2.38</v>
      </c>
      <c r="E38" s="12">
        <v>0</v>
      </c>
      <c r="F38" s="8">
        <v>0</v>
      </c>
      <c r="G38" s="12">
        <v>6</v>
      </c>
      <c r="H38" s="8">
        <v>7.79</v>
      </c>
      <c r="I38" s="12">
        <v>0</v>
      </c>
    </row>
    <row r="39" spans="2:9" ht="15" customHeight="1" x14ac:dyDescent="0.2">
      <c r="B39" t="s">
        <v>91</v>
      </c>
      <c r="C39" s="12">
        <v>5</v>
      </c>
      <c r="D39" s="8">
        <v>1.98</v>
      </c>
      <c r="E39" s="12">
        <v>3</v>
      </c>
      <c r="F39" s="8">
        <v>1.78</v>
      </c>
      <c r="G39" s="12">
        <v>1</v>
      </c>
      <c r="H39" s="8">
        <v>1.3</v>
      </c>
      <c r="I39" s="12">
        <v>0</v>
      </c>
    </row>
    <row r="40" spans="2:9" ht="15" customHeight="1" x14ac:dyDescent="0.2">
      <c r="B40" t="s">
        <v>99</v>
      </c>
      <c r="C40" s="12">
        <v>4</v>
      </c>
      <c r="D40" s="8">
        <v>1.59</v>
      </c>
      <c r="E40" s="12">
        <v>3</v>
      </c>
      <c r="F40" s="8">
        <v>1.78</v>
      </c>
      <c r="G40" s="12">
        <v>1</v>
      </c>
      <c r="H40" s="8">
        <v>1.3</v>
      </c>
      <c r="I40" s="12">
        <v>0</v>
      </c>
    </row>
    <row r="41" spans="2:9" ht="15" customHeight="1" x14ac:dyDescent="0.2">
      <c r="B41" t="s">
        <v>90</v>
      </c>
      <c r="C41" s="12">
        <v>3</v>
      </c>
      <c r="D41" s="8">
        <v>1.19</v>
      </c>
      <c r="E41" s="12">
        <v>2</v>
      </c>
      <c r="F41" s="8">
        <v>1.18</v>
      </c>
      <c r="G41" s="12">
        <v>1</v>
      </c>
      <c r="H41" s="8">
        <v>1.3</v>
      </c>
      <c r="I41" s="12">
        <v>0</v>
      </c>
    </row>
    <row r="42" spans="2:9" ht="15" customHeight="1" x14ac:dyDescent="0.2">
      <c r="B42" t="s">
        <v>71</v>
      </c>
      <c r="C42" s="12">
        <v>3</v>
      </c>
      <c r="D42" s="8">
        <v>1.19</v>
      </c>
      <c r="E42" s="12">
        <v>2</v>
      </c>
      <c r="F42" s="8">
        <v>1.18</v>
      </c>
      <c r="G42" s="12">
        <v>1</v>
      </c>
      <c r="H42" s="8">
        <v>1.3</v>
      </c>
      <c r="I42" s="12">
        <v>0</v>
      </c>
    </row>
    <row r="43" spans="2:9" ht="15" customHeight="1" x14ac:dyDescent="0.2">
      <c r="B43" t="s">
        <v>87</v>
      </c>
      <c r="C43" s="12">
        <v>3</v>
      </c>
      <c r="D43" s="8">
        <v>1.19</v>
      </c>
      <c r="E43" s="12">
        <v>1</v>
      </c>
      <c r="F43" s="8">
        <v>0.59</v>
      </c>
      <c r="G43" s="12">
        <v>2</v>
      </c>
      <c r="H43" s="8">
        <v>2.6</v>
      </c>
      <c r="I43" s="12">
        <v>0</v>
      </c>
    </row>
    <row r="44" spans="2:9" ht="15" customHeight="1" x14ac:dyDescent="0.2">
      <c r="B44" t="s">
        <v>88</v>
      </c>
      <c r="C44" s="12">
        <v>3</v>
      </c>
      <c r="D44" s="8">
        <v>1.19</v>
      </c>
      <c r="E44" s="12">
        <v>0</v>
      </c>
      <c r="F44" s="8">
        <v>0</v>
      </c>
      <c r="G44" s="12">
        <v>3</v>
      </c>
      <c r="H44" s="8">
        <v>3.9</v>
      </c>
      <c r="I44" s="12">
        <v>0</v>
      </c>
    </row>
    <row r="45" spans="2:9" ht="15" customHeight="1" x14ac:dyDescent="0.2">
      <c r="B45" t="s">
        <v>72</v>
      </c>
      <c r="C45" s="12">
        <v>3</v>
      </c>
      <c r="D45" s="8">
        <v>1.19</v>
      </c>
      <c r="E45" s="12">
        <v>1</v>
      </c>
      <c r="F45" s="8">
        <v>0.59</v>
      </c>
      <c r="G45" s="12">
        <v>2</v>
      </c>
      <c r="H45" s="8">
        <v>2.6</v>
      </c>
      <c r="I45" s="12">
        <v>0</v>
      </c>
    </row>
    <row r="46" spans="2:9" ht="15" customHeight="1" x14ac:dyDescent="0.2">
      <c r="B46" t="s">
        <v>85</v>
      </c>
      <c r="C46" s="12">
        <v>3</v>
      </c>
      <c r="D46" s="8">
        <v>1.19</v>
      </c>
      <c r="E46" s="12">
        <v>0</v>
      </c>
      <c r="F46" s="8">
        <v>0</v>
      </c>
      <c r="G46" s="12">
        <v>3</v>
      </c>
      <c r="H46" s="8">
        <v>3.9</v>
      </c>
      <c r="I46" s="12">
        <v>0</v>
      </c>
    </row>
    <row r="49" spans="2:9" ht="33" customHeight="1" x14ac:dyDescent="0.2">
      <c r="B49" t="s">
        <v>243</v>
      </c>
      <c r="C49" s="10" t="s">
        <v>60</v>
      </c>
      <c r="D49" s="10" t="s">
        <v>61</v>
      </c>
      <c r="E49" s="10" t="s">
        <v>62</v>
      </c>
      <c r="F49" s="10" t="s">
        <v>63</v>
      </c>
      <c r="G49" s="10" t="s">
        <v>64</v>
      </c>
      <c r="H49" s="10" t="s">
        <v>65</v>
      </c>
      <c r="I49" s="10" t="s">
        <v>66</v>
      </c>
    </row>
    <row r="50" spans="2:9" ht="15" customHeight="1" x14ac:dyDescent="0.2">
      <c r="B50" t="s">
        <v>140</v>
      </c>
      <c r="C50" s="12">
        <v>15</v>
      </c>
      <c r="D50" s="8">
        <v>5.95</v>
      </c>
      <c r="E50" s="12">
        <v>15</v>
      </c>
      <c r="F50" s="8">
        <v>8.8800000000000008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137</v>
      </c>
      <c r="C51" s="12">
        <v>11</v>
      </c>
      <c r="D51" s="8">
        <v>4.37</v>
      </c>
      <c r="E51" s="12">
        <v>11</v>
      </c>
      <c r="F51" s="8">
        <v>6.51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9</v>
      </c>
      <c r="D52" s="8">
        <v>3.57</v>
      </c>
      <c r="E52" s="12">
        <v>8</v>
      </c>
      <c r="F52" s="8">
        <v>4.7300000000000004</v>
      </c>
      <c r="G52" s="12">
        <v>0</v>
      </c>
      <c r="H52" s="8">
        <v>0</v>
      </c>
      <c r="I52" s="12">
        <v>1</v>
      </c>
    </row>
    <row r="53" spans="2:9" ht="15" customHeight="1" x14ac:dyDescent="0.2">
      <c r="B53" t="s">
        <v>133</v>
      </c>
      <c r="C53" s="12">
        <v>9</v>
      </c>
      <c r="D53" s="8">
        <v>3.57</v>
      </c>
      <c r="E53" s="12">
        <v>7</v>
      </c>
      <c r="F53" s="8">
        <v>4.1399999999999997</v>
      </c>
      <c r="G53" s="12">
        <v>2</v>
      </c>
      <c r="H53" s="8">
        <v>2.6</v>
      </c>
      <c r="I53" s="12">
        <v>0</v>
      </c>
    </row>
    <row r="54" spans="2:9" ht="15" customHeight="1" x14ac:dyDescent="0.2">
      <c r="B54" t="s">
        <v>158</v>
      </c>
      <c r="C54" s="12">
        <v>8</v>
      </c>
      <c r="D54" s="8">
        <v>3.17</v>
      </c>
      <c r="E54" s="12">
        <v>7</v>
      </c>
      <c r="F54" s="8">
        <v>4.1399999999999997</v>
      </c>
      <c r="G54" s="12">
        <v>1</v>
      </c>
      <c r="H54" s="8">
        <v>1.3</v>
      </c>
      <c r="I54" s="12">
        <v>0</v>
      </c>
    </row>
    <row r="55" spans="2:9" ht="15" customHeight="1" x14ac:dyDescent="0.2">
      <c r="B55" t="s">
        <v>138</v>
      </c>
      <c r="C55" s="12">
        <v>8</v>
      </c>
      <c r="D55" s="8">
        <v>3.17</v>
      </c>
      <c r="E55" s="12">
        <v>7</v>
      </c>
      <c r="F55" s="8">
        <v>4.1399999999999997</v>
      </c>
      <c r="G55" s="12">
        <v>1</v>
      </c>
      <c r="H55" s="8">
        <v>1.3</v>
      </c>
      <c r="I55" s="12">
        <v>0</v>
      </c>
    </row>
    <row r="56" spans="2:9" ht="15" customHeight="1" x14ac:dyDescent="0.2">
      <c r="B56" t="s">
        <v>135</v>
      </c>
      <c r="C56" s="12">
        <v>7</v>
      </c>
      <c r="D56" s="8">
        <v>2.78</v>
      </c>
      <c r="E56" s="12">
        <v>3</v>
      </c>
      <c r="F56" s="8">
        <v>1.78</v>
      </c>
      <c r="G56" s="12">
        <v>4</v>
      </c>
      <c r="H56" s="8">
        <v>5.19</v>
      </c>
      <c r="I56" s="12">
        <v>0</v>
      </c>
    </row>
    <row r="57" spans="2:9" ht="15" customHeight="1" x14ac:dyDescent="0.2">
      <c r="B57" t="s">
        <v>143</v>
      </c>
      <c r="C57" s="12">
        <v>7</v>
      </c>
      <c r="D57" s="8">
        <v>2.78</v>
      </c>
      <c r="E57" s="12">
        <v>7</v>
      </c>
      <c r="F57" s="8">
        <v>4.1399999999999997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124</v>
      </c>
      <c r="C58" s="12">
        <v>6</v>
      </c>
      <c r="D58" s="8">
        <v>2.38</v>
      </c>
      <c r="E58" s="12">
        <v>0</v>
      </c>
      <c r="F58" s="8">
        <v>0</v>
      </c>
      <c r="G58" s="12">
        <v>6</v>
      </c>
      <c r="H58" s="8">
        <v>7.79</v>
      </c>
      <c r="I58" s="12">
        <v>0</v>
      </c>
    </row>
    <row r="59" spans="2:9" ht="15" customHeight="1" x14ac:dyDescent="0.2">
      <c r="B59" t="s">
        <v>189</v>
      </c>
      <c r="C59" s="12">
        <v>6</v>
      </c>
      <c r="D59" s="8">
        <v>2.38</v>
      </c>
      <c r="E59" s="12">
        <v>5</v>
      </c>
      <c r="F59" s="8">
        <v>2.96</v>
      </c>
      <c r="G59" s="12">
        <v>1</v>
      </c>
      <c r="H59" s="8">
        <v>1.3</v>
      </c>
      <c r="I59" s="12">
        <v>0</v>
      </c>
    </row>
    <row r="60" spans="2:9" ht="15" customHeight="1" x14ac:dyDescent="0.2">
      <c r="B60" t="s">
        <v>126</v>
      </c>
      <c r="C60" s="12">
        <v>6</v>
      </c>
      <c r="D60" s="8">
        <v>2.38</v>
      </c>
      <c r="E60" s="12">
        <v>4</v>
      </c>
      <c r="F60" s="8">
        <v>2.37</v>
      </c>
      <c r="G60" s="12">
        <v>2</v>
      </c>
      <c r="H60" s="8">
        <v>2.6</v>
      </c>
      <c r="I60" s="12">
        <v>0</v>
      </c>
    </row>
    <row r="61" spans="2:9" ht="15" customHeight="1" x14ac:dyDescent="0.2">
      <c r="B61" t="s">
        <v>128</v>
      </c>
      <c r="C61" s="12">
        <v>6</v>
      </c>
      <c r="D61" s="8">
        <v>2.38</v>
      </c>
      <c r="E61" s="12">
        <v>5</v>
      </c>
      <c r="F61" s="8">
        <v>2.96</v>
      </c>
      <c r="G61" s="12">
        <v>1</v>
      </c>
      <c r="H61" s="8">
        <v>1.3</v>
      </c>
      <c r="I61" s="12">
        <v>0</v>
      </c>
    </row>
    <row r="62" spans="2:9" ht="15" customHeight="1" x14ac:dyDescent="0.2">
      <c r="B62" t="s">
        <v>136</v>
      </c>
      <c r="C62" s="12">
        <v>6</v>
      </c>
      <c r="D62" s="8">
        <v>2.38</v>
      </c>
      <c r="E62" s="12">
        <v>6</v>
      </c>
      <c r="F62" s="8">
        <v>3.55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139</v>
      </c>
      <c r="C63" s="12">
        <v>6</v>
      </c>
      <c r="D63" s="8">
        <v>2.38</v>
      </c>
      <c r="E63" s="12">
        <v>6</v>
      </c>
      <c r="F63" s="8">
        <v>3.55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141</v>
      </c>
      <c r="C64" s="12">
        <v>6</v>
      </c>
      <c r="D64" s="8">
        <v>2.38</v>
      </c>
      <c r="E64" s="12">
        <v>6</v>
      </c>
      <c r="F64" s="8">
        <v>3.55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142</v>
      </c>
      <c r="C65" s="12">
        <v>6</v>
      </c>
      <c r="D65" s="8">
        <v>2.38</v>
      </c>
      <c r="E65" s="12">
        <v>6</v>
      </c>
      <c r="F65" s="8">
        <v>3.55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207</v>
      </c>
      <c r="C66" s="12">
        <v>5</v>
      </c>
      <c r="D66" s="8">
        <v>1.98</v>
      </c>
      <c r="E66" s="12">
        <v>3</v>
      </c>
      <c r="F66" s="8">
        <v>1.78</v>
      </c>
      <c r="G66" s="12">
        <v>2</v>
      </c>
      <c r="H66" s="8">
        <v>2.6</v>
      </c>
      <c r="I66" s="12">
        <v>0</v>
      </c>
    </row>
    <row r="67" spans="2:9" ht="15" customHeight="1" x14ac:dyDescent="0.2">
      <c r="B67" t="s">
        <v>130</v>
      </c>
      <c r="C67" s="12">
        <v>5</v>
      </c>
      <c r="D67" s="8">
        <v>1.98</v>
      </c>
      <c r="E67" s="12">
        <v>3</v>
      </c>
      <c r="F67" s="8">
        <v>1.78</v>
      </c>
      <c r="G67" s="12">
        <v>2</v>
      </c>
      <c r="H67" s="8">
        <v>2.6</v>
      </c>
      <c r="I67" s="12">
        <v>0</v>
      </c>
    </row>
    <row r="68" spans="2:9" ht="15" customHeight="1" x14ac:dyDescent="0.2">
      <c r="B68" t="s">
        <v>132</v>
      </c>
      <c r="C68" s="12">
        <v>5</v>
      </c>
      <c r="D68" s="8">
        <v>1.98</v>
      </c>
      <c r="E68" s="12">
        <v>0</v>
      </c>
      <c r="F68" s="8">
        <v>0</v>
      </c>
      <c r="G68" s="12">
        <v>5</v>
      </c>
      <c r="H68" s="8">
        <v>6.49</v>
      </c>
      <c r="I68" s="12">
        <v>0</v>
      </c>
    </row>
    <row r="69" spans="2:9" ht="15" customHeight="1" x14ac:dyDescent="0.2">
      <c r="B69" t="s">
        <v>208</v>
      </c>
      <c r="C69" s="12">
        <v>5</v>
      </c>
      <c r="D69" s="8">
        <v>1.98</v>
      </c>
      <c r="E69" s="12">
        <v>0</v>
      </c>
      <c r="F69" s="8">
        <v>0</v>
      </c>
      <c r="G69" s="12">
        <v>5</v>
      </c>
      <c r="H69" s="8">
        <v>6.49</v>
      </c>
      <c r="I69" s="12">
        <v>0</v>
      </c>
    </row>
    <row r="70" spans="2:9" ht="15" customHeight="1" x14ac:dyDescent="0.2">
      <c r="B70" t="s">
        <v>209</v>
      </c>
      <c r="C70" s="12">
        <v>5</v>
      </c>
      <c r="D70" s="8">
        <v>1.98</v>
      </c>
      <c r="E70" s="12">
        <v>5</v>
      </c>
      <c r="F70" s="8">
        <v>2.96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7195-0130-4C4C-8EC1-1491EF95EA49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27</v>
      </c>
      <c r="D6" s="8">
        <v>12</v>
      </c>
      <c r="E6" s="12">
        <v>8</v>
      </c>
      <c r="F6" s="8">
        <v>5.37</v>
      </c>
      <c r="G6" s="12">
        <v>19</v>
      </c>
      <c r="H6" s="8">
        <v>27.54</v>
      </c>
      <c r="I6" s="12">
        <v>0</v>
      </c>
    </row>
    <row r="7" spans="2:9" ht="15" customHeight="1" x14ac:dyDescent="0.2">
      <c r="B7" t="s">
        <v>46</v>
      </c>
      <c r="C7" s="12">
        <v>14</v>
      </c>
      <c r="D7" s="8">
        <v>6.22</v>
      </c>
      <c r="E7" s="12">
        <v>7</v>
      </c>
      <c r="F7" s="8">
        <v>4.7</v>
      </c>
      <c r="G7" s="12">
        <v>7</v>
      </c>
      <c r="H7" s="8">
        <v>10.14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1.33</v>
      </c>
      <c r="E9" s="12">
        <v>1</v>
      </c>
      <c r="F9" s="8">
        <v>0.67</v>
      </c>
      <c r="G9" s="12">
        <v>2</v>
      </c>
      <c r="H9" s="8">
        <v>2.9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1.78</v>
      </c>
      <c r="E10" s="12">
        <v>3</v>
      </c>
      <c r="F10" s="8">
        <v>2.0099999999999998</v>
      </c>
      <c r="G10" s="12">
        <v>1</v>
      </c>
      <c r="H10" s="8">
        <v>1.45</v>
      </c>
      <c r="I10" s="12">
        <v>0</v>
      </c>
    </row>
    <row r="11" spans="2:9" ht="15" customHeight="1" x14ac:dyDescent="0.2">
      <c r="B11" t="s">
        <v>50</v>
      </c>
      <c r="C11" s="12">
        <v>57</v>
      </c>
      <c r="D11" s="8">
        <v>25.33</v>
      </c>
      <c r="E11" s="12">
        <v>41</v>
      </c>
      <c r="F11" s="8">
        <v>27.52</v>
      </c>
      <c r="G11" s="12">
        <v>15</v>
      </c>
      <c r="H11" s="8">
        <v>21.74</v>
      </c>
      <c r="I11" s="12">
        <v>1</v>
      </c>
    </row>
    <row r="12" spans="2:9" ht="15" customHeight="1" x14ac:dyDescent="0.2">
      <c r="B12" t="s">
        <v>51</v>
      </c>
      <c r="C12" s="12">
        <v>1</v>
      </c>
      <c r="D12" s="8">
        <v>0.44</v>
      </c>
      <c r="E12" s="12">
        <v>0</v>
      </c>
      <c r="F12" s="8">
        <v>0</v>
      </c>
      <c r="G12" s="12">
        <v>1</v>
      </c>
      <c r="H12" s="8">
        <v>1.45</v>
      </c>
      <c r="I12" s="12">
        <v>0</v>
      </c>
    </row>
    <row r="13" spans="2:9" ht="15" customHeight="1" x14ac:dyDescent="0.2">
      <c r="B13" t="s">
        <v>52</v>
      </c>
      <c r="C13" s="12">
        <v>2</v>
      </c>
      <c r="D13" s="8">
        <v>0.89</v>
      </c>
      <c r="E13" s="12">
        <v>1</v>
      </c>
      <c r="F13" s="8">
        <v>0.67</v>
      </c>
      <c r="G13" s="12">
        <v>1</v>
      </c>
      <c r="H13" s="8">
        <v>1.45</v>
      </c>
      <c r="I13" s="12">
        <v>0</v>
      </c>
    </row>
    <row r="14" spans="2:9" ht="15" customHeight="1" x14ac:dyDescent="0.2">
      <c r="B14" t="s">
        <v>53</v>
      </c>
      <c r="C14" s="12">
        <v>6</v>
      </c>
      <c r="D14" s="8">
        <v>2.67</v>
      </c>
      <c r="E14" s="12">
        <v>0</v>
      </c>
      <c r="F14" s="8">
        <v>0</v>
      </c>
      <c r="G14" s="12">
        <v>6</v>
      </c>
      <c r="H14" s="8">
        <v>8.6999999999999993</v>
      </c>
      <c r="I14" s="12">
        <v>0</v>
      </c>
    </row>
    <row r="15" spans="2:9" ht="15" customHeight="1" x14ac:dyDescent="0.2">
      <c r="B15" t="s">
        <v>54</v>
      </c>
      <c r="C15" s="12">
        <v>60</v>
      </c>
      <c r="D15" s="8">
        <v>26.67</v>
      </c>
      <c r="E15" s="12">
        <v>50</v>
      </c>
      <c r="F15" s="8">
        <v>33.56</v>
      </c>
      <c r="G15" s="12">
        <v>10</v>
      </c>
      <c r="H15" s="8">
        <v>14.49</v>
      </c>
      <c r="I15" s="12">
        <v>0</v>
      </c>
    </row>
    <row r="16" spans="2:9" ht="15" customHeight="1" x14ac:dyDescent="0.2">
      <c r="B16" t="s">
        <v>55</v>
      </c>
      <c r="C16" s="12">
        <v>28</v>
      </c>
      <c r="D16" s="8">
        <v>12.44</v>
      </c>
      <c r="E16" s="12">
        <v>25</v>
      </c>
      <c r="F16" s="8">
        <v>16.78</v>
      </c>
      <c r="G16" s="12">
        <v>2</v>
      </c>
      <c r="H16" s="8">
        <v>2.9</v>
      </c>
      <c r="I16" s="12">
        <v>1</v>
      </c>
    </row>
    <row r="17" spans="2:9" ht="15" customHeight="1" x14ac:dyDescent="0.2">
      <c r="B17" t="s">
        <v>56</v>
      </c>
      <c r="C17" s="12">
        <v>11</v>
      </c>
      <c r="D17" s="8">
        <v>4.8899999999999997</v>
      </c>
      <c r="E17" s="12">
        <v>6</v>
      </c>
      <c r="F17" s="8">
        <v>4.03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3</v>
      </c>
      <c r="D18" s="8">
        <v>1.33</v>
      </c>
      <c r="E18" s="12">
        <v>1</v>
      </c>
      <c r="F18" s="8">
        <v>0.67</v>
      </c>
      <c r="G18" s="12">
        <v>2</v>
      </c>
      <c r="H18" s="8">
        <v>2.9</v>
      </c>
      <c r="I18" s="12">
        <v>0</v>
      </c>
    </row>
    <row r="19" spans="2:9" ht="15" customHeight="1" x14ac:dyDescent="0.2">
      <c r="B19" t="s">
        <v>58</v>
      </c>
      <c r="C19" s="12">
        <v>9</v>
      </c>
      <c r="D19" s="8">
        <v>4</v>
      </c>
      <c r="E19" s="12">
        <v>6</v>
      </c>
      <c r="F19" s="8">
        <v>4.03</v>
      </c>
      <c r="G19" s="12">
        <v>3</v>
      </c>
      <c r="H19" s="8">
        <v>4.3499999999999996</v>
      </c>
      <c r="I19" s="12">
        <v>0</v>
      </c>
    </row>
    <row r="20" spans="2:9" ht="15" customHeight="1" x14ac:dyDescent="0.2">
      <c r="B20" s="9" t="s">
        <v>241</v>
      </c>
      <c r="C20" s="12">
        <f>SUM(LTBL_46502[総数／事業所数])</f>
        <v>225</v>
      </c>
      <c r="E20" s="12">
        <f>SUBTOTAL(109,LTBL_46502[個人／事業所数])</f>
        <v>149</v>
      </c>
      <c r="G20" s="12">
        <f>SUBTOTAL(109,LTBL_46502[法人／事業所数])</f>
        <v>69</v>
      </c>
      <c r="I20" s="12">
        <f>SUBTOTAL(109,LTBL_46502[法人以外の団体／事業所数])</f>
        <v>2</v>
      </c>
    </row>
    <row r="21" spans="2:9" ht="15" customHeight="1" x14ac:dyDescent="0.2">
      <c r="E21" s="11">
        <f>LTBL_46502[[#Totals],[個人／事業所数]]/LTBL_46502[[#Totals],[総数／事業所数]]</f>
        <v>0.66222222222222227</v>
      </c>
      <c r="G21" s="11">
        <f>LTBL_46502[[#Totals],[法人／事業所数]]/LTBL_46502[[#Totals],[総数／事業所数]]</f>
        <v>0.30666666666666664</v>
      </c>
      <c r="I21" s="11">
        <f>LTBL_46502[[#Totals],[法人以外の団体／事業所数]]/LTBL_46502[[#Totals],[総数／事業所数]]</f>
        <v>8.8888888888888889E-3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31</v>
      </c>
      <c r="D24" s="8">
        <v>13.78</v>
      </c>
      <c r="E24" s="12">
        <v>30</v>
      </c>
      <c r="F24" s="8">
        <v>20.13</v>
      </c>
      <c r="G24" s="12">
        <v>1</v>
      </c>
      <c r="H24" s="8">
        <v>1.45</v>
      </c>
      <c r="I24" s="12">
        <v>0</v>
      </c>
    </row>
    <row r="25" spans="2:9" ht="15" customHeight="1" x14ac:dyDescent="0.2">
      <c r="B25" t="s">
        <v>80</v>
      </c>
      <c r="C25" s="12">
        <v>26</v>
      </c>
      <c r="D25" s="8">
        <v>11.56</v>
      </c>
      <c r="E25" s="12">
        <v>18</v>
      </c>
      <c r="F25" s="8">
        <v>12.08</v>
      </c>
      <c r="G25" s="12">
        <v>8</v>
      </c>
      <c r="H25" s="8">
        <v>11.59</v>
      </c>
      <c r="I25" s="12">
        <v>0</v>
      </c>
    </row>
    <row r="26" spans="2:9" ht="15" customHeight="1" x14ac:dyDescent="0.2">
      <c r="B26" t="s">
        <v>73</v>
      </c>
      <c r="C26" s="12">
        <v>22</v>
      </c>
      <c r="D26" s="8">
        <v>9.7799999999999994</v>
      </c>
      <c r="E26" s="12">
        <v>21</v>
      </c>
      <c r="F26" s="8">
        <v>14.09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82</v>
      </c>
      <c r="C27" s="12">
        <v>21</v>
      </c>
      <c r="D27" s="8">
        <v>9.33</v>
      </c>
      <c r="E27" s="12">
        <v>19</v>
      </c>
      <c r="F27" s="8">
        <v>12.75</v>
      </c>
      <c r="G27" s="12">
        <v>1</v>
      </c>
      <c r="H27" s="8">
        <v>1.45</v>
      </c>
      <c r="I27" s="12">
        <v>1</v>
      </c>
    </row>
    <row r="28" spans="2:9" ht="15" customHeight="1" x14ac:dyDescent="0.2">
      <c r="B28" t="s">
        <v>75</v>
      </c>
      <c r="C28" s="12">
        <v>19</v>
      </c>
      <c r="D28" s="8">
        <v>8.44</v>
      </c>
      <c r="E28" s="12">
        <v>10</v>
      </c>
      <c r="F28" s="8">
        <v>6.71</v>
      </c>
      <c r="G28" s="12">
        <v>9</v>
      </c>
      <c r="H28" s="8">
        <v>13.04</v>
      </c>
      <c r="I28" s="12">
        <v>0</v>
      </c>
    </row>
    <row r="29" spans="2:9" ht="15" customHeight="1" x14ac:dyDescent="0.2">
      <c r="B29" t="s">
        <v>67</v>
      </c>
      <c r="C29" s="12">
        <v>17</v>
      </c>
      <c r="D29" s="8">
        <v>7.56</v>
      </c>
      <c r="E29" s="12">
        <v>4</v>
      </c>
      <c r="F29" s="8">
        <v>2.68</v>
      </c>
      <c r="G29" s="12">
        <v>13</v>
      </c>
      <c r="H29" s="8">
        <v>18.84</v>
      </c>
      <c r="I29" s="12">
        <v>0</v>
      </c>
    </row>
    <row r="30" spans="2:9" ht="15" customHeight="1" x14ac:dyDescent="0.2">
      <c r="B30" t="s">
        <v>83</v>
      </c>
      <c r="C30" s="12">
        <v>11</v>
      </c>
      <c r="D30" s="8">
        <v>4.8899999999999997</v>
      </c>
      <c r="E30" s="12">
        <v>6</v>
      </c>
      <c r="F30" s="8">
        <v>4.03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74</v>
      </c>
      <c r="C31" s="12">
        <v>10</v>
      </c>
      <c r="D31" s="8">
        <v>4.4400000000000004</v>
      </c>
      <c r="E31" s="12">
        <v>7</v>
      </c>
      <c r="F31" s="8">
        <v>4.7</v>
      </c>
      <c r="G31" s="12">
        <v>3</v>
      </c>
      <c r="H31" s="8">
        <v>4.3499999999999996</v>
      </c>
      <c r="I31" s="12">
        <v>0</v>
      </c>
    </row>
    <row r="32" spans="2:9" ht="15" customHeight="1" x14ac:dyDescent="0.2">
      <c r="B32" t="s">
        <v>69</v>
      </c>
      <c r="C32" s="12">
        <v>7</v>
      </c>
      <c r="D32" s="8">
        <v>3.11</v>
      </c>
      <c r="E32" s="12">
        <v>4</v>
      </c>
      <c r="F32" s="8">
        <v>2.68</v>
      </c>
      <c r="G32" s="12">
        <v>3</v>
      </c>
      <c r="H32" s="8">
        <v>4.3499999999999996</v>
      </c>
      <c r="I32" s="12">
        <v>0</v>
      </c>
    </row>
    <row r="33" spans="2:9" ht="15" customHeight="1" x14ac:dyDescent="0.2">
      <c r="B33" t="s">
        <v>91</v>
      </c>
      <c r="C33" s="12">
        <v>6</v>
      </c>
      <c r="D33" s="8">
        <v>2.67</v>
      </c>
      <c r="E33" s="12">
        <v>5</v>
      </c>
      <c r="F33" s="8">
        <v>3.36</v>
      </c>
      <c r="G33" s="12">
        <v>1</v>
      </c>
      <c r="H33" s="8">
        <v>1.45</v>
      </c>
      <c r="I33" s="12">
        <v>0</v>
      </c>
    </row>
    <row r="34" spans="2:9" ht="15" customHeight="1" x14ac:dyDescent="0.2">
      <c r="B34" t="s">
        <v>79</v>
      </c>
      <c r="C34" s="12">
        <v>5</v>
      </c>
      <c r="D34" s="8">
        <v>2.2200000000000002</v>
      </c>
      <c r="E34" s="12">
        <v>0</v>
      </c>
      <c r="F34" s="8">
        <v>0</v>
      </c>
      <c r="G34" s="12">
        <v>5</v>
      </c>
      <c r="H34" s="8">
        <v>7.25</v>
      </c>
      <c r="I34" s="12">
        <v>0</v>
      </c>
    </row>
    <row r="35" spans="2:9" ht="15" customHeight="1" x14ac:dyDescent="0.2">
      <c r="B35" t="s">
        <v>70</v>
      </c>
      <c r="C35" s="12">
        <v>4</v>
      </c>
      <c r="D35" s="8">
        <v>1.78</v>
      </c>
      <c r="E35" s="12">
        <v>4</v>
      </c>
      <c r="F35" s="8">
        <v>2.68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99</v>
      </c>
      <c r="C36" s="12">
        <v>4</v>
      </c>
      <c r="D36" s="8">
        <v>1.78</v>
      </c>
      <c r="E36" s="12">
        <v>3</v>
      </c>
      <c r="F36" s="8">
        <v>2.0099999999999998</v>
      </c>
      <c r="G36" s="12">
        <v>1</v>
      </c>
      <c r="H36" s="8">
        <v>1.45</v>
      </c>
      <c r="I36" s="12">
        <v>0</v>
      </c>
    </row>
    <row r="37" spans="2:9" ht="15" customHeight="1" x14ac:dyDescent="0.2">
      <c r="B37" t="s">
        <v>68</v>
      </c>
      <c r="C37" s="12">
        <v>3</v>
      </c>
      <c r="D37" s="8">
        <v>1.33</v>
      </c>
      <c r="E37" s="12">
        <v>0</v>
      </c>
      <c r="F37" s="8">
        <v>0</v>
      </c>
      <c r="G37" s="12">
        <v>3</v>
      </c>
      <c r="H37" s="8">
        <v>4.3499999999999996</v>
      </c>
      <c r="I37" s="12">
        <v>0</v>
      </c>
    </row>
    <row r="38" spans="2:9" ht="15" customHeight="1" x14ac:dyDescent="0.2">
      <c r="B38" t="s">
        <v>90</v>
      </c>
      <c r="C38" s="12">
        <v>3</v>
      </c>
      <c r="D38" s="8">
        <v>1.33</v>
      </c>
      <c r="E38" s="12">
        <v>1</v>
      </c>
      <c r="F38" s="8">
        <v>0.67</v>
      </c>
      <c r="G38" s="12">
        <v>2</v>
      </c>
      <c r="H38" s="8">
        <v>2.9</v>
      </c>
      <c r="I38" s="12">
        <v>0</v>
      </c>
    </row>
    <row r="39" spans="2:9" ht="15" customHeight="1" x14ac:dyDescent="0.2">
      <c r="B39" t="s">
        <v>98</v>
      </c>
      <c r="C39" s="12">
        <v>3</v>
      </c>
      <c r="D39" s="8">
        <v>1.33</v>
      </c>
      <c r="E39" s="12">
        <v>0</v>
      </c>
      <c r="F39" s="8">
        <v>0</v>
      </c>
      <c r="G39" s="12">
        <v>3</v>
      </c>
      <c r="H39" s="8">
        <v>4.3499999999999996</v>
      </c>
      <c r="I39" s="12">
        <v>0</v>
      </c>
    </row>
    <row r="40" spans="2:9" ht="15" customHeight="1" x14ac:dyDescent="0.2">
      <c r="B40" t="s">
        <v>114</v>
      </c>
      <c r="C40" s="12">
        <v>3</v>
      </c>
      <c r="D40" s="8">
        <v>1.33</v>
      </c>
      <c r="E40" s="12">
        <v>1</v>
      </c>
      <c r="F40" s="8">
        <v>0.67</v>
      </c>
      <c r="G40" s="12">
        <v>2</v>
      </c>
      <c r="H40" s="8">
        <v>2.9</v>
      </c>
      <c r="I40" s="12">
        <v>0</v>
      </c>
    </row>
    <row r="41" spans="2:9" ht="15" customHeight="1" x14ac:dyDescent="0.2">
      <c r="B41" t="s">
        <v>105</v>
      </c>
      <c r="C41" s="12">
        <v>3</v>
      </c>
      <c r="D41" s="8">
        <v>1.33</v>
      </c>
      <c r="E41" s="12">
        <v>1</v>
      </c>
      <c r="F41" s="8">
        <v>0.67</v>
      </c>
      <c r="G41" s="12">
        <v>2</v>
      </c>
      <c r="H41" s="8">
        <v>2.9</v>
      </c>
      <c r="I41" s="12">
        <v>0</v>
      </c>
    </row>
    <row r="42" spans="2:9" ht="15" customHeight="1" x14ac:dyDescent="0.2">
      <c r="B42" t="s">
        <v>93</v>
      </c>
      <c r="C42" s="12">
        <v>3</v>
      </c>
      <c r="D42" s="8">
        <v>1.33</v>
      </c>
      <c r="E42" s="12">
        <v>2</v>
      </c>
      <c r="F42" s="8">
        <v>1.34</v>
      </c>
      <c r="G42" s="12">
        <v>1</v>
      </c>
      <c r="H42" s="8">
        <v>1.45</v>
      </c>
      <c r="I42" s="12">
        <v>0</v>
      </c>
    </row>
    <row r="43" spans="2:9" ht="15" customHeight="1" x14ac:dyDescent="0.2">
      <c r="B43" t="s">
        <v>86</v>
      </c>
      <c r="C43" s="12">
        <v>3</v>
      </c>
      <c r="D43" s="8">
        <v>1.33</v>
      </c>
      <c r="E43" s="12">
        <v>2</v>
      </c>
      <c r="F43" s="8">
        <v>1.34</v>
      </c>
      <c r="G43" s="12">
        <v>1</v>
      </c>
      <c r="H43" s="8">
        <v>1.45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158</v>
      </c>
      <c r="C47" s="12">
        <v>21</v>
      </c>
      <c r="D47" s="8">
        <v>9.33</v>
      </c>
      <c r="E47" s="12">
        <v>16</v>
      </c>
      <c r="F47" s="8">
        <v>10.74</v>
      </c>
      <c r="G47" s="12">
        <v>5</v>
      </c>
      <c r="H47" s="8">
        <v>7.25</v>
      </c>
      <c r="I47" s="12">
        <v>0</v>
      </c>
    </row>
    <row r="48" spans="2:9" ht="15" customHeight="1" x14ac:dyDescent="0.2">
      <c r="B48" t="s">
        <v>140</v>
      </c>
      <c r="C48" s="12">
        <v>12</v>
      </c>
      <c r="D48" s="8">
        <v>5.33</v>
      </c>
      <c r="E48" s="12">
        <v>11</v>
      </c>
      <c r="F48" s="8">
        <v>7.38</v>
      </c>
      <c r="G48" s="12">
        <v>1</v>
      </c>
      <c r="H48" s="8">
        <v>1.45</v>
      </c>
      <c r="I48" s="12">
        <v>0</v>
      </c>
    </row>
    <row r="49" spans="2:9" ht="15" customHeight="1" x14ac:dyDescent="0.2">
      <c r="B49" t="s">
        <v>138</v>
      </c>
      <c r="C49" s="12">
        <v>10</v>
      </c>
      <c r="D49" s="8">
        <v>4.4400000000000004</v>
      </c>
      <c r="E49" s="12">
        <v>10</v>
      </c>
      <c r="F49" s="8">
        <v>6.71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124</v>
      </c>
      <c r="C50" s="12">
        <v>9</v>
      </c>
      <c r="D50" s="8">
        <v>4</v>
      </c>
      <c r="E50" s="12">
        <v>1</v>
      </c>
      <c r="F50" s="8">
        <v>0.67</v>
      </c>
      <c r="G50" s="12">
        <v>8</v>
      </c>
      <c r="H50" s="8">
        <v>11.59</v>
      </c>
      <c r="I50" s="12">
        <v>0</v>
      </c>
    </row>
    <row r="51" spans="2:9" ht="15" customHeight="1" x14ac:dyDescent="0.2">
      <c r="B51" t="s">
        <v>127</v>
      </c>
      <c r="C51" s="12">
        <v>8</v>
      </c>
      <c r="D51" s="8">
        <v>3.56</v>
      </c>
      <c r="E51" s="12">
        <v>8</v>
      </c>
      <c r="F51" s="8">
        <v>5.37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8</v>
      </c>
      <c r="D52" s="8">
        <v>3.56</v>
      </c>
      <c r="E52" s="12">
        <v>8</v>
      </c>
      <c r="F52" s="8">
        <v>5.37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139</v>
      </c>
      <c r="C53" s="12">
        <v>7</v>
      </c>
      <c r="D53" s="8">
        <v>3.11</v>
      </c>
      <c r="E53" s="12">
        <v>7</v>
      </c>
      <c r="F53" s="8">
        <v>4.7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129</v>
      </c>
      <c r="C54" s="12">
        <v>6</v>
      </c>
      <c r="D54" s="8">
        <v>2.67</v>
      </c>
      <c r="E54" s="12">
        <v>6</v>
      </c>
      <c r="F54" s="8">
        <v>4.03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137</v>
      </c>
      <c r="C55" s="12">
        <v>6</v>
      </c>
      <c r="D55" s="8">
        <v>2.67</v>
      </c>
      <c r="E55" s="12">
        <v>6</v>
      </c>
      <c r="F55" s="8">
        <v>4.03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130</v>
      </c>
      <c r="C56" s="12">
        <v>5</v>
      </c>
      <c r="D56" s="8">
        <v>2.2200000000000002</v>
      </c>
      <c r="E56" s="12">
        <v>4</v>
      </c>
      <c r="F56" s="8">
        <v>2.68</v>
      </c>
      <c r="G56" s="12">
        <v>1</v>
      </c>
      <c r="H56" s="8">
        <v>1.45</v>
      </c>
      <c r="I56" s="12">
        <v>0</v>
      </c>
    </row>
    <row r="57" spans="2:9" ht="15" customHeight="1" x14ac:dyDescent="0.2">
      <c r="B57" t="s">
        <v>147</v>
      </c>
      <c r="C57" s="12">
        <v>5</v>
      </c>
      <c r="D57" s="8">
        <v>2.2200000000000002</v>
      </c>
      <c r="E57" s="12">
        <v>3</v>
      </c>
      <c r="F57" s="8">
        <v>2.0099999999999998</v>
      </c>
      <c r="G57" s="12">
        <v>2</v>
      </c>
      <c r="H57" s="8">
        <v>2.9</v>
      </c>
      <c r="I57" s="12">
        <v>0</v>
      </c>
    </row>
    <row r="58" spans="2:9" ht="15" customHeight="1" x14ac:dyDescent="0.2">
      <c r="B58" t="s">
        <v>133</v>
      </c>
      <c r="C58" s="12">
        <v>5</v>
      </c>
      <c r="D58" s="8">
        <v>2.2200000000000002</v>
      </c>
      <c r="E58" s="12">
        <v>5</v>
      </c>
      <c r="F58" s="8">
        <v>3.36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165</v>
      </c>
      <c r="C59" s="12">
        <v>5</v>
      </c>
      <c r="D59" s="8">
        <v>2.2200000000000002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125</v>
      </c>
      <c r="C60" s="12">
        <v>4</v>
      </c>
      <c r="D60" s="8">
        <v>1.78</v>
      </c>
      <c r="E60" s="12">
        <v>1</v>
      </c>
      <c r="F60" s="8">
        <v>0.67</v>
      </c>
      <c r="G60" s="12">
        <v>3</v>
      </c>
      <c r="H60" s="8">
        <v>4.3499999999999996</v>
      </c>
      <c r="I60" s="12">
        <v>0</v>
      </c>
    </row>
    <row r="61" spans="2:9" ht="15" customHeight="1" x14ac:dyDescent="0.2">
      <c r="B61" t="s">
        <v>126</v>
      </c>
      <c r="C61" s="12">
        <v>4</v>
      </c>
      <c r="D61" s="8">
        <v>1.78</v>
      </c>
      <c r="E61" s="12">
        <v>1</v>
      </c>
      <c r="F61" s="8">
        <v>0.67</v>
      </c>
      <c r="G61" s="12">
        <v>3</v>
      </c>
      <c r="H61" s="8">
        <v>4.3499999999999996</v>
      </c>
      <c r="I61" s="12">
        <v>0</v>
      </c>
    </row>
    <row r="62" spans="2:9" ht="15" customHeight="1" x14ac:dyDescent="0.2">
      <c r="B62" t="s">
        <v>132</v>
      </c>
      <c r="C62" s="12">
        <v>4</v>
      </c>
      <c r="D62" s="8">
        <v>1.78</v>
      </c>
      <c r="E62" s="12">
        <v>0</v>
      </c>
      <c r="F62" s="8">
        <v>0</v>
      </c>
      <c r="G62" s="12">
        <v>4</v>
      </c>
      <c r="H62" s="8">
        <v>5.8</v>
      </c>
      <c r="I62" s="12">
        <v>0</v>
      </c>
    </row>
    <row r="63" spans="2:9" ht="15" customHeight="1" x14ac:dyDescent="0.2">
      <c r="B63" t="s">
        <v>183</v>
      </c>
      <c r="C63" s="12">
        <v>4</v>
      </c>
      <c r="D63" s="8">
        <v>1.78</v>
      </c>
      <c r="E63" s="12">
        <v>2</v>
      </c>
      <c r="F63" s="8">
        <v>1.34</v>
      </c>
      <c r="G63" s="12">
        <v>2</v>
      </c>
      <c r="H63" s="8">
        <v>2.9</v>
      </c>
      <c r="I63" s="12">
        <v>0</v>
      </c>
    </row>
    <row r="64" spans="2:9" ht="15" customHeight="1" x14ac:dyDescent="0.2">
      <c r="B64" t="s">
        <v>166</v>
      </c>
      <c r="C64" s="12">
        <v>4</v>
      </c>
      <c r="D64" s="8">
        <v>1.78</v>
      </c>
      <c r="E64" s="12">
        <v>4</v>
      </c>
      <c r="F64" s="8">
        <v>2.68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128</v>
      </c>
      <c r="C65" s="12">
        <v>3</v>
      </c>
      <c r="D65" s="8">
        <v>1.33</v>
      </c>
      <c r="E65" s="12">
        <v>3</v>
      </c>
      <c r="F65" s="8">
        <v>2.0099999999999998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131</v>
      </c>
      <c r="C66" s="12">
        <v>3</v>
      </c>
      <c r="D66" s="8">
        <v>1.33</v>
      </c>
      <c r="E66" s="12">
        <v>1</v>
      </c>
      <c r="F66" s="8">
        <v>0.67</v>
      </c>
      <c r="G66" s="12">
        <v>2</v>
      </c>
      <c r="H66" s="8">
        <v>2.9</v>
      </c>
      <c r="I66" s="12">
        <v>0</v>
      </c>
    </row>
    <row r="67" spans="2:9" ht="15" customHeight="1" x14ac:dyDescent="0.2">
      <c r="B67" t="s">
        <v>168</v>
      </c>
      <c r="C67" s="12">
        <v>3</v>
      </c>
      <c r="D67" s="8">
        <v>1.33</v>
      </c>
      <c r="E67" s="12">
        <v>1</v>
      </c>
      <c r="F67" s="8">
        <v>0.67</v>
      </c>
      <c r="G67" s="12">
        <v>2</v>
      </c>
      <c r="H67" s="8">
        <v>2.9</v>
      </c>
      <c r="I67" s="12">
        <v>0</v>
      </c>
    </row>
    <row r="68" spans="2:9" ht="15" customHeight="1" x14ac:dyDescent="0.2">
      <c r="B68" t="s">
        <v>210</v>
      </c>
      <c r="C68" s="12">
        <v>3</v>
      </c>
      <c r="D68" s="8">
        <v>1.33</v>
      </c>
      <c r="E68" s="12">
        <v>3</v>
      </c>
      <c r="F68" s="8">
        <v>2.0099999999999998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135</v>
      </c>
      <c r="C69" s="12">
        <v>3</v>
      </c>
      <c r="D69" s="8">
        <v>1.33</v>
      </c>
      <c r="E69" s="12">
        <v>0</v>
      </c>
      <c r="F69" s="8">
        <v>0</v>
      </c>
      <c r="G69" s="12">
        <v>3</v>
      </c>
      <c r="H69" s="8">
        <v>4.3499999999999996</v>
      </c>
      <c r="I69" s="12">
        <v>0</v>
      </c>
    </row>
    <row r="70" spans="2:9" ht="15" customHeight="1" x14ac:dyDescent="0.2">
      <c r="B70" t="s">
        <v>156</v>
      </c>
      <c r="C70" s="12">
        <v>3</v>
      </c>
      <c r="D70" s="8">
        <v>1.33</v>
      </c>
      <c r="E70" s="12">
        <v>3</v>
      </c>
      <c r="F70" s="8">
        <v>2.0099999999999998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167</v>
      </c>
      <c r="C71" s="12">
        <v>3</v>
      </c>
      <c r="D71" s="8">
        <v>1.33</v>
      </c>
      <c r="E71" s="12">
        <v>2</v>
      </c>
      <c r="F71" s="8">
        <v>1.34</v>
      </c>
      <c r="G71" s="12">
        <v>1</v>
      </c>
      <c r="H71" s="8">
        <v>1.45</v>
      </c>
      <c r="I71" s="12">
        <v>0</v>
      </c>
    </row>
    <row r="72" spans="2:9" ht="15" customHeight="1" x14ac:dyDescent="0.2">
      <c r="B72" t="s">
        <v>148</v>
      </c>
      <c r="C72" s="12">
        <v>3</v>
      </c>
      <c r="D72" s="8">
        <v>1.33</v>
      </c>
      <c r="E72" s="12">
        <v>3</v>
      </c>
      <c r="F72" s="8">
        <v>2.0099999999999998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143</v>
      </c>
      <c r="C73" s="12">
        <v>3</v>
      </c>
      <c r="D73" s="8">
        <v>1.33</v>
      </c>
      <c r="E73" s="12">
        <v>2</v>
      </c>
      <c r="F73" s="8">
        <v>1.34</v>
      </c>
      <c r="G73" s="12">
        <v>1</v>
      </c>
      <c r="H73" s="8">
        <v>1.45</v>
      </c>
      <c r="I73" s="12">
        <v>0</v>
      </c>
    </row>
    <row r="74" spans="2:9" ht="15" customHeight="1" x14ac:dyDescent="0.2">
      <c r="B74" t="s">
        <v>200</v>
      </c>
      <c r="C74" s="12">
        <v>3</v>
      </c>
      <c r="D74" s="8">
        <v>1.33</v>
      </c>
      <c r="E74" s="12">
        <v>2</v>
      </c>
      <c r="F74" s="8">
        <v>1.34</v>
      </c>
      <c r="G74" s="12">
        <v>1</v>
      </c>
      <c r="H74" s="8">
        <v>1.45</v>
      </c>
      <c r="I74" s="12">
        <v>0</v>
      </c>
    </row>
    <row r="76" spans="2:9" ht="15" customHeight="1" x14ac:dyDescent="0.2">
      <c r="B76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5DE0-1E58-484B-A0A7-FFD5DE49DAB4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63</v>
      </c>
      <c r="D6" s="8">
        <v>9.4600000000000009</v>
      </c>
      <c r="E6" s="12">
        <v>25</v>
      </c>
      <c r="F6" s="8">
        <v>5.46</v>
      </c>
      <c r="G6" s="12">
        <v>38</v>
      </c>
      <c r="H6" s="8">
        <v>20.11</v>
      </c>
      <c r="I6" s="12">
        <v>0</v>
      </c>
    </row>
    <row r="7" spans="2:9" ht="15" customHeight="1" x14ac:dyDescent="0.2">
      <c r="B7" t="s">
        <v>46</v>
      </c>
      <c r="C7" s="12">
        <v>53</v>
      </c>
      <c r="D7" s="8">
        <v>7.96</v>
      </c>
      <c r="E7" s="12">
        <v>27</v>
      </c>
      <c r="F7" s="8">
        <v>5.9</v>
      </c>
      <c r="G7" s="12">
        <v>23</v>
      </c>
      <c r="H7" s="8">
        <v>12.17</v>
      </c>
      <c r="I7" s="12">
        <v>3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0.3</v>
      </c>
      <c r="E9" s="12">
        <v>0</v>
      </c>
      <c r="F9" s="8">
        <v>0</v>
      </c>
      <c r="G9" s="12">
        <v>2</v>
      </c>
      <c r="H9" s="8">
        <v>1.06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0.3</v>
      </c>
      <c r="E10" s="12">
        <v>0</v>
      </c>
      <c r="F10" s="8">
        <v>0</v>
      </c>
      <c r="G10" s="12">
        <v>2</v>
      </c>
      <c r="H10" s="8">
        <v>1.06</v>
      </c>
      <c r="I10" s="12">
        <v>0</v>
      </c>
    </row>
    <row r="11" spans="2:9" ht="15" customHeight="1" x14ac:dyDescent="0.2">
      <c r="B11" t="s">
        <v>50</v>
      </c>
      <c r="C11" s="12">
        <v>153</v>
      </c>
      <c r="D11" s="8">
        <v>22.97</v>
      </c>
      <c r="E11" s="12">
        <v>90</v>
      </c>
      <c r="F11" s="8">
        <v>19.649999999999999</v>
      </c>
      <c r="G11" s="12">
        <v>60</v>
      </c>
      <c r="H11" s="8">
        <v>31.75</v>
      </c>
      <c r="I11" s="12">
        <v>3</v>
      </c>
    </row>
    <row r="12" spans="2:9" ht="15" customHeight="1" x14ac:dyDescent="0.2">
      <c r="B12" t="s">
        <v>51</v>
      </c>
      <c r="C12" s="12">
        <v>4</v>
      </c>
      <c r="D12" s="8">
        <v>0.6</v>
      </c>
      <c r="E12" s="12">
        <v>1</v>
      </c>
      <c r="F12" s="8">
        <v>0.22</v>
      </c>
      <c r="G12" s="12">
        <v>3</v>
      </c>
      <c r="H12" s="8">
        <v>1.59</v>
      </c>
      <c r="I12" s="12">
        <v>0</v>
      </c>
    </row>
    <row r="13" spans="2:9" ht="15" customHeight="1" x14ac:dyDescent="0.2">
      <c r="B13" t="s">
        <v>52</v>
      </c>
      <c r="C13" s="12">
        <v>24</v>
      </c>
      <c r="D13" s="8">
        <v>3.6</v>
      </c>
      <c r="E13" s="12">
        <v>10</v>
      </c>
      <c r="F13" s="8">
        <v>2.1800000000000002</v>
      </c>
      <c r="G13" s="12">
        <v>14</v>
      </c>
      <c r="H13" s="8">
        <v>7.41</v>
      </c>
      <c r="I13" s="12">
        <v>0</v>
      </c>
    </row>
    <row r="14" spans="2:9" ht="15" customHeight="1" x14ac:dyDescent="0.2">
      <c r="B14" t="s">
        <v>53</v>
      </c>
      <c r="C14" s="12">
        <v>11</v>
      </c>
      <c r="D14" s="8">
        <v>1.65</v>
      </c>
      <c r="E14" s="12">
        <v>10</v>
      </c>
      <c r="F14" s="8">
        <v>2.1800000000000002</v>
      </c>
      <c r="G14" s="12">
        <v>1</v>
      </c>
      <c r="H14" s="8">
        <v>0.53</v>
      </c>
      <c r="I14" s="12">
        <v>0</v>
      </c>
    </row>
    <row r="15" spans="2:9" ht="15" customHeight="1" x14ac:dyDescent="0.2">
      <c r="B15" t="s">
        <v>54</v>
      </c>
      <c r="C15" s="12">
        <v>219</v>
      </c>
      <c r="D15" s="8">
        <v>32.880000000000003</v>
      </c>
      <c r="E15" s="12">
        <v>196</v>
      </c>
      <c r="F15" s="8">
        <v>42.79</v>
      </c>
      <c r="G15" s="12">
        <v>21</v>
      </c>
      <c r="H15" s="8">
        <v>11.11</v>
      </c>
      <c r="I15" s="12">
        <v>1</v>
      </c>
    </row>
    <row r="16" spans="2:9" ht="15" customHeight="1" x14ac:dyDescent="0.2">
      <c r="B16" t="s">
        <v>55</v>
      </c>
      <c r="C16" s="12">
        <v>82</v>
      </c>
      <c r="D16" s="8">
        <v>12.31</v>
      </c>
      <c r="E16" s="12">
        <v>66</v>
      </c>
      <c r="F16" s="8">
        <v>14.41</v>
      </c>
      <c r="G16" s="12">
        <v>14</v>
      </c>
      <c r="H16" s="8">
        <v>7.41</v>
      </c>
      <c r="I16" s="12">
        <v>1</v>
      </c>
    </row>
    <row r="17" spans="2:9" ht="15" customHeight="1" x14ac:dyDescent="0.2">
      <c r="B17" t="s">
        <v>56</v>
      </c>
      <c r="C17" s="12">
        <v>17</v>
      </c>
      <c r="D17" s="8">
        <v>2.5499999999999998</v>
      </c>
      <c r="E17" s="12">
        <v>11</v>
      </c>
      <c r="F17" s="8">
        <v>2.4</v>
      </c>
      <c r="G17" s="12">
        <v>1</v>
      </c>
      <c r="H17" s="8">
        <v>0.53</v>
      </c>
      <c r="I17" s="12">
        <v>2</v>
      </c>
    </row>
    <row r="18" spans="2:9" ht="15" customHeight="1" x14ac:dyDescent="0.2">
      <c r="B18" t="s">
        <v>57</v>
      </c>
      <c r="C18" s="12">
        <v>22</v>
      </c>
      <c r="D18" s="8">
        <v>3.3</v>
      </c>
      <c r="E18" s="12">
        <v>11</v>
      </c>
      <c r="F18" s="8">
        <v>2.4</v>
      </c>
      <c r="G18" s="12">
        <v>8</v>
      </c>
      <c r="H18" s="8">
        <v>4.2300000000000004</v>
      </c>
      <c r="I18" s="12">
        <v>1</v>
      </c>
    </row>
    <row r="19" spans="2:9" ht="15" customHeight="1" x14ac:dyDescent="0.2">
      <c r="B19" t="s">
        <v>58</v>
      </c>
      <c r="C19" s="12">
        <v>14</v>
      </c>
      <c r="D19" s="8">
        <v>2.1</v>
      </c>
      <c r="E19" s="12">
        <v>11</v>
      </c>
      <c r="F19" s="8">
        <v>2.4</v>
      </c>
      <c r="G19" s="12">
        <v>2</v>
      </c>
      <c r="H19" s="8">
        <v>1.06</v>
      </c>
      <c r="I19" s="12">
        <v>0</v>
      </c>
    </row>
    <row r="20" spans="2:9" ht="15" customHeight="1" x14ac:dyDescent="0.2">
      <c r="B20" s="9" t="s">
        <v>241</v>
      </c>
      <c r="C20" s="12">
        <f>SUM(LTBL_46505[総数／事業所数])</f>
        <v>666</v>
      </c>
      <c r="E20" s="12">
        <f>SUBTOTAL(109,LTBL_46505[個人／事業所数])</f>
        <v>458</v>
      </c>
      <c r="G20" s="12">
        <f>SUBTOTAL(109,LTBL_46505[法人／事業所数])</f>
        <v>189</v>
      </c>
      <c r="I20" s="12">
        <f>SUBTOTAL(109,LTBL_46505[法人以外の団体／事業所数])</f>
        <v>11</v>
      </c>
    </row>
    <row r="21" spans="2:9" ht="15" customHeight="1" x14ac:dyDescent="0.2">
      <c r="E21" s="11">
        <f>LTBL_46505[[#Totals],[個人／事業所数]]/LTBL_46505[[#Totals],[総数／事業所数]]</f>
        <v>0.68768768768768773</v>
      </c>
      <c r="G21" s="11">
        <f>LTBL_46505[[#Totals],[法人／事業所数]]/LTBL_46505[[#Totals],[総数／事業所数]]</f>
        <v>0.28378378378378377</v>
      </c>
      <c r="I21" s="11">
        <f>LTBL_46505[[#Totals],[法人以外の団体／事業所数]]/LTBL_46505[[#Totals],[総数／事業所数]]</f>
        <v>1.6516516516516516E-2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80</v>
      </c>
      <c r="C24" s="12">
        <v>115</v>
      </c>
      <c r="D24" s="8">
        <v>17.27</v>
      </c>
      <c r="E24" s="12">
        <v>102</v>
      </c>
      <c r="F24" s="8">
        <v>22.27</v>
      </c>
      <c r="G24" s="12">
        <v>13</v>
      </c>
      <c r="H24" s="8">
        <v>6.88</v>
      </c>
      <c r="I24" s="12">
        <v>0</v>
      </c>
    </row>
    <row r="25" spans="2:9" ht="15" customHeight="1" x14ac:dyDescent="0.2">
      <c r="B25" t="s">
        <v>81</v>
      </c>
      <c r="C25" s="12">
        <v>99</v>
      </c>
      <c r="D25" s="8">
        <v>14.86</v>
      </c>
      <c r="E25" s="12">
        <v>93</v>
      </c>
      <c r="F25" s="8">
        <v>20.309999999999999</v>
      </c>
      <c r="G25" s="12">
        <v>5</v>
      </c>
      <c r="H25" s="8">
        <v>2.65</v>
      </c>
      <c r="I25" s="12">
        <v>1</v>
      </c>
    </row>
    <row r="26" spans="2:9" ht="15" customHeight="1" x14ac:dyDescent="0.2">
      <c r="B26" t="s">
        <v>73</v>
      </c>
      <c r="C26" s="12">
        <v>62</v>
      </c>
      <c r="D26" s="8">
        <v>9.31</v>
      </c>
      <c r="E26" s="12">
        <v>48</v>
      </c>
      <c r="F26" s="8">
        <v>10.48</v>
      </c>
      <c r="G26" s="12">
        <v>13</v>
      </c>
      <c r="H26" s="8">
        <v>6.88</v>
      </c>
      <c r="I26" s="12">
        <v>1</v>
      </c>
    </row>
    <row r="27" spans="2:9" ht="15" customHeight="1" x14ac:dyDescent="0.2">
      <c r="B27" t="s">
        <v>75</v>
      </c>
      <c r="C27" s="12">
        <v>50</v>
      </c>
      <c r="D27" s="8">
        <v>7.51</v>
      </c>
      <c r="E27" s="12">
        <v>28</v>
      </c>
      <c r="F27" s="8">
        <v>6.11</v>
      </c>
      <c r="G27" s="12">
        <v>20</v>
      </c>
      <c r="H27" s="8">
        <v>10.58</v>
      </c>
      <c r="I27" s="12">
        <v>2</v>
      </c>
    </row>
    <row r="28" spans="2:9" ht="15" customHeight="1" x14ac:dyDescent="0.2">
      <c r="B28" t="s">
        <v>67</v>
      </c>
      <c r="C28" s="12">
        <v>39</v>
      </c>
      <c r="D28" s="8">
        <v>5.86</v>
      </c>
      <c r="E28" s="12">
        <v>12</v>
      </c>
      <c r="F28" s="8">
        <v>2.62</v>
      </c>
      <c r="G28" s="12">
        <v>27</v>
      </c>
      <c r="H28" s="8">
        <v>14.29</v>
      </c>
      <c r="I28" s="12">
        <v>0</v>
      </c>
    </row>
    <row r="29" spans="2:9" ht="15" customHeight="1" x14ac:dyDescent="0.2">
      <c r="B29" t="s">
        <v>82</v>
      </c>
      <c r="C29" s="12">
        <v>36</v>
      </c>
      <c r="D29" s="8">
        <v>5.41</v>
      </c>
      <c r="E29" s="12">
        <v>33</v>
      </c>
      <c r="F29" s="8">
        <v>7.21</v>
      </c>
      <c r="G29" s="12">
        <v>2</v>
      </c>
      <c r="H29" s="8">
        <v>1.06</v>
      </c>
      <c r="I29" s="12">
        <v>1</v>
      </c>
    </row>
    <row r="30" spans="2:9" ht="15" customHeight="1" x14ac:dyDescent="0.2">
      <c r="B30" t="s">
        <v>94</v>
      </c>
      <c r="C30" s="12">
        <v>32</v>
      </c>
      <c r="D30" s="8">
        <v>4.8</v>
      </c>
      <c r="E30" s="12">
        <v>26</v>
      </c>
      <c r="F30" s="8">
        <v>5.68</v>
      </c>
      <c r="G30" s="12">
        <v>6</v>
      </c>
      <c r="H30" s="8">
        <v>3.17</v>
      </c>
      <c r="I30" s="12">
        <v>0</v>
      </c>
    </row>
    <row r="31" spans="2:9" ht="15" customHeight="1" x14ac:dyDescent="0.2">
      <c r="B31" t="s">
        <v>83</v>
      </c>
      <c r="C31" s="12">
        <v>17</v>
      </c>
      <c r="D31" s="8">
        <v>2.5499999999999998</v>
      </c>
      <c r="E31" s="12">
        <v>11</v>
      </c>
      <c r="F31" s="8">
        <v>2.4</v>
      </c>
      <c r="G31" s="12">
        <v>1</v>
      </c>
      <c r="H31" s="8">
        <v>0.53</v>
      </c>
      <c r="I31" s="12">
        <v>2</v>
      </c>
    </row>
    <row r="32" spans="2:9" ht="15" customHeight="1" x14ac:dyDescent="0.2">
      <c r="B32" t="s">
        <v>91</v>
      </c>
      <c r="C32" s="12">
        <v>14</v>
      </c>
      <c r="D32" s="8">
        <v>2.1</v>
      </c>
      <c r="E32" s="12">
        <v>7</v>
      </c>
      <c r="F32" s="8">
        <v>1.53</v>
      </c>
      <c r="G32" s="12">
        <v>6</v>
      </c>
      <c r="H32" s="8">
        <v>3.17</v>
      </c>
      <c r="I32" s="12">
        <v>0</v>
      </c>
    </row>
    <row r="33" spans="2:9" ht="15" customHeight="1" x14ac:dyDescent="0.2">
      <c r="B33" t="s">
        <v>68</v>
      </c>
      <c r="C33" s="12">
        <v>13</v>
      </c>
      <c r="D33" s="8">
        <v>1.95</v>
      </c>
      <c r="E33" s="12">
        <v>7</v>
      </c>
      <c r="F33" s="8">
        <v>1.53</v>
      </c>
      <c r="G33" s="12">
        <v>6</v>
      </c>
      <c r="H33" s="8">
        <v>3.17</v>
      </c>
      <c r="I33" s="12">
        <v>0</v>
      </c>
    </row>
    <row r="34" spans="2:9" ht="15" customHeight="1" x14ac:dyDescent="0.2">
      <c r="B34" t="s">
        <v>70</v>
      </c>
      <c r="C34" s="12">
        <v>13</v>
      </c>
      <c r="D34" s="8">
        <v>1.95</v>
      </c>
      <c r="E34" s="12">
        <v>6</v>
      </c>
      <c r="F34" s="8">
        <v>1.31</v>
      </c>
      <c r="G34" s="12">
        <v>7</v>
      </c>
      <c r="H34" s="8">
        <v>3.7</v>
      </c>
      <c r="I34" s="12">
        <v>0</v>
      </c>
    </row>
    <row r="35" spans="2:9" ht="15" customHeight="1" x14ac:dyDescent="0.2">
      <c r="B35" t="s">
        <v>113</v>
      </c>
      <c r="C35" s="12">
        <v>13</v>
      </c>
      <c r="D35" s="8">
        <v>1.95</v>
      </c>
      <c r="E35" s="12">
        <v>2</v>
      </c>
      <c r="F35" s="8">
        <v>0.44</v>
      </c>
      <c r="G35" s="12">
        <v>11</v>
      </c>
      <c r="H35" s="8">
        <v>5.82</v>
      </c>
      <c r="I35" s="12">
        <v>0</v>
      </c>
    </row>
    <row r="36" spans="2:9" ht="15" customHeight="1" x14ac:dyDescent="0.2">
      <c r="B36" t="s">
        <v>74</v>
      </c>
      <c r="C36" s="12">
        <v>12</v>
      </c>
      <c r="D36" s="8">
        <v>1.8</v>
      </c>
      <c r="E36" s="12">
        <v>6</v>
      </c>
      <c r="F36" s="8">
        <v>1.31</v>
      </c>
      <c r="G36" s="12">
        <v>6</v>
      </c>
      <c r="H36" s="8">
        <v>3.17</v>
      </c>
      <c r="I36" s="12">
        <v>0</v>
      </c>
    </row>
    <row r="37" spans="2:9" ht="15" customHeight="1" x14ac:dyDescent="0.2">
      <c r="B37" t="s">
        <v>69</v>
      </c>
      <c r="C37" s="12">
        <v>11</v>
      </c>
      <c r="D37" s="8">
        <v>1.65</v>
      </c>
      <c r="E37" s="12">
        <v>6</v>
      </c>
      <c r="F37" s="8">
        <v>1.31</v>
      </c>
      <c r="G37" s="12">
        <v>5</v>
      </c>
      <c r="H37" s="8">
        <v>2.65</v>
      </c>
      <c r="I37" s="12">
        <v>0</v>
      </c>
    </row>
    <row r="38" spans="2:9" ht="15" customHeight="1" x14ac:dyDescent="0.2">
      <c r="B38" t="s">
        <v>104</v>
      </c>
      <c r="C38" s="12">
        <v>11</v>
      </c>
      <c r="D38" s="8">
        <v>1.65</v>
      </c>
      <c r="E38" s="12">
        <v>8</v>
      </c>
      <c r="F38" s="8">
        <v>1.75</v>
      </c>
      <c r="G38" s="12">
        <v>2</v>
      </c>
      <c r="H38" s="8">
        <v>1.06</v>
      </c>
      <c r="I38" s="12">
        <v>1</v>
      </c>
    </row>
    <row r="39" spans="2:9" ht="15" customHeight="1" x14ac:dyDescent="0.2">
      <c r="B39" t="s">
        <v>84</v>
      </c>
      <c r="C39" s="12">
        <v>11</v>
      </c>
      <c r="D39" s="8">
        <v>1.65</v>
      </c>
      <c r="E39" s="12">
        <v>11</v>
      </c>
      <c r="F39" s="8">
        <v>2.4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85</v>
      </c>
      <c r="C40" s="12">
        <v>11</v>
      </c>
      <c r="D40" s="8">
        <v>1.65</v>
      </c>
      <c r="E40" s="12">
        <v>0</v>
      </c>
      <c r="F40" s="8">
        <v>0</v>
      </c>
      <c r="G40" s="12">
        <v>8</v>
      </c>
      <c r="H40" s="8">
        <v>4.2300000000000004</v>
      </c>
      <c r="I40" s="12">
        <v>1</v>
      </c>
    </row>
    <row r="41" spans="2:9" ht="15" customHeight="1" x14ac:dyDescent="0.2">
      <c r="B41" t="s">
        <v>90</v>
      </c>
      <c r="C41" s="12">
        <v>9</v>
      </c>
      <c r="D41" s="8">
        <v>1.35</v>
      </c>
      <c r="E41" s="12">
        <v>2</v>
      </c>
      <c r="F41" s="8">
        <v>0.44</v>
      </c>
      <c r="G41" s="12">
        <v>7</v>
      </c>
      <c r="H41" s="8">
        <v>3.7</v>
      </c>
      <c r="I41" s="12">
        <v>0</v>
      </c>
    </row>
    <row r="42" spans="2:9" ht="15" customHeight="1" x14ac:dyDescent="0.2">
      <c r="B42" t="s">
        <v>89</v>
      </c>
      <c r="C42" s="12">
        <v>8</v>
      </c>
      <c r="D42" s="8">
        <v>1.2</v>
      </c>
      <c r="E42" s="12">
        <v>2</v>
      </c>
      <c r="F42" s="8">
        <v>0.44</v>
      </c>
      <c r="G42" s="12">
        <v>6</v>
      </c>
      <c r="H42" s="8">
        <v>3.17</v>
      </c>
      <c r="I42" s="12">
        <v>0</v>
      </c>
    </row>
    <row r="43" spans="2:9" ht="15" customHeight="1" x14ac:dyDescent="0.2">
      <c r="B43" t="s">
        <v>86</v>
      </c>
      <c r="C43" s="12">
        <v>8</v>
      </c>
      <c r="D43" s="8">
        <v>1.2</v>
      </c>
      <c r="E43" s="12">
        <v>8</v>
      </c>
      <c r="F43" s="8">
        <v>1.75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158</v>
      </c>
      <c r="C47" s="12">
        <v>73</v>
      </c>
      <c r="D47" s="8">
        <v>10.96</v>
      </c>
      <c r="E47" s="12">
        <v>66</v>
      </c>
      <c r="F47" s="8">
        <v>14.41</v>
      </c>
      <c r="G47" s="12">
        <v>7</v>
      </c>
      <c r="H47" s="8">
        <v>3.7</v>
      </c>
      <c r="I47" s="12">
        <v>0</v>
      </c>
    </row>
    <row r="48" spans="2:9" ht="15" customHeight="1" x14ac:dyDescent="0.2">
      <c r="B48" t="s">
        <v>183</v>
      </c>
      <c r="C48" s="12">
        <v>39</v>
      </c>
      <c r="D48" s="8">
        <v>5.86</v>
      </c>
      <c r="E48" s="12">
        <v>33</v>
      </c>
      <c r="F48" s="8">
        <v>7.21</v>
      </c>
      <c r="G48" s="12">
        <v>6</v>
      </c>
      <c r="H48" s="8">
        <v>3.17</v>
      </c>
      <c r="I48" s="12">
        <v>0</v>
      </c>
    </row>
    <row r="49" spans="2:9" ht="15" customHeight="1" x14ac:dyDescent="0.2">
      <c r="B49" t="s">
        <v>205</v>
      </c>
      <c r="C49" s="12">
        <v>30</v>
      </c>
      <c r="D49" s="8">
        <v>4.5</v>
      </c>
      <c r="E49" s="12">
        <v>25</v>
      </c>
      <c r="F49" s="8">
        <v>5.46</v>
      </c>
      <c r="G49" s="12">
        <v>5</v>
      </c>
      <c r="H49" s="8">
        <v>2.65</v>
      </c>
      <c r="I49" s="12">
        <v>0</v>
      </c>
    </row>
    <row r="50" spans="2:9" ht="15" customHeight="1" x14ac:dyDescent="0.2">
      <c r="B50" t="s">
        <v>133</v>
      </c>
      <c r="C50" s="12">
        <v>23</v>
      </c>
      <c r="D50" s="8">
        <v>3.45</v>
      </c>
      <c r="E50" s="12">
        <v>16</v>
      </c>
      <c r="F50" s="8">
        <v>3.49</v>
      </c>
      <c r="G50" s="12">
        <v>5</v>
      </c>
      <c r="H50" s="8">
        <v>2.65</v>
      </c>
      <c r="I50" s="12">
        <v>2</v>
      </c>
    </row>
    <row r="51" spans="2:9" ht="15" customHeight="1" x14ac:dyDescent="0.2">
      <c r="B51" t="s">
        <v>167</v>
      </c>
      <c r="C51" s="12">
        <v>23</v>
      </c>
      <c r="D51" s="8">
        <v>3.45</v>
      </c>
      <c r="E51" s="12">
        <v>21</v>
      </c>
      <c r="F51" s="8">
        <v>4.59</v>
      </c>
      <c r="G51" s="12">
        <v>1</v>
      </c>
      <c r="H51" s="8">
        <v>0.53</v>
      </c>
      <c r="I51" s="12">
        <v>1</v>
      </c>
    </row>
    <row r="52" spans="2:9" ht="15" customHeight="1" x14ac:dyDescent="0.2">
      <c r="B52" t="s">
        <v>127</v>
      </c>
      <c r="C52" s="12">
        <v>20</v>
      </c>
      <c r="D52" s="8">
        <v>3</v>
      </c>
      <c r="E52" s="12">
        <v>19</v>
      </c>
      <c r="F52" s="8">
        <v>4.1500000000000004</v>
      </c>
      <c r="G52" s="12">
        <v>1</v>
      </c>
      <c r="H52" s="8">
        <v>0.53</v>
      </c>
      <c r="I52" s="12">
        <v>0</v>
      </c>
    </row>
    <row r="53" spans="2:9" ht="15" customHeight="1" x14ac:dyDescent="0.2">
      <c r="B53" t="s">
        <v>136</v>
      </c>
      <c r="C53" s="12">
        <v>20</v>
      </c>
      <c r="D53" s="8">
        <v>3</v>
      </c>
      <c r="E53" s="12">
        <v>17</v>
      </c>
      <c r="F53" s="8">
        <v>3.71</v>
      </c>
      <c r="G53" s="12">
        <v>3</v>
      </c>
      <c r="H53" s="8">
        <v>1.59</v>
      </c>
      <c r="I53" s="12">
        <v>0</v>
      </c>
    </row>
    <row r="54" spans="2:9" ht="15" customHeight="1" x14ac:dyDescent="0.2">
      <c r="B54" t="s">
        <v>137</v>
      </c>
      <c r="C54" s="12">
        <v>20</v>
      </c>
      <c r="D54" s="8">
        <v>3</v>
      </c>
      <c r="E54" s="12">
        <v>20</v>
      </c>
      <c r="F54" s="8">
        <v>4.37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124</v>
      </c>
      <c r="C55" s="12">
        <v>19</v>
      </c>
      <c r="D55" s="8">
        <v>2.85</v>
      </c>
      <c r="E55" s="12">
        <v>1</v>
      </c>
      <c r="F55" s="8">
        <v>0.22</v>
      </c>
      <c r="G55" s="12">
        <v>18</v>
      </c>
      <c r="H55" s="8">
        <v>9.52</v>
      </c>
      <c r="I55" s="12">
        <v>0</v>
      </c>
    </row>
    <row r="56" spans="2:9" ht="15" customHeight="1" x14ac:dyDescent="0.2">
      <c r="B56" t="s">
        <v>140</v>
      </c>
      <c r="C56" s="12">
        <v>17</v>
      </c>
      <c r="D56" s="8">
        <v>2.5499999999999998</v>
      </c>
      <c r="E56" s="12">
        <v>17</v>
      </c>
      <c r="F56" s="8">
        <v>3.71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14</v>
      </c>
      <c r="D57" s="8">
        <v>2.1</v>
      </c>
      <c r="E57" s="12">
        <v>12</v>
      </c>
      <c r="F57" s="8">
        <v>2.62</v>
      </c>
      <c r="G57" s="12">
        <v>2</v>
      </c>
      <c r="H57" s="8">
        <v>1.06</v>
      </c>
      <c r="I57" s="12">
        <v>0</v>
      </c>
    </row>
    <row r="58" spans="2:9" ht="15" customHeight="1" x14ac:dyDescent="0.2">
      <c r="B58" t="s">
        <v>128</v>
      </c>
      <c r="C58" s="12">
        <v>12</v>
      </c>
      <c r="D58" s="8">
        <v>1.8</v>
      </c>
      <c r="E58" s="12">
        <v>9</v>
      </c>
      <c r="F58" s="8">
        <v>1.97</v>
      </c>
      <c r="G58" s="12">
        <v>3</v>
      </c>
      <c r="H58" s="8">
        <v>1.59</v>
      </c>
      <c r="I58" s="12">
        <v>0</v>
      </c>
    </row>
    <row r="59" spans="2:9" ht="15" customHeight="1" x14ac:dyDescent="0.2">
      <c r="B59" t="s">
        <v>156</v>
      </c>
      <c r="C59" s="12">
        <v>12</v>
      </c>
      <c r="D59" s="8">
        <v>1.8</v>
      </c>
      <c r="E59" s="12">
        <v>12</v>
      </c>
      <c r="F59" s="8">
        <v>2.62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157</v>
      </c>
      <c r="C60" s="12">
        <v>11</v>
      </c>
      <c r="D60" s="8">
        <v>1.65</v>
      </c>
      <c r="E60" s="12">
        <v>7</v>
      </c>
      <c r="F60" s="8">
        <v>1.53</v>
      </c>
      <c r="G60" s="12">
        <v>4</v>
      </c>
      <c r="H60" s="8">
        <v>2.12</v>
      </c>
      <c r="I60" s="12">
        <v>0</v>
      </c>
    </row>
    <row r="61" spans="2:9" ht="15" customHeight="1" x14ac:dyDescent="0.2">
      <c r="B61" t="s">
        <v>138</v>
      </c>
      <c r="C61" s="12">
        <v>11</v>
      </c>
      <c r="D61" s="8">
        <v>1.65</v>
      </c>
      <c r="E61" s="12">
        <v>10</v>
      </c>
      <c r="F61" s="8">
        <v>2.1800000000000002</v>
      </c>
      <c r="G61" s="12">
        <v>1</v>
      </c>
      <c r="H61" s="8">
        <v>0.53</v>
      </c>
      <c r="I61" s="12">
        <v>0</v>
      </c>
    </row>
    <row r="62" spans="2:9" ht="15" customHeight="1" x14ac:dyDescent="0.2">
      <c r="B62" t="s">
        <v>132</v>
      </c>
      <c r="C62" s="12">
        <v>10</v>
      </c>
      <c r="D62" s="8">
        <v>1.5</v>
      </c>
      <c r="E62" s="12">
        <v>1</v>
      </c>
      <c r="F62" s="8">
        <v>0.22</v>
      </c>
      <c r="G62" s="12">
        <v>9</v>
      </c>
      <c r="H62" s="8">
        <v>4.76</v>
      </c>
      <c r="I62" s="12">
        <v>0</v>
      </c>
    </row>
    <row r="63" spans="2:9" ht="15" customHeight="1" x14ac:dyDescent="0.2">
      <c r="B63" t="s">
        <v>208</v>
      </c>
      <c r="C63" s="12">
        <v>9</v>
      </c>
      <c r="D63" s="8">
        <v>1.35</v>
      </c>
      <c r="E63" s="12">
        <v>1</v>
      </c>
      <c r="F63" s="8">
        <v>0.22</v>
      </c>
      <c r="G63" s="12">
        <v>8</v>
      </c>
      <c r="H63" s="8">
        <v>4.2300000000000004</v>
      </c>
      <c r="I63" s="12">
        <v>0</v>
      </c>
    </row>
    <row r="64" spans="2:9" ht="15" customHeight="1" x14ac:dyDescent="0.2">
      <c r="B64" t="s">
        <v>139</v>
      </c>
      <c r="C64" s="12">
        <v>9</v>
      </c>
      <c r="D64" s="8">
        <v>1.35</v>
      </c>
      <c r="E64" s="12">
        <v>9</v>
      </c>
      <c r="F64" s="8">
        <v>1.97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148</v>
      </c>
      <c r="C65" s="12">
        <v>9</v>
      </c>
      <c r="D65" s="8">
        <v>1.35</v>
      </c>
      <c r="E65" s="12">
        <v>7</v>
      </c>
      <c r="F65" s="8">
        <v>1.53</v>
      </c>
      <c r="G65" s="12">
        <v>2</v>
      </c>
      <c r="H65" s="8">
        <v>1.06</v>
      </c>
      <c r="I65" s="12">
        <v>0</v>
      </c>
    </row>
    <row r="66" spans="2:9" ht="15" customHeight="1" x14ac:dyDescent="0.2">
      <c r="B66" t="s">
        <v>211</v>
      </c>
      <c r="C66" s="12">
        <v>8</v>
      </c>
      <c r="D66" s="8">
        <v>1.2</v>
      </c>
      <c r="E66" s="12">
        <v>8</v>
      </c>
      <c r="F66" s="8">
        <v>1.75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163</v>
      </c>
      <c r="C67" s="12">
        <v>8</v>
      </c>
      <c r="D67" s="8">
        <v>1.2</v>
      </c>
      <c r="E67" s="12">
        <v>2</v>
      </c>
      <c r="F67" s="8">
        <v>0.44</v>
      </c>
      <c r="G67" s="12">
        <v>6</v>
      </c>
      <c r="H67" s="8">
        <v>3.17</v>
      </c>
      <c r="I67" s="12">
        <v>0</v>
      </c>
    </row>
    <row r="68" spans="2:9" ht="15" customHeight="1" x14ac:dyDescent="0.2">
      <c r="B68" t="s">
        <v>141</v>
      </c>
      <c r="C68" s="12">
        <v>8</v>
      </c>
      <c r="D68" s="8">
        <v>1.2</v>
      </c>
      <c r="E68" s="12">
        <v>7</v>
      </c>
      <c r="F68" s="8">
        <v>1.53</v>
      </c>
      <c r="G68" s="12">
        <v>1</v>
      </c>
      <c r="H68" s="8">
        <v>0.53</v>
      </c>
      <c r="I68" s="12">
        <v>0</v>
      </c>
    </row>
    <row r="69" spans="2:9" ht="15" customHeight="1" x14ac:dyDescent="0.2">
      <c r="B69" t="s">
        <v>142</v>
      </c>
      <c r="C69" s="12">
        <v>8</v>
      </c>
      <c r="D69" s="8">
        <v>1.2</v>
      </c>
      <c r="E69" s="12">
        <v>8</v>
      </c>
      <c r="F69" s="8">
        <v>1.75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143</v>
      </c>
      <c r="C70" s="12">
        <v>8</v>
      </c>
      <c r="D70" s="8">
        <v>1.2</v>
      </c>
      <c r="E70" s="12">
        <v>8</v>
      </c>
      <c r="F70" s="8">
        <v>1.75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5327-3C91-45ED-A2AD-854900DA4A71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1.67</v>
      </c>
      <c r="E5" s="12">
        <v>0</v>
      </c>
      <c r="F5" s="8">
        <v>0</v>
      </c>
      <c r="G5" s="12">
        <v>1</v>
      </c>
      <c r="H5" s="8">
        <v>7.69</v>
      </c>
      <c r="I5" s="12">
        <v>0</v>
      </c>
    </row>
    <row r="6" spans="2:9" ht="15" customHeight="1" x14ac:dyDescent="0.2">
      <c r="B6" t="s">
        <v>45</v>
      </c>
      <c r="C6" s="12">
        <v>6</v>
      </c>
      <c r="D6" s="8">
        <v>10</v>
      </c>
      <c r="E6" s="12">
        <v>0</v>
      </c>
      <c r="F6" s="8">
        <v>0</v>
      </c>
      <c r="G6" s="12">
        <v>6</v>
      </c>
      <c r="H6" s="8">
        <v>46.15</v>
      </c>
      <c r="I6" s="12">
        <v>0</v>
      </c>
    </row>
    <row r="7" spans="2:9" ht="15" customHeight="1" x14ac:dyDescent="0.2">
      <c r="B7" t="s">
        <v>46</v>
      </c>
      <c r="C7" s="12">
        <v>13</v>
      </c>
      <c r="D7" s="8">
        <v>21.67</v>
      </c>
      <c r="E7" s="12">
        <v>12</v>
      </c>
      <c r="F7" s="8">
        <v>29.27</v>
      </c>
      <c r="G7" s="12">
        <v>1</v>
      </c>
      <c r="H7" s="8">
        <v>7.69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1.67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14</v>
      </c>
      <c r="D11" s="8">
        <v>23.33</v>
      </c>
      <c r="E11" s="12">
        <v>12</v>
      </c>
      <c r="F11" s="8">
        <v>29.27</v>
      </c>
      <c r="G11" s="12">
        <v>2</v>
      </c>
      <c r="H11" s="8">
        <v>15.38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2</v>
      </c>
      <c r="D13" s="8">
        <v>3.33</v>
      </c>
      <c r="E13" s="12">
        <v>0</v>
      </c>
      <c r="F13" s="8">
        <v>0</v>
      </c>
      <c r="G13" s="12">
        <v>1</v>
      </c>
      <c r="H13" s="8">
        <v>7.69</v>
      </c>
      <c r="I13" s="12">
        <v>0</v>
      </c>
    </row>
    <row r="14" spans="2:9" ht="15" customHeight="1" x14ac:dyDescent="0.2">
      <c r="B14" t="s">
        <v>53</v>
      </c>
      <c r="C14" s="12">
        <v>1</v>
      </c>
      <c r="D14" s="8">
        <v>1.67</v>
      </c>
      <c r="E14" s="12">
        <v>1</v>
      </c>
      <c r="F14" s="8">
        <v>2.44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54</v>
      </c>
      <c r="C15" s="12">
        <v>9</v>
      </c>
      <c r="D15" s="8">
        <v>15</v>
      </c>
      <c r="E15" s="12">
        <v>9</v>
      </c>
      <c r="F15" s="8">
        <v>21.95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55</v>
      </c>
      <c r="C16" s="12">
        <v>3</v>
      </c>
      <c r="D16" s="8">
        <v>5</v>
      </c>
      <c r="E16" s="12">
        <v>3</v>
      </c>
      <c r="F16" s="8">
        <v>7.32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1</v>
      </c>
      <c r="D17" s="8">
        <v>1.67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5</v>
      </c>
      <c r="D18" s="8">
        <v>8.33</v>
      </c>
      <c r="E18" s="12">
        <v>2</v>
      </c>
      <c r="F18" s="8">
        <v>4.88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58</v>
      </c>
      <c r="C19" s="12">
        <v>4</v>
      </c>
      <c r="D19" s="8">
        <v>6.67</v>
      </c>
      <c r="E19" s="12">
        <v>2</v>
      </c>
      <c r="F19" s="8">
        <v>4.88</v>
      </c>
      <c r="G19" s="12">
        <v>2</v>
      </c>
      <c r="H19" s="8">
        <v>15.38</v>
      </c>
      <c r="I19" s="12">
        <v>0</v>
      </c>
    </row>
    <row r="20" spans="2:9" ht="15" customHeight="1" x14ac:dyDescent="0.2">
      <c r="B20" s="9" t="s">
        <v>241</v>
      </c>
      <c r="C20" s="12">
        <f>SUM(LTBL_46523[総数／事業所数])</f>
        <v>60</v>
      </c>
      <c r="E20" s="12">
        <f>SUBTOTAL(109,LTBL_46523[個人／事業所数])</f>
        <v>41</v>
      </c>
      <c r="G20" s="12">
        <f>SUBTOTAL(109,LTBL_46523[法人／事業所数])</f>
        <v>13</v>
      </c>
      <c r="I20" s="12">
        <f>SUBTOTAL(109,LTBL_46523[法人以外の団体／事業所数])</f>
        <v>0</v>
      </c>
    </row>
    <row r="21" spans="2:9" ht="15" customHeight="1" x14ac:dyDescent="0.2">
      <c r="E21" s="11">
        <f>LTBL_46523[[#Totals],[個人／事業所数]]/LTBL_46523[[#Totals],[総数／事業所数]]</f>
        <v>0.68333333333333335</v>
      </c>
      <c r="G21" s="11">
        <f>LTBL_46523[[#Totals],[法人／事業所数]]/LTBL_46523[[#Totals],[総数／事業所数]]</f>
        <v>0.21666666666666667</v>
      </c>
      <c r="I21" s="11">
        <f>LTBL_46523[[#Totals],[法人以外の団体／事業所数]]/LTBL_46523[[#Totals],[総数／事業所数]]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101</v>
      </c>
      <c r="C24" s="12">
        <v>11</v>
      </c>
      <c r="D24" s="8">
        <v>18.329999999999998</v>
      </c>
      <c r="E24" s="12">
        <v>11</v>
      </c>
      <c r="F24" s="8">
        <v>26.83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73</v>
      </c>
      <c r="C25" s="12">
        <v>8</v>
      </c>
      <c r="D25" s="8">
        <v>13.33</v>
      </c>
      <c r="E25" s="12">
        <v>8</v>
      </c>
      <c r="F25" s="8">
        <v>19.510000000000002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67</v>
      </c>
      <c r="C26" s="12">
        <v>6</v>
      </c>
      <c r="D26" s="8">
        <v>10</v>
      </c>
      <c r="E26" s="12">
        <v>0</v>
      </c>
      <c r="F26" s="8">
        <v>0</v>
      </c>
      <c r="G26" s="12">
        <v>6</v>
      </c>
      <c r="H26" s="8">
        <v>46.15</v>
      </c>
      <c r="I26" s="12">
        <v>0</v>
      </c>
    </row>
    <row r="27" spans="2:9" ht="15" customHeight="1" x14ac:dyDescent="0.2">
      <c r="B27" t="s">
        <v>75</v>
      </c>
      <c r="C27" s="12">
        <v>5</v>
      </c>
      <c r="D27" s="8">
        <v>8.33</v>
      </c>
      <c r="E27" s="12">
        <v>4</v>
      </c>
      <c r="F27" s="8">
        <v>9.76</v>
      </c>
      <c r="G27" s="12">
        <v>1</v>
      </c>
      <c r="H27" s="8">
        <v>7.69</v>
      </c>
      <c r="I27" s="12">
        <v>0</v>
      </c>
    </row>
    <row r="28" spans="2:9" ht="15" customHeight="1" x14ac:dyDescent="0.2">
      <c r="B28" t="s">
        <v>80</v>
      </c>
      <c r="C28" s="12">
        <v>5</v>
      </c>
      <c r="D28" s="8">
        <v>8.33</v>
      </c>
      <c r="E28" s="12">
        <v>5</v>
      </c>
      <c r="F28" s="8">
        <v>12.2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81</v>
      </c>
      <c r="C29" s="12">
        <v>3</v>
      </c>
      <c r="D29" s="8">
        <v>5</v>
      </c>
      <c r="E29" s="12">
        <v>3</v>
      </c>
      <c r="F29" s="8">
        <v>7.32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85</v>
      </c>
      <c r="C30" s="12">
        <v>3</v>
      </c>
      <c r="D30" s="8">
        <v>5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77</v>
      </c>
      <c r="C31" s="12">
        <v>2</v>
      </c>
      <c r="D31" s="8">
        <v>3.33</v>
      </c>
      <c r="E31" s="12">
        <v>0</v>
      </c>
      <c r="F31" s="8">
        <v>0</v>
      </c>
      <c r="G31" s="12">
        <v>1</v>
      </c>
      <c r="H31" s="8">
        <v>7.69</v>
      </c>
      <c r="I31" s="12">
        <v>0</v>
      </c>
    </row>
    <row r="32" spans="2:9" ht="15" customHeight="1" x14ac:dyDescent="0.2">
      <c r="B32" t="s">
        <v>94</v>
      </c>
      <c r="C32" s="12">
        <v>2</v>
      </c>
      <c r="D32" s="8">
        <v>3.33</v>
      </c>
      <c r="E32" s="12">
        <v>2</v>
      </c>
      <c r="F32" s="8">
        <v>4.88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84</v>
      </c>
      <c r="C33" s="12">
        <v>2</v>
      </c>
      <c r="D33" s="8">
        <v>3.33</v>
      </c>
      <c r="E33" s="12">
        <v>2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111</v>
      </c>
      <c r="C34" s="12">
        <v>2</v>
      </c>
      <c r="D34" s="8">
        <v>3.33</v>
      </c>
      <c r="E34" s="12">
        <v>0</v>
      </c>
      <c r="F34" s="8">
        <v>0</v>
      </c>
      <c r="G34" s="12">
        <v>2</v>
      </c>
      <c r="H34" s="8">
        <v>15.38</v>
      </c>
      <c r="I34" s="12">
        <v>0</v>
      </c>
    </row>
    <row r="35" spans="2:9" ht="15" customHeight="1" x14ac:dyDescent="0.2">
      <c r="B35" t="s">
        <v>99</v>
      </c>
      <c r="C35" s="12">
        <v>2</v>
      </c>
      <c r="D35" s="8">
        <v>3.33</v>
      </c>
      <c r="E35" s="12">
        <v>2</v>
      </c>
      <c r="F35" s="8">
        <v>4.88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115</v>
      </c>
      <c r="C36" s="12">
        <v>1</v>
      </c>
      <c r="D36" s="8">
        <v>1.67</v>
      </c>
      <c r="E36" s="12">
        <v>0</v>
      </c>
      <c r="F36" s="8">
        <v>0</v>
      </c>
      <c r="G36" s="12">
        <v>1</v>
      </c>
      <c r="H36" s="8">
        <v>7.69</v>
      </c>
      <c r="I36" s="12">
        <v>0</v>
      </c>
    </row>
    <row r="37" spans="2:9" ht="15" customHeight="1" x14ac:dyDescent="0.2">
      <c r="B37" t="s">
        <v>116</v>
      </c>
      <c r="C37" s="12">
        <v>1</v>
      </c>
      <c r="D37" s="8">
        <v>1.67</v>
      </c>
      <c r="E37" s="12">
        <v>0</v>
      </c>
      <c r="F37" s="8">
        <v>0</v>
      </c>
      <c r="G37" s="12">
        <v>1</v>
      </c>
      <c r="H37" s="8">
        <v>7.69</v>
      </c>
      <c r="I37" s="12">
        <v>0</v>
      </c>
    </row>
    <row r="38" spans="2:9" ht="15" customHeight="1" x14ac:dyDescent="0.2">
      <c r="B38" t="s">
        <v>103</v>
      </c>
      <c r="C38" s="12">
        <v>1</v>
      </c>
      <c r="D38" s="8">
        <v>1.67</v>
      </c>
      <c r="E38" s="12">
        <v>1</v>
      </c>
      <c r="F38" s="8">
        <v>2.44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117</v>
      </c>
      <c r="C39" s="12">
        <v>1</v>
      </c>
      <c r="D39" s="8">
        <v>1.67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105</v>
      </c>
      <c r="C40" s="12">
        <v>1</v>
      </c>
      <c r="D40" s="8">
        <v>1.67</v>
      </c>
      <c r="E40" s="12">
        <v>0</v>
      </c>
      <c r="F40" s="8">
        <v>0</v>
      </c>
      <c r="G40" s="12">
        <v>1</v>
      </c>
      <c r="H40" s="8">
        <v>7.69</v>
      </c>
      <c r="I40" s="12">
        <v>0</v>
      </c>
    </row>
    <row r="41" spans="2:9" ht="15" customHeight="1" x14ac:dyDescent="0.2">
      <c r="B41" t="s">
        <v>78</v>
      </c>
      <c r="C41" s="12">
        <v>1</v>
      </c>
      <c r="D41" s="8">
        <v>1.67</v>
      </c>
      <c r="E41" s="12">
        <v>1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93</v>
      </c>
      <c r="C42" s="12">
        <v>1</v>
      </c>
      <c r="D42" s="8">
        <v>1.67</v>
      </c>
      <c r="E42" s="12">
        <v>1</v>
      </c>
      <c r="F42" s="8">
        <v>2.44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82</v>
      </c>
      <c r="C43" s="12">
        <v>1</v>
      </c>
      <c r="D43" s="8">
        <v>1.67</v>
      </c>
      <c r="E43" s="12">
        <v>1</v>
      </c>
      <c r="F43" s="8">
        <v>2.44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83</v>
      </c>
      <c r="C44" s="12">
        <v>1</v>
      </c>
      <c r="D44" s="8">
        <v>1.67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243</v>
      </c>
      <c r="C47" s="10" t="s">
        <v>60</v>
      </c>
      <c r="D47" s="10" t="s">
        <v>61</v>
      </c>
      <c r="E47" s="10" t="s">
        <v>62</v>
      </c>
      <c r="F47" s="10" t="s">
        <v>63</v>
      </c>
      <c r="G47" s="10" t="s">
        <v>64</v>
      </c>
      <c r="H47" s="10" t="s">
        <v>65</v>
      </c>
      <c r="I47" s="10" t="s">
        <v>66</v>
      </c>
    </row>
    <row r="48" spans="2:9" ht="15" customHeight="1" x14ac:dyDescent="0.2">
      <c r="B48" t="s">
        <v>172</v>
      </c>
      <c r="C48" s="12">
        <v>11</v>
      </c>
      <c r="D48" s="8">
        <v>18.329999999999998</v>
      </c>
      <c r="E48" s="12">
        <v>11</v>
      </c>
      <c r="F48" s="8">
        <v>26.83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129</v>
      </c>
      <c r="C49" s="12">
        <v>5</v>
      </c>
      <c r="D49" s="8">
        <v>8.33</v>
      </c>
      <c r="E49" s="12">
        <v>5</v>
      </c>
      <c r="F49" s="8">
        <v>12.2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124</v>
      </c>
      <c r="C50" s="12">
        <v>4</v>
      </c>
      <c r="D50" s="8">
        <v>6.67</v>
      </c>
      <c r="E50" s="12">
        <v>0</v>
      </c>
      <c r="F50" s="8">
        <v>0</v>
      </c>
      <c r="G50" s="12">
        <v>4</v>
      </c>
      <c r="H50" s="8">
        <v>30.77</v>
      </c>
      <c r="I50" s="12">
        <v>0</v>
      </c>
    </row>
    <row r="51" spans="2:9" ht="15" customHeight="1" x14ac:dyDescent="0.2">
      <c r="B51" t="s">
        <v>158</v>
      </c>
      <c r="C51" s="12">
        <v>3</v>
      </c>
      <c r="D51" s="8">
        <v>5</v>
      </c>
      <c r="E51" s="12">
        <v>3</v>
      </c>
      <c r="F51" s="8">
        <v>7.32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187</v>
      </c>
      <c r="C52" s="12">
        <v>3</v>
      </c>
      <c r="D52" s="8">
        <v>5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204</v>
      </c>
      <c r="C53" s="12">
        <v>2</v>
      </c>
      <c r="D53" s="8">
        <v>3.33</v>
      </c>
      <c r="E53" s="12">
        <v>2</v>
      </c>
      <c r="F53" s="8">
        <v>4.88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216</v>
      </c>
      <c r="C54" s="12">
        <v>2</v>
      </c>
      <c r="D54" s="8">
        <v>3.33</v>
      </c>
      <c r="E54" s="12">
        <v>2</v>
      </c>
      <c r="F54" s="8">
        <v>4.88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2</v>
      </c>
      <c r="D55" s="8">
        <v>3.33</v>
      </c>
      <c r="E55" s="12">
        <v>0</v>
      </c>
      <c r="F55" s="8">
        <v>0</v>
      </c>
      <c r="G55" s="12">
        <v>1</v>
      </c>
      <c r="H55" s="8">
        <v>7.69</v>
      </c>
      <c r="I55" s="12">
        <v>0</v>
      </c>
    </row>
    <row r="56" spans="2:9" ht="15" customHeight="1" x14ac:dyDescent="0.2">
      <c r="B56" t="s">
        <v>183</v>
      </c>
      <c r="C56" s="12">
        <v>2</v>
      </c>
      <c r="D56" s="8">
        <v>3.33</v>
      </c>
      <c r="E56" s="12">
        <v>2</v>
      </c>
      <c r="F56" s="8">
        <v>4.88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2</v>
      </c>
      <c r="D57" s="8">
        <v>3.33</v>
      </c>
      <c r="E57" s="12">
        <v>2</v>
      </c>
      <c r="F57" s="8">
        <v>4.88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205</v>
      </c>
      <c r="C58" s="12">
        <v>2</v>
      </c>
      <c r="D58" s="8">
        <v>3.33</v>
      </c>
      <c r="E58" s="12">
        <v>2</v>
      </c>
      <c r="F58" s="8">
        <v>4.88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142</v>
      </c>
      <c r="C59" s="12">
        <v>2</v>
      </c>
      <c r="D59" s="8">
        <v>3.33</v>
      </c>
      <c r="E59" s="12">
        <v>2</v>
      </c>
      <c r="F59" s="8">
        <v>4.88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219</v>
      </c>
      <c r="C60" s="12">
        <v>2</v>
      </c>
      <c r="D60" s="8">
        <v>3.33</v>
      </c>
      <c r="E60" s="12">
        <v>0</v>
      </c>
      <c r="F60" s="8">
        <v>0</v>
      </c>
      <c r="G60" s="12">
        <v>2</v>
      </c>
      <c r="H60" s="8">
        <v>15.38</v>
      </c>
      <c r="I60" s="12">
        <v>0</v>
      </c>
    </row>
    <row r="61" spans="2:9" ht="15" customHeight="1" x14ac:dyDescent="0.2">
      <c r="B61" t="s">
        <v>212</v>
      </c>
      <c r="C61" s="12">
        <v>1</v>
      </c>
      <c r="D61" s="8">
        <v>1.67</v>
      </c>
      <c r="E61" s="12">
        <v>0</v>
      </c>
      <c r="F61" s="8">
        <v>0</v>
      </c>
      <c r="G61" s="12">
        <v>1</v>
      </c>
      <c r="H61" s="8">
        <v>7.69</v>
      </c>
      <c r="I61" s="12">
        <v>0</v>
      </c>
    </row>
    <row r="62" spans="2:9" ht="15" customHeight="1" x14ac:dyDescent="0.2">
      <c r="B62" t="s">
        <v>197</v>
      </c>
      <c r="C62" s="12">
        <v>1</v>
      </c>
      <c r="D62" s="8">
        <v>1.67</v>
      </c>
      <c r="E62" s="12">
        <v>0</v>
      </c>
      <c r="F62" s="8">
        <v>0</v>
      </c>
      <c r="G62" s="12">
        <v>1</v>
      </c>
      <c r="H62" s="8">
        <v>7.69</v>
      </c>
      <c r="I62" s="12">
        <v>0</v>
      </c>
    </row>
    <row r="63" spans="2:9" ht="15" customHeight="1" x14ac:dyDescent="0.2">
      <c r="B63" t="s">
        <v>125</v>
      </c>
      <c r="C63" s="12">
        <v>1</v>
      </c>
      <c r="D63" s="8">
        <v>1.67</v>
      </c>
      <c r="E63" s="12">
        <v>0</v>
      </c>
      <c r="F63" s="8">
        <v>0</v>
      </c>
      <c r="G63" s="12">
        <v>1</v>
      </c>
      <c r="H63" s="8">
        <v>7.69</v>
      </c>
      <c r="I63" s="12">
        <v>0</v>
      </c>
    </row>
    <row r="64" spans="2:9" ht="15" customHeight="1" x14ac:dyDescent="0.2">
      <c r="B64" t="s">
        <v>213</v>
      </c>
      <c r="C64" s="12">
        <v>1</v>
      </c>
      <c r="D64" s="8">
        <v>1.67</v>
      </c>
      <c r="E64" s="12">
        <v>0</v>
      </c>
      <c r="F64" s="8">
        <v>0</v>
      </c>
      <c r="G64" s="12">
        <v>1</v>
      </c>
      <c r="H64" s="8">
        <v>7.69</v>
      </c>
      <c r="I64" s="12">
        <v>0</v>
      </c>
    </row>
    <row r="65" spans="2:9" ht="15" customHeight="1" x14ac:dyDescent="0.2">
      <c r="B65" t="s">
        <v>214</v>
      </c>
      <c r="C65" s="12">
        <v>1</v>
      </c>
      <c r="D65" s="8">
        <v>1.67</v>
      </c>
      <c r="E65" s="12">
        <v>1</v>
      </c>
      <c r="F65" s="8">
        <v>2.44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215</v>
      </c>
      <c r="C66" s="12">
        <v>1</v>
      </c>
      <c r="D66" s="8">
        <v>1.67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127</v>
      </c>
      <c r="C67" s="12">
        <v>1</v>
      </c>
      <c r="D67" s="8">
        <v>1.67</v>
      </c>
      <c r="E67" s="12">
        <v>1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131</v>
      </c>
      <c r="C68" s="12">
        <v>1</v>
      </c>
      <c r="D68" s="8">
        <v>1.67</v>
      </c>
      <c r="E68" s="12">
        <v>0</v>
      </c>
      <c r="F68" s="8">
        <v>0</v>
      </c>
      <c r="G68" s="12">
        <v>1</v>
      </c>
      <c r="H68" s="8">
        <v>7.69</v>
      </c>
      <c r="I68" s="12">
        <v>0</v>
      </c>
    </row>
    <row r="69" spans="2:9" ht="15" customHeight="1" x14ac:dyDescent="0.2">
      <c r="B69" t="s">
        <v>132</v>
      </c>
      <c r="C69" s="12">
        <v>1</v>
      </c>
      <c r="D69" s="8">
        <v>1.67</v>
      </c>
      <c r="E69" s="12">
        <v>1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210</v>
      </c>
      <c r="C70" s="12">
        <v>1</v>
      </c>
      <c r="D70" s="8">
        <v>1.67</v>
      </c>
      <c r="E70" s="12">
        <v>1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217</v>
      </c>
      <c r="C71" s="12">
        <v>1</v>
      </c>
      <c r="D71" s="8">
        <v>1.67</v>
      </c>
      <c r="E71" s="12">
        <v>0</v>
      </c>
      <c r="F71" s="8">
        <v>0</v>
      </c>
      <c r="G71" s="12">
        <v>1</v>
      </c>
      <c r="H71" s="8">
        <v>7.69</v>
      </c>
      <c r="I71" s="12">
        <v>0</v>
      </c>
    </row>
    <row r="72" spans="2:9" ht="15" customHeight="1" x14ac:dyDescent="0.2">
      <c r="B72" t="s">
        <v>218</v>
      </c>
      <c r="C72" s="12">
        <v>1</v>
      </c>
      <c r="D72" s="8">
        <v>1.67</v>
      </c>
      <c r="E72" s="12">
        <v>1</v>
      </c>
      <c r="F72" s="8">
        <v>2.44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137</v>
      </c>
      <c r="C73" s="12">
        <v>1</v>
      </c>
      <c r="D73" s="8">
        <v>1.67</v>
      </c>
      <c r="E73" s="12">
        <v>1</v>
      </c>
      <c r="F73" s="8">
        <v>2.44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199</v>
      </c>
      <c r="C74" s="12">
        <v>1</v>
      </c>
      <c r="D74" s="8">
        <v>1.67</v>
      </c>
      <c r="E74" s="12">
        <v>1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140</v>
      </c>
      <c r="C75" s="12">
        <v>1</v>
      </c>
      <c r="D75" s="8">
        <v>1.67</v>
      </c>
      <c r="E75" s="12">
        <v>1</v>
      </c>
      <c r="F75" s="8">
        <v>2.44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165</v>
      </c>
      <c r="C76" s="12">
        <v>1</v>
      </c>
      <c r="D76" s="8">
        <v>1.67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220</v>
      </c>
      <c r="C77" s="12">
        <v>1</v>
      </c>
      <c r="D77" s="8">
        <v>1.67</v>
      </c>
      <c r="E77" s="12">
        <v>1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221</v>
      </c>
      <c r="C78" s="12">
        <v>1</v>
      </c>
      <c r="D78" s="8">
        <v>1.67</v>
      </c>
      <c r="E78" s="12">
        <v>1</v>
      </c>
      <c r="F78" s="8">
        <v>2.44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4EF7-907B-494C-94C5-EDFACF00DBCD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10</v>
      </c>
      <c r="D6" s="8">
        <v>16.39</v>
      </c>
      <c r="E6" s="12">
        <v>5</v>
      </c>
      <c r="F6" s="8">
        <v>15.15</v>
      </c>
      <c r="G6" s="12">
        <v>5</v>
      </c>
      <c r="H6" s="8">
        <v>20</v>
      </c>
      <c r="I6" s="12">
        <v>0</v>
      </c>
    </row>
    <row r="7" spans="2:9" ht="15" customHeight="1" x14ac:dyDescent="0.2">
      <c r="B7" t="s">
        <v>46</v>
      </c>
      <c r="C7" s="12">
        <v>6</v>
      </c>
      <c r="D7" s="8">
        <v>9.84</v>
      </c>
      <c r="E7" s="12">
        <v>1</v>
      </c>
      <c r="F7" s="8">
        <v>3.03</v>
      </c>
      <c r="G7" s="12">
        <v>5</v>
      </c>
      <c r="H7" s="8">
        <v>20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1.64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1.64</v>
      </c>
      <c r="E9" s="12">
        <v>0</v>
      </c>
      <c r="F9" s="8">
        <v>0</v>
      </c>
      <c r="G9" s="12">
        <v>1</v>
      </c>
      <c r="H9" s="8">
        <v>4</v>
      </c>
      <c r="I9" s="12">
        <v>0</v>
      </c>
    </row>
    <row r="10" spans="2:9" ht="15" customHeight="1" x14ac:dyDescent="0.2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50</v>
      </c>
      <c r="C11" s="12">
        <v>18</v>
      </c>
      <c r="D11" s="8">
        <v>29.51</v>
      </c>
      <c r="E11" s="12">
        <v>10</v>
      </c>
      <c r="F11" s="8">
        <v>30.3</v>
      </c>
      <c r="G11" s="12">
        <v>8</v>
      </c>
      <c r="H11" s="8">
        <v>32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5</v>
      </c>
      <c r="D13" s="8">
        <v>8.1999999999999993</v>
      </c>
      <c r="E13" s="12">
        <v>1</v>
      </c>
      <c r="F13" s="8">
        <v>3.03</v>
      </c>
      <c r="G13" s="12">
        <v>3</v>
      </c>
      <c r="H13" s="8">
        <v>12</v>
      </c>
      <c r="I13" s="12">
        <v>0</v>
      </c>
    </row>
    <row r="14" spans="2:9" ht="15" customHeight="1" x14ac:dyDescent="0.2">
      <c r="B14" t="s">
        <v>53</v>
      </c>
      <c r="C14" s="12">
        <v>1</v>
      </c>
      <c r="D14" s="8">
        <v>1.64</v>
      </c>
      <c r="E14" s="12">
        <v>0</v>
      </c>
      <c r="F14" s="8">
        <v>0</v>
      </c>
      <c r="G14" s="12">
        <v>1</v>
      </c>
      <c r="H14" s="8">
        <v>4</v>
      </c>
      <c r="I14" s="12">
        <v>0</v>
      </c>
    </row>
    <row r="15" spans="2:9" ht="15" customHeight="1" x14ac:dyDescent="0.2">
      <c r="B15" t="s">
        <v>54</v>
      </c>
      <c r="C15" s="12">
        <v>10</v>
      </c>
      <c r="D15" s="8">
        <v>16.39</v>
      </c>
      <c r="E15" s="12">
        <v>9</v>
      </c>
      <c r="F15" s="8">
        <v>27.27</v>
      </c>
      <c r="G15" s="12">
        <v>1</v>
      </c>
      <c r="H15" s="8">
        <v>4</v>
      </c>
      <c r="I15" s="12">
        <v>0</v>
      </c>
    </row>
    <row r="16" spans="2:9" ht="15" customHeight="1" x14ac:dyDescent="0.2">
      <c r="B16" t="s">
        <v>55</v>
      </c>
      <c r="C16" s="12">
        <v>6</v>
      </c>
      <c r="D16" s="8">
        <v>9.84</v>
      </c>
      <c r="E16" s="12">
        <v>6</v>
      </c>
      <c r="F16" s="8">
        <v>18.18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2</v>
      </c>
      <c r="D18" s="8">
        <v>3.28</v>
      </c>
      <c r="E18" s="12">
        <v>1</v>
      </c>
      <c r="F18" s="8">
        <v>3.03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58</v>
      </c>
      <c r="C19" s="12">
        <v>1</v>
      </c>
      <c r="D19" s="8">
        <v>1.64</v>
      </c>
      <c r="E19" s="12">
        <v>0</v>
      </c>
      <c r="F19" s="8">
        <v>0</v>
      </c>
      <c r="G19" s="12">
        <v>1</v>
      </c>
      <c r="H19" s="8">
        <v>4</v>
      </c>
      <c r="I19" s="12">
        <v>0</v>
      </c>
    </row>
    <row r="20" spans="2:9" ht="15" customHeight="1" x14ac:dyDescent="0.2">
      <c r="B20" s="9" t="s">
        <v>241</v>
      </c>
      <c r="C20" s="12">
        <f>SUM(LTBL_46524[総数／事業所数])</f>
        <v>61</v>
      </c>
      <c r="E20" s="12">
        <f>SUBTOTAL(109,LTBL_46524[個人／事業所数])</f>
        <v>33</v>
      </c>
      <c r="G20" s="12">
        <f>SUBTOTAL(109,LTBL_46524[法人／事業所数])</f>
        <v>25</v>
      </c>
      <c r="I20" s="12">
        <f>SUBTOTAL(109,LTBL_46524[法人以外の団体／事業所数])</f>
        <v>0</v>
      </c>
    </row>
    <row r="21" spans="2:9" ht="15" customHeight="1" x14ac:dyDescent="0.2">
      <c r="E21" s="11">
        <f>LTBL_46524[[#Totals],[個人／事業所数]]/LTBL_46524[[#Totals],[総数／事業所数]]</f>
        <v>0.54098360655737709</v>
      </c>
      <c r="G21" s="11">
        <f>LTBL_46524[[#Totals],[法人／事業所数]]/LTBL_46524[[#Totals],[総数／事業所数]]</f>
        <v>0.4098360655737705</v>
      </c>
      <c r="I21" s="11">
        <f>LTBL_46524[[#Totals],[法人以外の団体／事業所数]]/LTBL_46524[[#Totals],[総数／事業所数]]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12</v>
      </c>
      <c r="D24" s="8">
        <v>19.670000000000002</v>
      </c>
      <c r="E24" s="12">
        <v>7</v>
      </c>
      <c r="F24" s="8">
        <v>21.21</v>
      </c>
      <c r="G24" s="12">
        <v>5</v>
      </c>
      <c r="H24" s="8">
        <v>20</v>
      </c>
      <c r="I24" s="12">
        <v>0</v>
      </c>
    </row>
    <row r="25" spans="2:9" ht="15" customHeight="1" x14ac:dyDescent="0.2">
      <c r="B25" t="s">
        <v>81</v>
      </c>
      <c r="C25" s="12">
        <v>7</v>
      </c>
      <c r="D25" s="8">
        <v>11.48</v>
      </c>
      <c r="E25" s="12">
        <v>6</v>
      </c>
      <c r="F25" s="8">
        <v>18.18</v>
      </c>
      <c r="G25" s="12">
        <v>1</v>
      </c>
      <c r="H25" s="8">
        <v>4</v>
      </c>
      <c r="I25" s="12">
        <v>0</v>
      </c>
    </row>
    <row r="26" spans="2:9" ht="15" customHeight="1" x14ac:dyDescent="0.2">
      <c r="B26" t="s">
        <v>67</v>
      </c>
      <c r="C26" s="12">
        <v>6</v>
      </c>
      <c r="D26" s="8">
        <v>9.84</v>
      </c>
      <c r="E26" s="12">
        <v>2</v>
      </c>
      <c r="F26" s="8">
        <v>6.06</v>
      </c>
      <c r="G26" s="12">
        <v>4</v>
      </c>
      <c r="H26" s="8">
        <v>16</v>
      </c>
      <c r="I26" s="12">
        <v>0</v>
      </c>
    </row>
    <row r="27" spans="2:9" ht="15" customHeight="1" x14ac:dyDescent="0.2">
      <c r="B27" t="s">
        <v>82</v>
      </c>
      <c r="C27" s="12">
        <v>6</v>
      </c>
      <c r="D27" s="8">
        <v>9.84</v>
      </c>
      <c r="E27" s="12">
        <v>6</v>
      </c>
      <c r="F27" s="8">
        <v>18.18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75</v>
      </c>
      <c r="C28" s="12">
        <v>5</v>
      </c>
      <c r="D28" s="8">
        <v>8.1999999999999993</v>
      </c>
      <c r="E28" s="12">
        <v>2</v>
      </c>
      <c r="F28" s="8">
        <v>6.06</v>
      </c>
      <c r="G28" s="12">
        <v>3</v>
      </c>
      <c r="H28" s="8">
        <v>12</v>
      </c>
      <c r="I28" s="12">
        <v>0</v>
      </c>
    </row>
    <row r="29" spans="2:9" ht="15" customHeight="1" x14ac:dyDescent="0.2">
      <c r="B29" t="s">
        <v>68</v>
      </c>
      <c r="C29" s="12">
        <v>3</v>
      </c>
      <c r="D29" s="8">
        <v>4.92</v>
      </c>
      <c r="E29" s="12">
        <v>3</v>
      </c>
      <c r="F29" s="8">
        <v>9.09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98</v>
      </c>
      <c r="C30" s="12">
        <v>3</v>
      </c>
      <c r="D30" s="8">
        <v>4.92</v>
      </c>
      <c r="E30" s="12">
        <v>0</v>
      </c>
      <c r="F30" s="8">
        <v>0</v>
      </c>
      <c r="G30" s="12">
        <v>3</v>
      </c>
      <c r="H30" s="8">
        <v>12</v>
      </c>
      <c r="I30" s="12">
        <v>0</v>
      </c>
    </row>
    <row r="31" spans="2:9" ht="15" customHeight="1" x14ac:dyDescent="0.2">
      <c r="B31" t="s">
        <v>113</v>
      </c>
      <c r="C31" s="12">
        <v>3</v>
      </c>
      <c r="D31" s="8">
        <v>4.92</v>
      </c>
      <c r="E31" s="12">
        <v>1</v>
      </c>
      <c r="F31" s="8">
        <v>3.03</v>
      </c>
      <c r="G31" s="12">
        <v>2</v>
      </c>
      <c r="H31" s="8">
        <v>8</v>
      </c>
      <c r="I31" s="12">
        <v>0</v>
      </c>
    </row>
    <row r="32" spans="2:9" ht="15" customHeight="1" x14ac:dyDescent="0.2">
      <c r="B32" t="s">
        <v>77</v>
      </c>
      <c r="C32" s="12">
        <v>2</v>
      </c>
      <c r="D32" s="8">
        <v>3.28</v>
      </c>
      <c r="E32" s="12">
        <v>0</v>
      </c>
      <c r="F32" s="8">
        <v>0</v>
      </c>
      <c r="G32" s="12">
        <v>1</v>
      </c>
      <c r="H32" s="8">
        <v>4</v>
      </c>
      <c r="I32" s="12">
        <v>0</v>
      </c>
    </row>
    <row r="33" spans="2:9" ht="15" customHeight="1" x14ac:dyDescent="0.2">
      <c r="B33" t="s">
        <v>93</v>
      </c>
      <c r="C33" s="12">
        <v>2</v>
      </c>
      <c r="D33" s="8">
        <v>3.28</v>
      </c>
      <c r="E33" s="12">
        <v>2</v>
      </c>
      <c r="F33" s="8">
        <v>6.06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69</v>
      </c>
      <c r="C34" s="12">
        <v>1</v>
      </c>
      <c r="D34" s="8">
        <v>1.64</v>
      </c>
      <c r="E34" s="12">
        <v>0</v>
      </c>
      <c r="F34" s="8">
        <v>0</v>
      </c>
      <c r="G34" s="12">
        <v>1</v>
      </c>
      <c r="H34" s="8">
        <v>4</v>
      </c>
      <c r="I34" s="12">
        <v>0</v>
      </c>
    </row>
    <row r="35" spans="2:9" ht="15" customHeight="1" x14ac:dyDescent="0.2">
      <c r="B35" t="s">
        <v>70</v>
      </c>
      <c r="C35" s="12">
        <v>1</v>
      </c>
      <c r="D35" s="8">
        <v>1.64</v>
      </c>
      <c r="E35" s="12">
        <v>1</v>
      </c>
      <c r="F35" s="8">
        <v>3.03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90</v>
      </c>
      <c r="C36" s="12">
        <v>1</v>
      </c>
      <c r="D36" s="8">
        <v>1.64</v>
      </c>
      <c r="E36" s="12">
        <v>0</v>
      </c>
      <c r="F36" s="8">
        <v>0</v>
      </c>
      <c r="G36" s="12">
        <v>1</v>
      </c>
      <c r="H36" s="8">
        <v>4</v>
      </c>
      <c r="I36" s="12">
        <v>0</v>
      </c>
    </row>
    <row r="37" spans="2:9" ht="15" customHeight="1" x14ac:dyDescent="0.2">
      <c r="B37" t="s">
        <v>104</v>
      </c>
      <c r="C37" s="12">
        <v>1</v>
      </c>
      <c r="D37" s="8">
        <v>1.64</v>
      </c>
      <c r="E37" s="12">
        <v>0</v>
      </c>
      <c r="F37" s="8">
        <v>0</v>
      </c>
      <c r="G37" s="12">
        <v>1</v>
      </c>
      <c r="H37" s="8">
        <v>4</v>
      </c>
      <c r="I37" s="12">
        <v>0</v>
      </c>
    </row>
    <row r="38" spans="2:9" ht="15" customHeight="1" x14ac:dyDescent="0.2">
      <c r="B38" t="s">
        <v>117</v>
      </c>
      <c r="C38" s="12">
        <v>1</v>
      </c>
      <c r="D38" s="8">
        <v>1.64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118</v>
      </c>
      <c r="C39" s="12">
        <v>1</v>
      </c>
      <c r="D39" s="8">
        <v>1.64</v>
      </c>
      <c r="E39" s="12">
        <v>0</v>
      </c>
      <c r="F39" s="8">
        <v>0</v>
      </c>
      <c r="G39" s="12">
        <v>1</v>
      </c>
      <c r="H39" s="8">
        <v>4</v>
      </c>
      <c r="I39" s="12">
        <v>0</v>
      </c>
    </row>
    <row r="40" spans="2:9" ht="15" customHeight="1" x14ac:dyDescent="0.2">
      <c r="B40" t="s">
        <v>71</v>
      </c>
      <c r="C40" s="12">
        <v>1</v>
      </c>
      <c r="D40" s="8">
        <v>1.64</v>
      </c>
      <c r="E40" s="12">
        <v>1</v>
      </c>
      <c r="F40" s="8">
        <v>3.03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78</v>
      </c>
      <c r="C41" s="12">
        <v>1</v>
      </c>
      <c r="D41" s="8">
        <v>1.64</v>
      </c>
      <c r="E41" s="12">
        <v>0</v>
      </c>
      <c r="F41" s="8">
        <v>0</v>
      </c>
      <c r="G41" s="12">
        <v>1</v>
      </c>
      <c r="H41" s="8">
        <v>4</v>
      </c>
      <c r="I41" s="12">
        <v>0</v>
      </c>
    </row>
    <row r="42" spans="2:9" ht="15" customHeight="1" x14ac:dyDescent="0.2">
      <c r="B42" t="s">
        <v>80</v>
      </c>
      <c r="C42" s="12">
        <v>1</v>
      </c>
      <c r="D42" s="8">
        <v>1.64</v>
      </c>
      <c r="E42" s="12">
        <v>1</v>
      </c>
      <c r="F42" s="8">
        <v>3.03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84</v>
      </c>
      <c r="C43" s="12">
        <v>1</v>
      </c>
      <c r="D43" s="8">
        <v>1.64</v>
      </c>
      <c r="E43" s="12">
        <v>1</v>
      </c>
      <c r="F43" s="8">
        <v>3.03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85</v>
      </c>
      <c r="C44" s="12">
        <v>1</v>
      </c>
      <c r="D44" s="8">
        <v>1.64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95</v>
      </c>
      <c r="C45" s="12">
        <v>1</v>
      </c>
      <c r="D45" s="8">
        <v>1.64</v>
      </c>
      <c r="E45" s="12">
        <v>0</v>
      </c>
      <c r="F45" s="8">
        <v>0</v>
      </c>
      <c r="G45" s="12">
        <v>1</v>
      </c>
      <c r="H45" s="8">
        <v>4</v>
      </c>
      <c r="I45" s="12">
        <v>0</v>
      </c>
    </row>
    <row r="48" spans="2:9" ht="33" customHeight="1" x14ac:dyDescent="0.2">
      <c r="B48" t="s">
        <v>243</v>
      </c>
      <c r="C48" s="10" t="s">
        <v>60</v>
      </c>
      <c r="D48" s="10" t="s">
        <v>61</v>
      </c>
      <c r="E48" s="10" t="s">
        <v>62</v>
      </c>
      <c r="F48" s="10" t="s">
        <v>63</v>
      </c>
      <c r="G48" s="10" t="s">
        <v>64</v>
      </c>
      <c r="H48" s="10" t="s">
        <v>65</v>
      </c>
      <c r="I48" s="10" t="s">
        <v>66</v>
      </c>
    </row>
    <row r="49" spans="2:9" ht="15" customHeight="1" x14ac:dyDescent="0.2">
      <c r="B49" t="s">
        <v>160</v>
      </c>
      <c r="C49" s="12">
        <v>4</v>
      </c>
      <c r="D49" s="8">
        <v>6.56</v>
      </c>
      <c r="E49" s="12">
        <v>1</v>
      </c>
      <c r="F49" s="8">
        <v>3.03</v>
      </c>
      <c r="G49" s="12">
        <v>3</v>
      </c>
      <c r="H49" s="8">
        <v>12</v>
      </c>
      <c r="I49" s="12">
        <v>0</v>
      </c>
    </row>
    <row r="50" spans="2:9" ht="15" customHeight="1" x14ac:dyDescent="0.2">
      <c r="B50" t="s">
        <v>124</v>
      </c>
      <c r="C50" s="12">
        <v>3</v>
      </c>
      <c r="D50" s="8">
        <v>4.92</v>
      </c>
      <c r="E50" s="12">
        <v>0</v>
      </c>
      <c r="F50" s="8">
        <v>0</v>
      </c>
      <c r="G50" s="12">
        <v>3</v>
      </c>
      <c r="H50" s="8">
        <v>12</v>
      </c>
      <c r="I50" s="12">
        <v>0</v>
      </c>
    </row>
    <row r="51" spans="2:9" ht="15" customHeight="1" x14ac:dyDescent="0.2">
      <c r="B51" t="s">
        <v>189</v>
      </c>
      <c r="C51" s="12">
        <v>3</v>
      </c>
      <c r="D51" s="8">
        <v>4.92</v>
      </c>
      <c r="E51" s="12">
        <v>3</v>
      </c>
      <c r="F51" s="8">
        <v>9.09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3</v>
      </c>
      <c r="D52" s="8">
        <v>4.92</v>
      </c>
      <c r="E52" s="12">
        <v>2</v>
      </c>
      <c r="F52" s="8">
        <v>6.06</v>
      </c>
      <c r="G52" s="12">
        <v>1</v>
      </c>
      <c r="H52" s="8">
        <v>4</v>
      </c>
      <c r="I52" s="12">
        <v>0</v>
      </c>
    </row>
    <row r="53" spans="2:9" ht="15" customHeight="1" x14ac:dyDescent="0.2">
      <c r="B53" t="s">
        <v>129</v>
      </c>
      <c r="C53" s="12">
        <v>3</v>
      </c>
      <c r="D53" s="8">
        <v>4.92</v>
      </c>
      <c r="E53" s="12">
        <v>3</v>
      </c>
      <c r="F53" s="8">
        <v>9.09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167</v>
      </c>
      <c r="C54" s="12">
        <v>3</v>
      </c>
      <c r="D54" s="8">
        <v>4.92</v>
      </c>
      <c r="E54" s="12">
        <v>3</v>
      </c>
      <c r="F54" s="8">
        <v>9.09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140</v>
      </c>
      <c r="C55" s="12">
        <v>3</v>
      </c>
      <c r="D55" s="8">
        <v>4.92</v>
      </c>
      <c r="E55" s="12">
        <v>3</v>
      </c>
      <c r="F55" s="8">
        <v>9.09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191</v>
      </c>
      <c r="C56" s="12">
        <v>2</v>
      </c>
      <c r="D56" s="8">
        <v>3.28</v>
      </c>
      <c r="E56" s="12">
        <v>0</v>
      </c>
      <c r="F56" s="8">
        <v>0</v>
      </c>
      <c r="G56" s="12">
        <v>2</v>
      </c>
      <c r="H56" s="8">
        <v>8</v>
      </c>
      <c r="I56" s="12">
        <v>0</v>
      </c>
    </row>
    <row r="57" spans="2:9" ht="15" customHeight="1" x14ac:dyDescent="0.2">
      <c r="B57" t="s">
        <v>128</v>
      </c>
      <c r="C57" s="12">
        <v>2</v>
      </c>
      <c r="D57" s="8">
        <v>3.28</v>
      </c>
      <c r="E57" s="12">
        <v>1</v>
      </c>
      <c r="F57" s="8">
        <v>3.03</v>
      </c>
      <c r="G57" s="12">
        <v>1</v>
      </c>
      <c r="H57" s="8">
        <v>4</v>
      </c>
      <c r="I57" s="12">
        <v>0</v>
      </c>
    </row>
    <row r="58" spans="2:9" ht="15" customHeight="1" x14ac:dyDescent="0.2">
      <c r="B58" t="s">
        <v>132</v>
      </c>
      <c r="C58" s="12">
        <v>2</v>
      </c>
      <c r="D58" s="8">
        <v>3.28</v>
      </c>
      <c r="E58" s="12">
        <v>0</v>
      </c>
      <c r="F58" s="8">
        <v>0</v>
      </c>
      <c r="G58" s="12">
        <v>2</v>
      </c>
      <c r="H58" s="8">
        <v>8</v>
      </c>
      <c r="I58" s="12">
        <v>0</v>
      </c>
    </row>
    <row r="59" spans="2:9" ht="15" customHeight="1" x14ac:dyDescent="0.2">
      <c r="B59" t="s">
        <v>134</v>
      </c>
      <c r="C59" s="12">
        <v>2</v>
      </c>
      <c r="D59" s="8">
        <v>3.28</v>
      </c>
      <c r="E59" s="12">
        <v>0</v>
      </c>
      <c r="F59" s="8">
        <v>0</v>
      </c>
      <c r="G59" s="12">
        <v>1</v>
      </c>
      <c r="H59" s="8">
        <v>4</v>
      </c>
      <c r="I59" s="12">
        <v>0</v>
      </c>
    </row>
    <row r="60" spans="2:9" ht="15" customHeight="1" x14ac:dyDescent="0.2">
      <c r="B60" t="s">
        <v>226</v>
      </c>
      <c r="C60" s="12">
        <v>2</v>
      </c>
      <c r="D60" s="8">
        <v>3.28</v>
      </c>
      <c r="E60" s="12">
        <v>0</v>
      </c>
      <c r="F60" s="8">
        <v>0</v>
      </c>
      <c r="G60" s="12">
        <v>2</v>
      </c>
      <c r="H60" s="8">
        <v>8</v>
      </c>
      <c r="I60" s="12">
        <v>0</v>
      </c>
    </row>
    <row r="61" spans="2:9" ht="15" customHeight="1" x14ac:dyDescent="0.2">
      <c r="B61" t="s">
        <v>137</v>
      </c>
      <c r="C61" s="12">
        <v>2</v>
      </c>
      <c r="D61" s="8">
        <v>3.28</v>
      </c>
      <c r="E61" s="12">
        <v>2</v>
      </c>
      <c r="F61" s="8">
        <v>6.06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138</v>
      </c>
      <c r="C62" s="12">
        <v>2</v>
      </c>
      <c r="D62" s="8">
        <v>3.28</v>
      </c>
      <c r="E62" s="12">
        <v>1</v>
      </c>
      <c r="F62" s="8">
        <v>3.03</v>
      </c>
      <c r="G62" s="12">
        <v>1</v>
      </c>
      <c r="H62" s="8">
        <v>4</v>
      </c>
      <c r="I62" s="12">
        <v>0</v>
      </c>
    </row>
    <row r="63" spans="2:9" ht="15" customHeight="1" x14ac:dyDescent="0.2">
      <c r="B63" t="s">
        <v>199</v>
      </c>
      <c r="C63" s="12">
        <v>2</v>
      </c>
      <c r="D63" s="8">
        <v>3.28</v>
      </c>
      <c r="E63" s="12">
        <v>2</v>
      </c>
      <c r="F63" s="8">
        <v>6.06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2</v>
      </c>
      <c r="D64" s="8">
        <v>3.28</v>
      </c>
      <c r="E64" s="12">
        <v>2</v>
      </c>
      <c r="F64" s="8">
        <v>6.06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1</v>
      </c>
      <c r="D65" s="8">
        <v>1.64</v>
      </c>
      <c r="E65" s="12">
        <v>0</v>
      </c>
      <c r="F65" s="8">
        <v>0</v>
      </c>
      <c r="G65" s="12">
        <v>1</v>
      </c>
      <c r="H65" s="8">
        <v>4</v>
      </c>
      <c r="I65" s="12">
        <v>0</v>
      </c>
    </row>
    <row r="66" spans="2:9" ht="15" customHeight="1" x14ac:dyDescent="0.2">
      <c r="B66" t="s">
        <v>157</v>
      </c>
      <c r="C66" s="12">
        <v>1</v>
      </c>
      <c r="D66" s="8">
        <v>1.64</v>
      </c>
      <c r="E66" s="12">
        <v>1</v>
      </c>
      <c r="F66" s="8">
        <v>3.03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222</v>
      </c>
      <c r="C67" s="12">
        <v>1</v>
      </c>
      <c r="D67" s="8">
        <v>1.64</v>
      </c>
      <c r="E67" s="12">
        <v>1</v>
      </c>
      <c r="F67" s="8">
        <v>3.03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126</v>
      </c>
      <c r="C68" s="12">
        <v>1</v>
      </c>
      <c r="D68" s="8">
        <v>1.64</v>
      </c>
      <c r="E68" s="12">
        <v>0</v>
      </c>
      <c r="F68" s="8">
        <v>0</v>
      </c>
      <c r="G68" s="12">
        <v>1</v>
      </c>
      <c r="H68" s="8">
        <v>4</v>
      </c>
      <c r="I68" s="12">
        <v>0</v>
      </c>
    </row>
    <row r="69" spans="2:9" ht="15" customHeight="1" x14ac:dyDescent="0.2">
      <c r="B69" t="s">
        <v>207</v>
      </c>
      <c r="C69" s="12">
        <v>1</v>
      </c>
      <c r="D69" s="8">
        <v>1.64</v>
      </c>
      <c r="E69" s="12">
        <v>1</v>
      </c>
      <c r="F69" s="8">
        <v>3.03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1</v>
      </c>
      <c r="D70" s="8">
        <v>1.64</v>
      </c>
      <c r="E70" s="12">
        <v>0</v>
      </c>
      <c r="F70" s="8">
        <v>0</v>
      </c>
      <c r="G70" s="12">
        <v>1</v>
      </c>
      <c r="H70" s="8">
        <v>4</v>
      </c>
      <c r="I70" s="12">
        <v>0</v>
      </c>
    </row>
    <row r="71" spans="2:9" ht="15" customHeight="1" x14ac:dyDescent="0.2">
      <c r="B71" t="s">
        <v>175</v>
      </c>
      <c r="C71" s="12">
        <v>1</v>
      </c>
      <c r="D71" s="8">
        <v>1.64</v>
      </c>
      <c r="E71" s="12">
        <v>0</v>
      </c>
      <c r="F71" s="8">
        <v>0</v>
      </c>
      <c r="G71" s="12">
        <v>1</v>
      </c>
      <c r="H71" s="8">
        <v>4</v>
      </c>
      <c r="I71" s="12">
        <v>0</v>
      </c>
    </row>
    <row r="72" spans="2:9" ht="15" customHeight="1" x14ac:dyDescent="0.2">
      <c r="B72" t="s">
        <v>223</v>
      </c>
      <c r="C72" s="12">
        <v>1</v>
      </c>
      <c r="D72" s="8">
        <v>1.64</v>
      </c>
      <c r="E72" s="12">
        <v>0</v>
      </c>
      <c r="F72" s="8">
        <v>0</v>
      </c>
      <c r="G72" s="12">
        <v>1</v>
      </c>
      <c r="H72" s="8">
        <v>4</v>
      </c>
      <c r="I72" s="12">
        <v>0</v>
      </c>
    </row>
    <row r="73" spans="2:9" ht="15" customHeight="1" x14ac:dyDescent="0.2">
      <c r="B73" t="s">
        <v>224</v>
      </c>
      <c r="C73" s="12">
        <v>1</v>
      </c>
      <c r="D73" s="8">
        <v>1.64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225</v>
      </c>
      <c r="C74" s="12">
        <v>1</v>
      </c>
      <c r="D74" s="8">
        <v>1.64</v>
      </c>
      <c r="E74" s="12">
        <v>0</v>
      </c>
      <c r="F74" s="8">
        <v>0</v>
      </c>
      <c r="G74" s="12">
        <v>1</v>
      </c>
      <c r="H74" s="8">
        <v>4</v>
      </c>
      <c r="I74" s="12">
        <v>0</v>
      </c>
    </row>
    <row r="75" spans="2:9" ht="15" customHeight="1" x14ac:dyDescent="0.2">
      <c r="B75" t="s">
        <v>154</v>
      </c>
      <c r="C75" s="12">
        <v>1</v>
      </c>
      <c r="D75" s="8">
        <v>1.64</v>
      </c>
      <c r="E75" s="12">
        <v>1</v>
      </c>
      <c r="F75" s="8">
        <v>3.03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131</v>
      </c>
      <c r="C76" s="12">
        <v>1</v>
      </c>
      <c r="D76" s="8">
        <v>1.64</v>
      </c>
      <c r="E76" s="12">
        <v>0</v>
      </c>
      <c r="F76" s="8">
        <v>0</v>
      </c>
      <c r="G76" s="12">
        <v>1</v>
      </c>
      <c r="H76" s="8">
        <v>4</v>
      </c>
      <c r="I76" s="12">
        <v>0</v>
      </c>
    </row>
    <row r="77" spans="2:9" ht="15" customHeight="1" x14ac:dyDescent="0.2">
      <c r="B77" t="s">
        <v>168</v>
      </c>
      <c r="C77" s="12">
        <v>1</v>
      </c>
      <c r="D77" s="8">
        <v>1.64</v>
      </c>
      <c r="E77" s="12">
        <v>1</v>
      </c>
      <c r="F77" s="8">
        <v>3.03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133</v>
      </c>
      <c r="C78" s="12">
        <v>1</v>
      </c>
      <c r="D78" s="8">
        <v>1.64</v>
      </c>
      <c r="E78" s="12">
        <v>1</v>
      </c>
      <c r="F78" s="8">
        <v>3.03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227</v>
      </c>
      <c r="C79" s="12">
        <v>1</v>
      </c>
      <c r="D79" s="8">
        <v>1.64</v>
      </c>
      <c r="E79" s="12">
        <v>1</v>
      </c>
      <c r="F79" s="8">
        <v>3.03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228</v>
      </c>
      <c r="C80" s="12">
        <v>1</v>
      </c>
      <c r="D80" s="8">
        <v>1.64</v>
      </c>
      <c r="E80" s="12">
        <v>0</v>
      </c>
      <c r="F80" s="8">
        <v>0</v>
      </c>
      <c r="G80" s="12">
        <v>1</v>
      </c>
      <c r="H80" s="8">
        <v>4</v>
      </c>
      <c r="I80" s="12">
        <v>0</v>
      </c>
    </row>
    <row r="81" spans="2:9" ht="15" customHeight="1" x14ac:dyDescent="0.2">
      <c r="B81" t="s">
        <v>158</v>
      </c>
      <c r="C81" s="12">
        <v>1</v>
      </c>
      <c r="D81" s="8">
        <v>1.64</v>
      </c>
      <c r="E81" s="12">
        <v>1</v>
      </c>
      <c r="F81" s="8">
        <v>3.03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146</v>
      </c>
      <c r="C82" s="12">
        <v>1</v>
      </c>
      <c r="D82" s="8">
        <v>1.64</v>
      </c>
      <c r="E82" s="12">
        <v>1</v>
      </c>
      <c r="F82" s="8">
        <v>3.03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229</v>
      </c>
      <c r="C83" s="12">
        <v>1</v>
      </c>
      <c r="D83" s="8">
        <v>1.64</v>
      </c>
      <c r="E83" s="12">
        <v>1</v>
      </c>
      <c r="F83" s="8">
        <v>3.03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187</v>
      </c>
      <c r="C84" s="12">
        <v>1</v>
      </c>
      <c r="D84" s="8">
        <v>1.64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201</v>
      </c>
      <c r="C85" s="12">
        <v>1</v>
      </c>
      <c r="D85" s="8">
        <v>1.64</v>
      </c>
      <c r="E85" s="12">
        <v>0</v>
      </c>
      <c r="F85" s="8">
        <v>0</v>
      </c>
      <c r="G85" s="12">
        <v>1</v>
      </c>
      <c r="H85" s="8">
        <v>4</v>
      </c>
      <c r="I85" s="12">
        <v>0</v>
      </c>
    </row>
    <row r="87" spans="2:9" ht="15" customHeight="1" x14ac:dyDescent="0.2">
      <c r="B87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DBF2-62A0-459F-85EE-7BFA77E64336}">
  <sheetPr>
    <pageSetUpPr fitToPage="1"/>
  </sheetPr>
  <dimension ref="A1:I107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122</v>
      </c>
      <c r="B1" s="3" t="s">
        <v>238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  <c r="I1" s="7" t="s">
        <v>66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140</v>
      </c>
      <c r="C3" s="4">
        <v>2403</v>
      </c>
      <c r="D3" s="8">
        <v>5.74</v>
      </c>
      <c r="E3" s="4">
        <v>2258</v>
      </c>
      <c r="F3" s="8">
        <v>9.8000000000000007</v>
      </c>
      <c r="G3" s="4">
        <v>145</v>
      </c>
      <c r="H3" s="8">
        <v>0.8</v>
      </c>
      <c r="I3" s="4">
        <v>0</v>
      </c>
    </row>
    <row r="4" spans="1:9" x14ac:dyDescent="0.2">
      <c r="A4" s="2">
        <v>2</v>
      </c>
      <c r="B4" s="1" t="s">
        <v>139</v>
      </c>
      <c r="C4" s="4">
        <v>1279</v>
      </c>
      <c r="D4" s="8">
        <v>3.05</v>
      </c>
      <c r="E4" s="4">
        <v>1242</v>
      </c>
      <c r="F4" s="8">
        <v>5.39</v>
      </c>
      <c r="G4" s="4">
        <v>37</v>
      </c>
      <c r="H4" s="8">
        <v>0.2</v>
      </c>
      <c r="I4" s="4">
        <v>0</v>
      </c>
    </row>
    <row r="5" spans="1:9" x14ac:dyDescent="0.2">
      <c r="A5" s="2">
        <v>3</v>
      </c>
      <c r="B5" s="1" t="s">
        <v>137</v>
      </c>
      <c r="C5" s="4">
        <v>1198</v>
      </c>
      <c r="D5" s="8">
        <v>2.86</v>
      </c>
      <c r="E5" s="4">
        <v>1079</v>
      </c>
      <c r="F5" s="8">
        <v>4.68</v>
      </c>
      <c r="G5" s="4">
        <v>119</v>
      </c>
      <c r="H5" s="8">
        <v>0.65</v>
      </c>
      <c r="I5" s="4">
        <v>0</v>
      </c>
    </row>
    <row r="6" spans="1:9" x14ac:dyDescent="0.2">
      <c r="A6" s="2">
        <v>4</v>
      </c>
      <c r="B6" s="1" t="s">
        <v>138</v>
      </c>
      <c r="C6" s="4">
        <v>1114</v>
      </c>
      <c r="D6" s="8">
        <v>2.66</v>
      </c>
      <c r="E6" s="4">
        <v>1052</v>
      </c>
      <c r="F6" s="8">
        <v>4.57</v>
      </c>
      <c r="G6" s="4">
        <v>62</v>
      </c>
      <c r="H6" s="8">
        <v>0.34</v>
      </c>
      <c r="I6" s="4">
        <v>0</v>
      </c>
    </row>
    <row r="7" spans="1:9" x14ac:dyDescent="0.2">
      <c r="A7" s="2">
        <v>5</v>
      </c>
      <c r="B7" s="1" t="s">
        <v>130</v>
      </c>
      <c r="C7" s="4">
        <v>1062</v>
      </c>
      <c r="D7" s="8">
        <v>2.54</v>
      </c>
      <c r="E7" s="4">
        <v>681</v>
      </c>
      <c r="F7" s="8">
        <v>2.96</v>
      </c>
      <c r="G7" s="4">
        <v>381</v>
      </c>
      <c r="H7" s="8">
        <v>2.09</v>
      </c>
      <c r="I7" s="4">
        <v>0</v>
      </c>
    </row>
    <row r="8" spans="1:9" x14ac:dyDescent="0.2">
      <c r="A8" s="2">
        <v>6</v>
      </c>
      <c r="B8" s="1" t="s">
        <v>142</v>
      </c>
      <c r="C8" s="4">
        <v>1058</v>
      </c>
      <c r="D8" s="8">
        <v>2.5299999999999998</v>
      </c>
      <c r="E8" s="4">
        <v>961</v>
      </c>
      <c r="F8" s="8">
        <v>4.17</v>
      </c>
      <c r="G8" s="4">
        <v>97</v>
      </c>
      <c r="H8" s="8">
        <v>0.53</v>
      </c>
      <c r="I8" s="4">
        <v>0</v>
      </c>
    </row>
    <row r="9" spans="1:9" x14ac:dyDescent="0.2">
      <c r="A9" s="2">
        <v>7</v>
      </c>
      <c r="B9" s="1" t="s">
        <v>136</v>
      </c>
      <c r="C9" s="4">
        <v>1055</v>
      </c>
      <c r="D9" s="8">
        <v>2.52</v>
      </c>
      <c r="E9" s="4">
        <v>871</v>
      </c>
      <c r="F9" s="8">
        <v>3.78</v>
      </c>
      <c r="G9" s="4">
        <v>184</v>
      </c>
      <c r="H9" s="8">
        <v>1.01</v>
      </c>
      <c r="I9" s="4">
        <v>0</v>
      </c>
    </row>
    <row r="10" spans="1:9" x14ac:dyDescent="0.2">
      <c r="A10" s="2">
        <v>8</v>
      </c>
      <c r="B10" s="1" t="s">
        <v>129</v>
      </c>
      <c r="C10" s="4">
        <v>1053</v>
      </c>
      <c r="D10" s="8">
        <v>2.5099999999999998</v>
      </c>
      <c r="E10" s="4">
        <v>741</v>
      </c>
      <c r="F10" s="8">
        <v>3.22</v>
      </c>
      <c r="G10" s="4">
        <v>301</v>
      </c>
      <c r="H10" s="8">
        <v>1.66</v>
      </c>
      <c r="I10" s="4">
        <v>11</v>
      </c>
    </row>
    <row r="11" spans="1:9" x14ac:dyDescent="0.2">
      <c r="A11" s="2">
        <v>9</v>
      </c>
      <c r="B11" s="1" t="s">
        <v>134</v>
      </c>
      <c r="C11" s="4">
        <v>1043</v>
      </c>
      <c r="D11" s="8">
        <v>2.4900000000000002</v>
      </c>
      <c r="E11" s="4">
        <v>460</v>
      </c>
      <c r="F11" s="8">
        <v>2</v>
      </c>
      <c r="G11" s="4">
        <v>575</v>
      </c>
      <c r="H11" s="8">
        <v>3.16</v>
      </c>
      <c r="I11" s="4">
        <v>0</v>
      </c>
    </row>
    <row r="12" spans="1:9" x14ac:dyDescent="0.2">
      <c r="A12" s="2">
        <v>10</v>
      </c>
      <c r="B12" s="1" t="s">
        <v>124</v>
      </c>
      <c r="C12" s="4">
        <v>880</v>
      </c>
      <c r="D12" s="8">
        <v>2.1</v>
      </c>
      <c r="E12" s="4">
        <v>57</v>
      </c>
      <c r="F12" s="8">
        <v>0.25</v>
      </c>
      <c r="G12" s="4">
        <v>823</v>
      </c>
      <c r="H12" s="8">
        <v>4.53</v>
      </c>
      <c r="I12" s="4">
        <v>0</v>
      </c>
    </row>
    <row r="13" spans="1:9" x14ac:dyDescent="0.2">
      <c r="A13" s="2">
        <v>11</v>
      </c>
      <c r="B13" s="1" t="s">
        <v>133</v>
      </c>
      <c r="C13" s="4">
        <v>872</v>
      </c>
      <c r="D13" s="8">
        <v>2.08</v>
      </c>
      <c r="E13" s="4">
        <v>568</v>
      </c>
      <c r="F13" s="8">
        <v>2.4700000000000002</v>
      </c>
      <c r="G13" s="4">
        <v>299</v>
      </c>
      <c r="H13" s="8">
        <v>1.64</v>
      </c>
      <c r="I13" s="4">
        <v>4</v>
      </c>
    </row>
    <row r="14" spans="1:9" x14ac:dyDescent="0.2">
      <c r="A14" s="2">
        <v>12</v>
      </c>
      <c r="B14" s="1" t="s">
        <v>143</v>
      </c>
      <c r="C14" s="4">
        <v>847</v>
      </c>
      <c r="D14" s="8">
        <v>2.02</v>
      </c>
      <c r="E14" s="4">
        <v>691</v>
      </c>
      <c r="F14" s="8">
        <v>3</v>
      </c>
      <c r="G14" s="4">
        <v>155</v>
      </c>
      <c r="H14" s="8">
        <v>0.85</v>
      </c>
      <c r="I14" s="4">
        <v>0</v>
      </c>
    </row>
    <row r="15" spans="1:9" x14ac:dyDescent="0.2">
      <c r="A15" s="2">
        <v>13</v>
      </c>
      <c r="B15" s="1" t="s">
        <v>141</v>
      </c>
      <c r="C15" s="4">
        <v>760</v>
      </c>
      <c r="D15" s="8">
        <v>1.81</v>
      </c>
      <c r="E15" s="4">
        <v>617</v>
      </c>
      <c r="F15" s="8">
        <v>2.68</v>
      </c>
      <c r="G15" s="4">
        <v>136</v>
      </c>
      <c r="H15" s="8">
        <v>0.75</v>
      </c>
      <c r="I15" s="4">
        <v>7</v>
      </c>
    </row>
    <row r="16" spans="1:9" x14ac:dyDescent="0.2">
      <c r="A16" s="2">
        <v>14</v>
      </c>
      <c r="B16" s="1" t="s">
        <v>131</v>
      </c>
      <c r="C16" s="4">
        <v>628</v>
      </c>
      <c r="D16" s="8">
        <v>1.5</v>
      </c>
      <c r="E16" s="4">
        <v>225</v>
      </c>
      <c r="F16" s="8">
        <v>0.98</v>
      </c>
      <c r="G16" s="4">
        <v>403</v>
      </c>
      <c r="H16" s="8">
        <v>2.2200000000000002</v>
      </c>
      <c r="I16" s="4">
        <v>0</v>
      </c>
    </row>
    <row r="17" spans="1:9" x14ac:dyDescent="0.2">
      <c r="A17" s="2">
        <v>15</v>
      </c>
      <c r="B17" s="1" t="s">
        <v>135</v>
      </c>
      <c r="C17" s="4">
        <v>612</v>
      </c>
      <c r="D17" s="8">
        <v>1.46</v>
      </c>
      <c r="E17" s="4">
        <v>198</v>
      </c>
      <c r="F17" s="8">
        <v>0.86</v>
      </c>
      <c r="G17" s="4">
        <v>402</v>
      </c>
      <c r="H17" s="8">
        <v>2.21</v>
      </c>
      <c r="I17" s="4">
        <v>0</v>
      </c>
    </row>
    <row r="18" spans="1:9" x14ac:dyDescent="0.2">
      <c r="A18" s="2">
        <v>16</v>
      </c>
      <c r="B18" s="1" t="s">
        <v>126</v>
      </c>
      <c r="C18" s="4">
        <v>605</v>
      </c>
      <c r="D18" s="8">
        <v>1.44</v>
      </c>
      <c r="E18" s="4">
        <v>201</v>
      </c>
      <c r="F18" s="8">
        <v>0.87</v>
      </c>
      <c r="G18" s="4">
        <v>404</v>
      </c>
      <c r="H18" s="8">
        <v>2.2200000000000002</v>
      </c>
      <c r="I18" s="4">
        <v>0</v>
      </c>
    </row>
    <row r="19" spans="1:9" x14ac:dyDescent="0.2">
      <c r="A19" s="2">
        <v>17</v>
      </c>
      <c r="B19" s="1" t="s">
        <v>127</v>
      </c>
      <c r="C19" s="4">
        <v>603</v>
      </c>
      <c r="D19" s="8">
        <v>1.44</v>
      </c>
      <c r="E19" s="4">
        <v>471</v>
      </c>
      <c r="F19" s="8">
        <v>2.04</v>
      </c>
      <c r="G19" s="4">
        <v>132</v>
      </c>
      <c r="H19" s="8">
        <v>0.73</v>
      </c>
      <c r="I19" s="4">
        <v>0</v>
      </c>
    </row>
    <row r="20" spans="1:9" x14ac:dyDescent="0.2">
      <c r="A20" s="2">
        <v>18</v>
      </c>
      <c r="B20" s="1" t="s">
        <v>132</v>
      </c>
      <c r="C20" s="4">
        <v>599</v>
      </c>
      <c r="D20" s="8">
        <v>1.43</v>
      </c>
      <c r="E20" s="4">
        <v>146</v>
      </c>
      <c r="F20" s="8">
        <v>0.63</v>
      </c>
      <c r="G20" s="4">
        <v>453</v>
      </c>
      <c r="H20" s="8">
        <v>2.4900000000000002</v>
      </c>
      <c r="I20" s="4">
        <v>0</v>
      </c>
    </row>
    <row r="21" spans="1:9" x14ac:dyDescent="0.2">
      <c r="A21" s="2">
        <v>19</v>
      </c>
      <c r="B21" s="1" t="s">
        <v>128</v>
      </c>
      <c r="C21" s="4">
        <v>551</v>
      </c>
      <c r="D21" s="8">
        <v>1.32</v>
      </c>
      <c r="E21" s="4">
        <v>369</v>
      </c>
      <c r="F21" s="8">
        <v>1.6</v>
      </c>
      <c r="G21" s="4">
        <v>176</v>
      </c>
      <c r="H21" s="8">
        <v>0.97</v>
      </c>
      <c r="I21" s="4">
        <v>6</v>
      </c>
    </row>
    <row r="22" spans="1:9" x14ac:dyDescent="0.2">
      <c r="A22" s="2">
        <v>20</v>
      </c>
      <c r="B22" s="1" t="s">
        <v>125</v>
      </c>
      <c r="C22" s="4">
        <v>537</v>
      </c>
      <c r="D22" s="8">
        <v>1.28</v>
      </c>
      <c r="E22" s="4">
        <v>81</v>
      </c>
      <c r="F22" s="8">
        <v>0.35</v>
      </c>
      <c r="G22" s="4">
        <v>456</v>
      </c>
      <c r="H22" s="8">
        <v>2.5099999999999998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140</v>
      </c>
      <c r="C25" s="4">
        <v>766</v>
      </c>
      <c r="D25" s="8">
        <v>5.22</v>
      </c>
      <c r="E25" s="4">
        <v>694</v>
      </c>
      <c r="F25" s="8">
        <v>10.27</v>
      </c>
      <c r="G25" s="4">
        <v>72</v>
      </c>
      <c r="H25" s="8">
        <v>0.92</v>
      </c>
      <c r="I25" s="4">
        <v>0</v>
      </c>
    </row>
    <row r="26" spans="1:9" x14ac:dyDescent="0.2">
      <c r="A26" s="2">
        <v>2</v>
      </c>
      <c r="B26" s="1" t="s">
        <v>134</v>
      </c>
      <c r="C26" s="4">
        <v>630</v>
      </c>
      <c r="D26" s="8">
        <v>4.3</v>
      </c>
      <c r="E26" s="4">
        <v>259</v>
      </c>
      <c r="F26" s="8">
        <v>3.83</v>
      </c>
      <c r="G26" s="4">
        <v>371</v>
      </c>
      <c r="H26" s="8">
        <v>4.74</v>
      </c>
      <c r="I26" s="4">
        <v>0</v>
      </c>
    </row>
    <row r="27" spans="1:9" x14ac:dyDescent="0.2">
      <c r="A27" s="2">
        <v>3</v>
      </c>
      <c r="B27" s="1" t="s">
        <v>137</v>
      </c>
      <c r="C27" s="4">
        <v>440</v>
      </c>
      <c r="D27" s="8">
        <v>3</v>
      </c>
      <c r="E27" s="4">
        <v>377</v>
      </c>
      <c r="F27" s="8">
        <v>5.58</v>
      </c>
      <c r="G27" s="4">
        <v>63</v>
      </c>
      <c r="H27" s="8">
        <v>0.81</v>
      </c>
      <c r="I27" s="4">
        <v>0</v>
      </c>
    </row>
    <row r="28" spans="1:9" x14ac:dyDescent="0.2">
      <c r="A28" s="2">
        <v>4</v>
      </c>
      <c r="B28" s="1" t="s">
        <v>142</v>
      </c>
      <c r="C28" s="4">
        <v>406</v>
      </c>
      <c r="D28" s="8">
        <v>2.77</v>
      </c>
      <c r="E28" s="4">
        <v>354</v>
      </c>
      <c r="F28" s="8">
        <v>5.24</v>
      </c>
      <c r="G28" s="4">
        <v>52</v>
      </c>
      <c r="H28" s="8">
        <v>0.66</v>
      </c>
      <c r="I28" s="4">
        <v>0</v>
      </c>
    </row>
    <row r="29" spans="1:9" x14ac:dyDescent="0.2">
      <c r="A29" s="2">
        <v>5</v>
      </c>
      <c r="B29" s="1" t="s">
        <v>138</v>
      </c>
      <c r="C29" s="4">
        <v>398</v>
      </c>
      <c r="D29" s="8">
        <v>2.71</v>
      </c>
      <c r="E29" s="4">
        <v>354</v>
      </c>
      <c r="F29" s="8">
        <v>5.24</v>
      </c>
      <c r="G29" s="4">
        <v>44</v>
      </c>
      <c r="H29" s="8">
        <v>0.56000000000000005</v>
      </c>
      <c r="I29" s="4">
        <v>0</v>
      </c>
    </row>
    <row r="30" spans="1:9" x14ac:dyDescent="0.2">
      <c r="A30" s="2">
        <v>6</v>
      </c>
      <c r="B30" s="1" t="s">
        <v>139</v>
      </c>
      <c r="C30" s="4">
        <v>392</v>
      </c>
      <c r="D30" s="8">
        <v>2.67</v>
      </c>
      <c r="E30" s="4">
        <v>366</v>
      </c>
      <c r="F30" s="8">
        <v>5.41</v>
      </c>
      <c r="G30" s="4">
        <v>26</v>
      </c>
      <c r="H30" s="8">
        <v>0.33</v>
      </c>
      <c r="I30" s="4">
        <v>0</v>
      </c>
    </row>
    <row r="31" spans="1:9" x14ac:dyDescent="0.2">
      <c r="A31" s="2">
        <v>7</v>
      </c>
      <c r="B31" s="1" t="s">
        <v>136</v>
      </c>
      <c r="C31" s="4">
        <v>382</v>
      </c>
      <c r="D31" s="8">
        <v>2.61</v>
      </c>
      <c r="E31" s="4">
        <v>284</v>
      </c>
      <c r="F31" s="8">
        <v>4.2</v>
      </c>
      <c r="G31" s="4">
        <v>98</v>
      </c>
      <c r="H31" s="8">
        <v>1.25</v>
      </c>
      <c r="I31" s="4">
        <v>0</v>
      </c>
    </row>
    <row r="32" spans="1:9" x14ac:dyDescent="0.2">
      <c r="A32" s="2">
        <v>8</v>
      </c>
      <c r="B32" s="1" t="s">
        <v>130</v>
      </c>
      <c r="C32" s="4">
        <v>323</v>
      </c>
      <c r="D32" s="8">
        <v>2.2000000000000002</v>
      </c>
      <c r="E32" s="4">
        <v>159</v>
      </c>
      <c r="F32" s="8">
        <v>2.35</v>
      </c>
      <c r="G32" s="4">
        <v>164</v>
      </c>
      <c r="H32" s="8">
        <v>2.1</v>
      </c>
      <c r="I32" s="4">
        <v>0</v>
      </c>
    </row>
    <row r="33" spans="1:9" x14ac:dyDescent="0.2">
      <c r="A33" s="2">
        <v>9</v>
      </c>
      <c r="B33" s="1" t="s">
        <v>141</v>
      </c>
      <c r="C33" s="4">
        <v>309</v>
      </c>
      <c r="D33" s="8">
        <v>2.11</v>
      </c>
      <c r="E33" s="4">
        <v>241</v>
      </c>
      <c r="F33" s="8">
        <v>3.57</v>
      </c>
      <c r="G33" s="4">
        <v>66</v>
      </c>
      <c r="H33" s="8">
        <v>0.84</v>
      </c>
      <c r="I33" s="4">
        <v>2</v>
      </c>
    </row>
    <row r="34" spans="1:9" x14ac:dyDescent="0.2">
      <c r="A34" s="2">
        <v>10</v>
      </c>
      <c r="B34" s="1" t="s">
        <v>133</v>
      </c>
      <c r="C34" s="4">
        <v>289</v>
      </c>
      <c r="D34" s="8">
        <v>1.97</v>
      </c>
      <c r="E34" s="4">
        <v>172</v>
      </c>
      <c r="F34" s="8">
        <v>2.54</v>
      </c>
      <c r="G34" s="4">
        <v>117</v>
      </c>
      <c r="H34" s="8">
        <v>1.5</v>
      </c>
      <c r="I34" s="4">
        <v>0</v>
      </c>
    </row>
    <row r="35" spans="1:9" x14ac:dyDescent="0.2">
      <c r="A35" s="2">
        <v>11</v>
      </c>
      <c r="B35" s="1" t="s">
        <v>144</v>
      </c>
      <c r="C35" s="4">
        <v>272</v>
      </c>
      <c r="D35" s="8">
        <v>1.86</v>
      </c>
      <c r="E35" s="4">
        <v>83</v>
      </c>
      <c r="F35" s="8">
        <v>1.23</v>
      </c>
      <c r="G35" s="4">
        <v>189</v>
      </c>
      <c r="H35" s="8">
        <v>2.42</v>
      </c>
      <c r="I35" s="4">
        <v>0</v>
      </c>
    </row>
    <row r="36" spans="1:9" x14ac:dyDescent="0.2">
      <c r="A36" s="2">
        <v>12</v>
      </c>
      <c r="B36" s="1" t="s">
        <v>135</v>
      </c>
      <c r="C36" s="4">
        <v>270</v>
      </c>
      <c r="D36" s="8">
        <v>1.84</v>
      </c>
      <c r="E36" s="4">
        <v>75</v>
      </c>
      <c r="F36" s="8">
        <v>1.1100000000000001</v>
      </c>
      <c r="G36" s="4">
        <v>193</v>
      </c>
      <c r="H36" s="8">
        <v>2.4700000000000002</v>
      </c>
      <c r="I36" s="4">
        <v>0</v>
      </c>
    </row>
    <row r="37" spans="1:9" x14ac:dyDescent="0.2">
      <c r="A37" s="2">
        <v>13</v>
      </c>
      <c r="B37" s="1" t="s">
        <v>129</v>
      </c>
      <c r="C37" s="4">
        <v>252</v>
      </c>
      <c r="D37" s="8">
        <v>1.72</v>
      </c>
      <c r="E37" s="4">
        <v>141</v>
      </c>
      <c r="F37" s="8">
        <v>2.09</v>
      </c>
      <c r="G37" s="4">
        <v>111</v>
      </c>
      <c r="H37" s="8">
        <v>1.42</v>
      </c>
      <c r="I37" s="4">
        <v>0</v>
      </c>
    </row>
    <row r="38" spans="1:9" x14ac:dyDescent="0.2">
      <c r="A38" s="2">
        <v>14</v>
      </c>
      <c r="B38" s="1" t="s">
        <v>131</v>
      </c>
      <c r="C38" s="4">
        <v>240</v>
      </c>
      <c r="D38" s="8">
        <v>1.64</v>
      </c>
      <c r="E38" s="4">
        <v>69</v>
      </c>
      <c r="F38" s="8">
        <v>1.02</v>
      </c>
      <c r="G38" s="4">
        <v>171</v>
      </c>
      <c r="H38" s="8">
        <v>2.19</v>
      </c>
      <c r="I38" s="4">
        <v>0</v>
      </c>
    </row>
    <row r="39" spans="1:9" x14ac:dyDescent="0.2">
      <c r="A39" s="2">
        <v>15</v>
      </c>
      <c r="B39" s="1" t="s">
        <v>143</v>
      </c>
      <c r="C39" s="4">
        <v>216</v>
      </c>
      <c r="D39" s="8">
        <v>1.47</v>
      </c>
      <c r="E39" s="4">
        <v>149</v>
      </c>
      <c r="F39" s="8">
        <v>2.2000000000000002</v>
      </c>
      <c r="G39" s="4">
        <v>66</v>
      </c>
      <c r="H39" s="8">
        <v>0.84</v>
      </c>
      <c r="I39" s="4">
        <v>0</v>
      </c>
    </row>
    <row r="40" spans="1:9" x14ac:dyDescent="0.2">
      <c r="A40" s="2">
        <v>16</v>
      </c>
      <c r="B40" s="1" t="s">
        <v>145</v>
      </c>
      <c r="C40" s="4">
        <v>210</v>
      </c>
      <c r="D40" s="8">
        <v>1.43</v>
      </c>
      <c r="E40" s="4">
        <v>34</v>
      </c>
      <c r="F40" s="8">
        <v>0.5</v>
      </c>
      <c r="G40" s="4">
        <v>176</v>
      </c>
      <c r="H40" s="8">
        <v>2.25</v>
      </c>
      <c r="I40" s="4">
        <v>0</v>
      </c>
    </row>
    <row r="41" spans="1:9" x14ac:dyDescent="0.2">
      <c r="A41" s="2">
        <v>17</v>
      </c>
      <c r="B41" s="1" t="s">
        <v>124</v>
      </c>
      <c r="C41" s="4">
        <v>209</v>
      </c>
      <c r="D41" s="8">
        <v>1.43</v>
      </c>
      <c r="E41" s="4">
        <v>12</v>
      </c>
      <c r="F41" s="8">
        <v>0.18</v>
      </c>
      <c r="G41" s="4">
        <v>197</v>
      </c>
      <c r="H41" s="8">
        <v>2.52</v>
      </c>
      <c r="I41" s="4">
        <v>0</v>
      </c>
    </row>
    <row r="42" spans="1:9" x14ac:dyDescent="0.2">
      <c r="A42" s="2">
        <v>18</v>
      </c>
      <c r="B42" s="1" t="s">
        <v>125</v>
      </c>
      <c r="C42" s="4">
        <v>203</v>
      </c>
      <c r="D42" s="8">
        <v>1.38</v>
      </c>
      <c r="E42" s="4">
        <v>19</v>
      </c>
      <c r="F42" s="8">
        <v>0.28000000000000003</v>
      </c>
      <c r="G42" s="4">
        <v>184</v>
      </c>
      <c r="H42" s="8">
        <v>2.35</v>
      </c>
      <c r="I42" s="4">
        <v>0</v>
      </c>
    </row>
    <row r="43" spans="1:9" x14ac:dyDescent="0.2">
      <c r="A43" s="2">
        <v>19</v>
      </c>
      <c r="B43" s="1" t="s">
        <v>126</v>
      </c>
      <c r="C43" s="4">
        <v>190</v>
      </c>
      <c r="D43" s="8">
        <v>1.3</v>
      </c>
      <c r="E43" s="4">
        <v>36</v>
      </c>
      <c r="F43" s="8">
        <v>0.53</v>
      </c>
      <c r="G43" s="4">
        <v>154</v>
      </c>
      <c r="H43" s="8">
        <v>1.97</v>
      </c>
      <c r="I43" s="4">
        <v>0</v>
      </c>
    </row>
    <row r="44" spans="1:9" x14ac:dyDescent="0.2">
      <c r="A44" s="2">
        <v>20</v>
      </c>
      <c r="B44" s="1" t="s">
        <v>146</v>
      </c>
      <c r="C44" s="4">
        <v>185</v>
      </c>
      <c r="D44" s="8">
        <v>1.26</v>
      </c>
      <c r="E44" s="4">
        <v>102</v>
      </c>
      <c r="F44" s="8">
        <v>1.51</v>
      </c>
      <c r="G44" s="4">
        <v>83</v>
      </c>
      <c r="H44" s="8">
        <v>1.06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140</v>
      </c>
      <c r="C47" s="4">
        <v>146</v>
      </c>
      <c r="D47" s="8">
        <v>6.06</v>
      </c>
      <c r="E47" s="4">
        <v>136</v>
      </c>
      <c r="F47" s="8">
        <v>9.69</v>
      </c>
      <c r="G47" s="4">
        <v>10</v>
      </c>
      <c r="H47" s="8">
        <v>1.04</v>
      </c>
      <c r="I47" s="4">
        <v>0</v>
      </c>
    </row>
    <row r="48" spans="1:9" x14ac:dyDescent="0.2">
      <c r="A48" s="2">
        <v>2</v>
      </c>
      <c r="B48" s="1" t="s">
        <v>138</v>
      </c>
      <c r="C48" s="4">
        <v>96</v>
      </c>
      <c r="D48" s="8">
        <v>3.99</v>
      </c>
      <c r="E48" s="4">
        <v>95</v>
      </c>
      <c r="F48" s="8">
        <v>6.77</v>
      </c>
      <c r="G48" s="4">
        <v>1</v>
      </c>
      <c r="H48" s="8">
        <v>0.1</v>
      </c>
      <c r="I48" s="4">
        <v>0</v>
      </c>
    </row>
    <row r="49" spans="1:9" x14ac:dyDescent="0.2">
      <c r="A49" s="2">
        <v>3</v>
      </c>
      <c r="B49" s="1" t="s">
        <v>139</v>
      </c>
      <c r="C49" s="4">
        <v>82</v>
      </c>
      <c r="D49" s="8">
        <v>3.41</v>
      </c>
      <c r="E49" s="4">
        <v>80</v>
      </c>
      <c r="F49" s="8">
        <v>5.7</v>
      </c>
      <c r="G49" s="4">
        <v>2</v>
      </c>
      <c r="H49" s="8">
        <v>0.21</v>
      </c>
      <c r="I49" s="4">
        <v>0</v>
      </c>
    </row>
    <row r="50" spans="1:9" x14ac:dyDescent="0.2">
      <c r="A50" s="2">
        <v>4</v>
      </c>
      <c r="B50" s="1" t="s">
        <v>136</v>
      </c>
      <c r="C50" s="4">
        <v>79</v>
      </c>
      <c r="D50" s="8">
        <v>3.28</v>
      </c>
      <c r="E50" s="4">
        <v>72</v>
      </c>
      <c r="F50" s="8">
        <v>5.13</v>
      </c>
      <c r="G50" s="4">
        <v>7</v>
      </c>
      <c r="H50" s="8">
        <v>0.73</v>
      </c>
      <c r="I50" s="4">
        <v>0</v>
      </c>
    </row>
    <row r="51" spans="1:9" x14ac:dyDescent="0.2">
      <c r="A51" s="2">
        <v>5</v>
      </c>
      <c r="B51" s="1" t="s">
        <v>143</v>
      </c>
      <c r="C51" s="4">
        <v>76</v>
      </c>
      <c r="D51" s="8">
        <v>3.16</v>
      </c>
      <c r="E51" s="4">
        <v>64</v>
      </c>
      <c r="F51" s="8">
        <v>4.5599999999999996</v>
      </c>
      <c r="G51" s="4">
        <v>12</v>
      </c>
      <c r="H51" s="8">
        <v>1.25</v>
      </c>
      <c r="I51" s="4">
        <v>0</v>
      </c>
    </row>
    <row r="52" spans="1:9" x14ac:dyDescent="0.2">
      <c r="A52" s="2">
        <v>6</v>
      </c>
      <c r="B52" s="1" t="s">
        <v>130</v>
      </c>
      <c r="C52" s="4">
        <v>75</v>
      </c>
      <c r="D52" s="8">
        <v>3.11</v>
      </c>
      <c r="E52" s="4">
        <v>61</v>
      </c>
      <c r="F52" s="8">
        <v>4.34</v>
      </c>
      <c r="G52" s="4">
        <v>14</v>
      </c>
      <c r="H52" s="8">
        <v>1.46</v>
      </c>
      <c r="I52" s="4">
        <v>0</v>
      </c>
    </row>
    <row r="53" spans="1:9" x14ac:dyDescent="0.2">
      <c r="A53" s="2">
        <v>7</v>
      </c>
      <c r="B53" s="1" t="s">
        <v>137</v>
      </c>
      <c r="C53" s="4">
        <v>72</v>
      </c>
      <c r="D53" s="8">
        <v>2.99</v>
      </c>
      <c r="E53" s="4">
        <v>66</v>
      </c>
      <c r="F53" s="8">
        <v>4.7</v>
      </c>
      <c r="G53" s="4">
        <v>6</v>
      </c>
      <c r="H53" s="8">
        <v>0.62</v>
      </c>
      <c r="I53" s="4">
        <v>0</v>
      </c>
    </row>
    <row r="54" spans="1:9" x14ac:dyDescent="0.2">
      <c r="A54" s="2">
        <v>8</v>
      </c>
      <c r="B54" s="1" t="s">
        <v>133</v>
      </c>
      <c r="C54" s="4">
        <v>61</v>
      </c>
      <c r="D54" s="8">
        <v>2.5299999999999998</v>
      </c>
      <c r="E54" s="4">
        <v>49</v>
      </c>
      <c r="F54" s="8">
        <v>3.49</v>
      </c>
      <c r="G54" s="4">
        <v>12</v>
      </c>
      <c r="H54" s="8">
        <v>1.25</v>
      </c>
      <c r="I54" s="4">
        <v>0</v>
      </c>
    </row>
    <row r="55" spans="1:9" x14ac:dyDescent="0.2">
      <c r="A55" s="2">
        <v>8</v>
      </c>
      <c r="B55" s="1" t="s">
        <v>142</v>
      </c>
      <c r="C55" s="4">
        <v>61</v>
      </c>
      <c r="D55" s="8">
        <v>2.5299999999999998</v>
      </c>
      <c r="E55" s="4">
        <v>54</v>
      </c>
      <c r="F55" s="8">
        <v>3.85</v>
      </c>
      <c r="G55" s="4">
        <v>7</v>
      </c>
      <c r="H55" s="8">
        <v>0.73</v>
      </c>
      <c r="I55" s="4">
        <v>0</v>
      </c>
    </row>
    <row r="56" spans="1:9" x14ac:dyDescent="0.2">
      <c r="A56" s="2">
        <v>10</v>
      </c>
      <c r="B56" s="1" t="s">
        <v>129</v>
      </c>
      <c r="C56" s="4">
        <v>57</v>
      </c>
      <c r="D56" s="8">
        <v>2.37</v>
      </c>
      <c r="E56" s="4">
        <v>40</v>
      </c>
      <c r="F56" s="8">
        <v>2.85</v>
      </c>
      <c r="G56" s="4">
        <v>16</v>
      </c>
      <c r="H56" s="8">
        <v>1.66</v>
      </c>
      <c r="I56" s="4">
        <v>1</v>
      </c>
    </row>
    <row r="57" spans="1:9" x14ac:dyDescent="0.2">
      <c r="A57" s="2">
        <v>11</v>
      </c>
      <c r="B57" s="1" t="s">
        <v>124</v>
      </c>
      <c r="C57" s="4">
        <v>42</v>
      </c>
      <c r="D57" s="8">
        <v>1.74</v>
      </c>
      <c r="E57" s="4">
        <v>2</v>
      </c>
      <c r="F57" s="8">
        <v>0.14000000000000001</v>
      </c>
      <c r="G57" s="4">
        <v>40</v>
      </c>
      <c r="H57" s="8">
        <v>4.16</v>
      </c>
      <c r="I57" s="4">
        <v>0</v>
      </c>
    </row>
    <row r="58" spans="1:9" x14ac:dyDescent="0.2">
      <c r="A58" s="2">
        <v>12</v>
      </c>
      <c r="B58" s="1" t="s">
        <v>147</v>
      </c>
      <c r="C58" s="4">
        <v>41</v>
      </c>
      <c r="D58" s="8">
        <v>1.7</v>
      </c>
      <c r="E58" s="4">
        <v>22</v>
      </c>
      <c r="F58" s="8">
        <v>1.57</v>
      </c>
      <c r="G58" s="4">
        <v>19</v>
      </c>
      <c r="H58" s="8">
        <v>1.98</v>
      </c>
      <c r="I58" s="4">
        <v>0</v>
      </c>
    </row>
    <row r="59" spans="1:9" x14ac:dyDescent="0.2">
      <c r="A59" s="2">
        <v>13</v>
      </c>
      <c r="B59" s="1" t="s">
        <v>125</v>
      </c>
      <c r="C59" s="4">
        <v>40</v>
      </c>
      <c r="D59" s="8">
        <v>1.66</v>
      </c>
      <c r="E59" s="4">
        <v>6</v>
      </c>
      <c r="F59" s="8">
        <v>0.43</v>
      </c>
      <c r="G59" s="4">
        <v>34</v>
      </c>
      <c r="H59" s="8">
        <v>3.54</v>
      </c>
      <c r="I59" s="4">
        <v>0</v>
      </c>
    </row>
    <row r="60" spans="1:9" x14ac:dyDescent="0.2">
      <c r="A60" s="2">
        <v>13</v>
      </c>
      <c r="B60" s="1" t="s">
        <v>135</v>
      </c>
      <c r="C60" s="4">
        <v>40</v>
      </c>
      <c r="D60" s="8">
        <v>1.66</v>
      </c>
      <c r="E60" s="4">
        <v>21</v>
      </c>
      <c r="F60" s="8">
        <v>1.5</v>
      </c>
      <c r="G60" s="4">
        <v>18</v>
      </c>
      <c r="H60" s="8">
        <v>1.87</v>
      </c>
      <c r="I60" s="4">
        <v>0</v>
      </c>
    </row>
    <row r="61" spans="1:9" x14ac:dyDescent="0.2">
      <c r="A61" s="2">
        <v>15</v>
      </c>
      <c r="B61" s="1" t="s">
        <v>128</v>
      </c>
      <c r="C61" s="4">
        <v>39</v>
      </c>
      <c r="D61" s="8">
        <v>1.62</v>
      </c>
      <c r="E61" s="4">
        <v>24</v>
      </c>
      <c r="F61" s="8">
        <v>1.71</v>
      </c>
      <c r="G61" s="4">
        <v>14</v>
      </c>
      <c r="H61" s="8">
        <v>1.46</v>
      </c>
      <c r="I61" s="4">
        <v>1</v>
      </c>
    </row>
    <row r="62" spans="1:9" x14ac:dyDescent="0.2">
      <c r="A62" s="2">
        <v>16</v>
      </c>
      <c r="B62" s="1" t="s">
        <v>141</v>
      </c>
      <c r="C62" s="4">
        <v>37</v>
      </c>
      <c r="D62" s="8">
        <v>1.54</v>
      </c>
      <c r="E62" s="4">
        <v>27</v>
      </c>
      <c r="F62" s="8">
        <v>1.92</v>
      </c>
      <c r="G62" s="4">
        <v>10</v>
      </c>
      <c r="H62" s="8">
        <v>1.04</v>
      </c>
      <c r="I62" s="4">
        <v>0</v>
      </c>
    </row>
    <row r="63" spans="1:9" x14ac:dyDescent="0.2">
      <c r="A63" s="2">
        <v>17</v>
      </c>
      <c r="B63" s="1" t="s">
        <v>131</v>
      </c>
      <c r="C63" s="4">
        <v>36</v>
      </c>
      <c r="D63" s="8">
        <v>1.5</v>
      </c>
      <c r="E63" s="4">
        <v>16</v>
      </c>
      <c r="F63" s="8">
        <v>1.1399999999999999</v>
      </c>
      <c r="G63" s="4">
        <v>20</v>
      </c>
      <c r="H63" s="8">
        <v>2.08</v>
      </c>
      <c r="I63" s="4">
        <v>0</v>
      </c>
    </row>
    <row r="64" spans="1:9" x14ac:dyDescent="0.2">
      <c r="A64" s="2">
        <v>18</v>
      </c>
      <c r="B64" s="1" t="s">
        <v>126</v>
      </c>
      <c r="C64" s="4">
        <v>34</v>
      </c>
      <c r="D64" s="8">
        <v>1.41</v>
      </c>
      <c r="E64" s="4">
        <v>7</v>
      </c>
      <c r="F64" s="8">
        <v>0.5</v>
      </c>
      <c r="G64" s="4">
        <v>27</v>
      </c>
      <c r="H64" s="8">
        <v>2.81</v>
      </c>
      <c r="I64" s="4">
        <v>0</v>
      </c>
    </row>
    <row r="65" spans="1:9" x14ac:dyDescent="0.2">
      <c r="A65" s="2">
        <v>18</v>
      </c>
      <c r="B65" s="1" t="s">
        <v>148</v>
      </c>
      <c r="C65" s="4">
        <v>34</v>
      </c>
      <c r="D65" s="8">
        <v>1.41</v>
      </c>
      <c r="E65" s="4">
        <v>26</v>
      </c>
      <c r="F65" s="8">
        <v>1.85</v>
      </c>
      <c r="G65" s="4">
        <v>7</v>
      </c>
      <c r="H65" s="8">
        <v>0.73</v>
      </c>
      <c r="I65" s="4">
        <v>1</v>
      </c>
    </row>
    <row r="66" spans="1:9" x14ac:dyDescent="0.2">
      <c r="A66" s="2">
        <v>20</v>
      </c>
      <c r="B66" s="1" t="s">
        <v>134</v>
      </c>
      <c r="C66" s="4">
        <v>31</v>
      </c>
      <c r="D66" s="8">
        <v>1.29</v>
      </c>
      <c r="E66" s="4">
        <v>10</v>
      </c>
      <c r="F66" s="8">
        <v>0.71</v>
      </c>
      <c r="G66" s="4">
        <v>21</v>
      </c>
      <c r="H66" s="8">
        <v>2.19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140</v>
      </c>
      <c r="C69" s="4">
        <v>36</v>
      </c>
      <c r="D69" s="8">
        <v>5.41</v>
      </c>
      <c r="E69" s="4">
        <v>36</v>
      </c>
      <c r="F69" s="8">
        <v>8.41</v>
      </c>
      <c r="G69" s="4">
        <v>0</v>
      </c>
      <c r="H69" s="8">
        <v>0</v>
      </c>
      <c r="I69" s="4">
        <v>0</v>
      </c>
    </row>
    <row r="70" spans="1:9" x14ac:dyDescent="0.2">
      <c r="A70" s="2">
        <v>2</v>
      </c>
      <c r="B70" s="1" t="s">
        <v>150</v>
      </c>
      <c r="C70" s="4">
        <v>31</v>
      </c>
      <c r="D70" s="8">
        <v>4.66</v>
      </c>
      <c r="E70" s="4">
        <v>7</v>
      </c>
      <c r="F70" s="8">
        <v>1.64</v>
      </c>
      <c r="G70" s="4">
        <v>24</v>
      </c>
      <c r="H70" s="8">
        <v>10.96</v>
      </c>
      <c r="I70" s="4">
        <v>0</v>
      </c>
    </row>
    <row r="71" spans="1:9" x14ac:dyDescent="0.2">
      <c r="A71" s="2">
        <v>3</v>
      </c>
      <c r="B71" s="1" t="s">
        <v>133</v>
      </c>
      <c r="C71" s="4">
        <v>24</v>
      </c>
      <c r="D71" s="8">
        <v>3.61</v>
      </c>
      <c r="E71" s="4">
        <v>19</v>
      </c>
      <c r="F71" s="8">
        <v>4.4400000000000004</v>
      </c>
      <c r="G71" s="4">
        <v>4</v>
      </c>
      <c r="H71" s="8">
        <v>1.83</v>
      </c>
      <c r="I71" s="4">
        <v>1</v>
      </c>
    </row>
    <row r="72" spans="1:9" x14ac:dyDescent="0.2">
      <c r="A72" s="2">
        <v>3</v>
      </c>
      <c r="B72" s="1" t="s">
        <v>137</v>
      </c>
      <c r="C72" s="4">
        <v>24</v>
      </c>
      <c r="D72" s="8">
        <v>3.61</v>
      </c>
      <c r="E72" s="4">
        <v>23</v>
      </c>
      <c r="F72" s="8">
        <v>5.37</v>
      </c>
      <c r="G72" s="4">
        <v>1</v>
      </c>
      <c r="H72" s="8">
        <v>0.46</v>
      </c>
      <c r="I72" s="4">
        <v>0</v>
      </c>
    </row>
    <row r="73" spans="1:9" x14ac:dyDescent="0.2">
      <c r="A73" s="2">
        <v>5</v>
      </c>
      <c r="B73" s="1" t="s">
        <v>149</v>
      </c>
      <c r="C73" s="4">
        <v>23</v>
      </c>
      <c r="D73" s="8">
        <v>3.46</v>
      </c>
      <c r="E73" s="4">
        <v>10</v>
      </c>
      <c r="F73" s="8">
        <v>2.34</v>
      </c>
      <c r="G73" s="4">
        <v>13</v>
      </c>
      <c r="H73" s="8">
        <v>5.94</v>
      </c>
      <c r="I73" s="4">
        <v>0</v>
      </c>
    </row>
    <row r="74" spans="1:9" x14ac:dyDescent="0.2">
      <c r="A74" s="2">
        <v>6</v>
      </c>
      <c r="B74" s="1" t="s">
        <v>130</v>
      </c>
      <c r="C74" s="4">
        <v>22</v>
      </c>
      <c r="D74" s="8">
        <v>3.31</v>
      </c>
      <c r="E74" s="4">
        <v>19</v>
      </c>
      <c r="F74" s="8">
        <v>4.4400000000000004</v>
      </c>
      <c r="G74" s="4">
        <v>3</v>
      </c>
      <c r="H74" s="8">
        <v>1.37</v>
      </c>
      <c r="I74" s="4">
        <v>0</v>
      </c>
    </row>
    <row r="75" spans="1:9" x14ac:dyDescent="0.2">
      <c r="A75" s="2">
        <v>7</v>
      </c>
      <c r="B75" s="1" t="s">
        <v>138</v>
      </c>
      <c r="C75" s="4">
        <v>20</v>
      </c>
      <c r="D75" s="8">
        <v>3.01</v>
      </c>
      <c r="E75" s="4">
        <v>20</v>
      </c>
      <c r="F75" s="8">
        <v>4.67</v>
      </c>
      <c r="G75" s="4">
        <v>0</v>
      </c>
      <c r="H75" s="8">
        <v>0</v>
      </c>
      <c r="I75" s="4">
        <v>0</v>
      </c>
    </row>
    <row r="76" spans="1:9" x14ac:dyDescent="0.2">
      <c r="A76" s="2">
        <v>7</v>
      </c>
      <c r="B76" s="1" t="s">
        <v>139</v>
      </c>
      <c r="C76" s="4">
        <v>20</v>
      </c>
      <c r="D76" s="8">
        <v>3.01</v>
      </c>
      <c r="E76" s="4">
        <v>19</v>
      </c>
      <c r="F76" s="8">
        <v>4.4400000000000004</v>
      </c>
      <c r="G76" s="4">
        <v>1</v>
      </c>
      <c r="H76" s="8">
        <v>0.46</v>
      </c>
      <c r="I76" s="4">
        <v>0</v>
      </c>
    </row>
    <row r="77" spans="1:9" x14ac:dyDescent="0.2">
      <c r="A77" s="2">
        <v>9</v>
      </c>
      <c r="B77" s="1" t="s">
        <v>129</v>
      </c>
      <c r="C77" s="4">
        <v>19</v>
      </c>
      <c r="D77" s="8">
        <v>2.86</v>
      </c>
      <c r="E77" s="4">
        <v>17</v>
      </c>
      <c r="F77" s="8">
        <v>3.97</v>
      </c>
      <c r="G77" s="4">
        <v>2</v>
      </c>
      <c r="H77" s="8">
        <v>0.91</v>
      </c>
      <c r="I77" s="4">
        <v>0</v>
      </c>
    </row>
    <row r="78" spans="1:9" x14ac:dyDescent="0.2">
      <c r="A78" s="2">
        <v>10</v>
      </c>
      <c r="B78" s="1" t="s">
        <v>142</v>
      </c>
      <c r="C78" s="4">
        <v>18</v>
      </c>
      <c r="D78" s="8">
        <v>2.71</v>
      </c>
      <c r="E78" s="4">
        <v>18</v>
      </c>
      <c r="F78" s="8">
        <v>4.21</v>
      </c>
      <c r="G78" s="4">
        <v>0</v>
      </c>
      <c r="H78" s="8">
        <v>0</v>
      </c>
      <c r="I78" s="4">
        <v>0</v>
      </c>
    </row>
    <row r="79" spans="1:9" x14ac:dyDescent="0.2">
      <c r="A79" s="2">
        <v>10</v>
      </c>
      <c r="B79" s="1" t="s">
        <v>143</v>
      </c>
      <c r="C79" s="4">
        <v>18</v>
      </c>
      <c r="D79" s="8">
        <v>2.71</v>
      </c>
      <c r="E79" s="4">
        <v>16</v>
      </c>
      <c r="F79" s="8">
        <v>3.74</v>
      </c>
      <c r="G79" s="4">
        <v>2</v>
      </c>
      <c r="H79" s="8">
        <v>0.91</v>
      </c>
      <c r="I79" s="4">
        <v>0</v>
      </c>
    </row>
    <row r="80" spans="1:9" x14ac:dyDescent="0.2">
      <c r="A80" s="2">
        <v>12</v>
      </c>
      <c r="B80" s="1" t="s">
        <v>147</v>
      </c>
      <c r="C80" s="4">
        <v>13</v>
      </c>
      <c r="D80" s="8">
        <v>1.95</v>
      </c>
      <c r="E80" s="4">
        <v>6</v>
      </c>
      <c r="F80" s="8">
        <v>1.4</v>
      </c>
      <c r="G80" s="4">
        <v>7</v>
      </c>
      <c r="H80" s="8">
        <v>3.2</v>
      </c>
      <c r="I80" s="4">
        <v>0</v>
      </c>
    </row>
    <row r="81" spans="1:9" x14ac:dyDescent="0.2">
      <c r="A81" s="2">
        <v>13</v>
      </c>
      <c r="B81" s="1" t="s">
        <v>151</v>
      </c>
      <c r="C81" s="4">
        <v>11</v>
      </c>
      <c r="D81" s="8">
        <v>1.65</v>
      </c>
      <c r="E81" s="4">
        <v>0</v>
      </c>
      <c r="F81" s="8">
        <v>0</v>
      </c>
      <c r="G81" s="4">
        <v>11</v>
      </c>
      <c r="H81" s="8">
        <v>5.0199999999999996</v>
      </c>
      <c r="I81" s="4">
        <v>0</v>
      </c>
    </row>
    <row r="82" spans="1:9" x14ac:dyDescent="0.2">
      <c r="A82" s="2">
        <v>13</v>
      </c>
      <c r="B82" s="1" t="s">
        <v>136</v>
      </c>
      <c r="C82" s="4">
        <v>11</v>
      </c>
      <c r="D82" s="8">
        <v>1.65</v>
      </c>
      <c r="E82" s="4">
        <v>11</v>
      </c>
      <c r="F82" s="8">
        <v>2.57</v>
      </c>
      <c r="G82" s="4">
        <v>0</v>
      </c>
      <c r="H82" s="8">
        <v>0</v>
      </c>
      <c r="I82" s="4">
        <v>0</v>
      </c>
    </row>
    <row r="83" spans="1:9" x14ac:dyDescent="0.2">
      <c r="A83" s="2">
        <v>15</v>
      </c>
      <c r="B83" s="1" t="s">
        <v>153</v>
      </c>
      <c r="C83" s="4">
        <v>10</v>
      </c>
      <c r="D83" s="8">
        <v>1.5</v>
      </c>
      <c r="E83" s="4">
        <v>10</v>
      </c>
      <c r="F83" s="8">
        <v>2.34</v>
      </c>
      <c r="G83" s="4">
        <v>0</v>
      </c>
      <c r="H83" s="8">
        <v>0</v>
      </c>
      <c r="I83" s="4">
        <v>0</v>
      </c>
    </row>
    <row r="84" spans="1:9" x14ac:dyDescent="0.2">
      <c r="A84" s="2">
        <v>15</v>
      </c>
      <c r="B84" s="1" t="s">
        <v>131</v>
      </c>
      <c r="C84" s="4">
        <v>10</v>
      </c>
      <c r="D84" s="8">
        <v>1.5</v>
      </c>
      <c r="E84" s="4">
        <v>4</v>
      </c>
      <c r="F84" s="8">
        <v>0.93</v>
      </c>
      <c r="G84" s="4">
        <v>6</v>
      </c>
      <c r="H84" s="8">
        <v>2.74</v>
      </c>
      <c r="I84" s="4">
        <v>0</v>
      </c>
    </row>
    <row r="85" spans="1:9" x14ac:dyDescent="0.2">
      <c r="A85" s="2">
        <v>15</v>
      </c>
      <c r="B85" s="1" t="s">
        <v>132</v>
      </c>
      <c r="C85" s="4">
        <v>10</v>
      </c>
      <c r="D85" s="8">
        <v>1.5</v>
      </c>
      <c r="E85" s="4">
        <v>2</v>
      </c>
      <c r="F85" s="8">
        <v>0.47</v>
      </c>
      <c r="G85" s="4">
        <v>8</v>
      </c>
      <c r="H85" s="8">
        <v>3.65</v>
      </c>
      <c r="I85" s="4">
        <v>0</v>
      </c>
    </row>
    <row r="86" spans="1:9" x14ac:dyDescent="0.2">
      <c r="A86" s="2">
        <v>18</v>
      </c>
      <c r="B86" s="1" t="s">
        <v>152</v>
      </c>
      <c r="C86" s="4">
        <v>9</v>
      </c>
      <c r="D86" s="8">
        <v>1.35</v>
      </c>
      <c r="E86" s="4">
        <v>6</v>
      </c>
      <c r="F86" s="8">
        <v>1.4</v>
      </c>
      <c r="G86" s="4">
        <v>3</v>
      </c>
      <c r="H86" s="8">
        <v>1.37</v>
      </c>
      <c r="I86" s="4">
        <v>0</v>
      </c>
    </row>
    <row r="87" spans="1:9" x14ac:dyDescent="0.2">
      <c r="A87" s="2">
        <v>18</v>
      </c>
      <c r="B87" s="1" t="s">
        <v>128</v>
      </c>
      <c r="C87" s="4">
        <v>9</v>
      </c>
      <c r="D87" s="8">
        <v>1.35</v>
      </c>
      <c r="E87" s="4">
        <v>8</v>
      </c>
      <c r="F87" s="8">
        <v>1.87</v>
      </c>
      <c r="G87" s="4">
        <v>1</v>
      </c>
      <c r="H87" s="8">
        <v>0.46</v>
      </c>
      <c r="I87" s="4">
        <v>0</v>
      </c>
    </row>
    <row r="88" spans="1:9" x14ac:dyDescent="0.2">
      <c r="A88" s="2">
        <v>18</v>
      </c>
      <c r="B88" s="1" t="s">
        <v>146</v>
      </c>
      <c r="C88" s="4">
        <v>9</v>
      </c>
      <c r="D88" s="8">
        <v>1.35</v>
      </c>
      <c r="E88" s="4">
        <v>5</v>
      </c>
      <c r="F88" s="8">
        <v>1.17</v>
      </c>
      <c r="G88" s="4">
        <v>4</v>
      </c>
      <c r="H88" s="8">
        <v>1.83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139</v>
      </c>
      <c r="C91" s="4">
        <v>23</v>
      </c>
      <c r="D91" s="8">
        <v>4.13</v>
      </c>
      <c r="E91" s="4">
        <v>22</v>
      </c>
      <c r="F91" s="8">
        <v>6.08</v>
      </c>
      <c r="G91" s="4">
        <v>1</v>
      </c>
      <c r="H91" s="8">
        <v>0.52</v>
      </c>
      <c r="I91" s="4">
        <v>0</v>
      </c>
    </row>
    <row r="92" spans="1:9" x14ac:dyDescent="0.2">
      <c r="A92" s="2">
        <v>2</v>
      </c>
      <c r="B92" s="1" t="s">
        <v>138</v>
      </c>
      <c r="C92" s="4">
        <v>22</v>
      </c>
      <c r="D92" s="8">
        <v>3.95</v>
      </c>
      <c r="E92" s="4">
        <v>22</v>
      </c>
      <c r="F92" s="8">
        <v>6.08</v>
      </c>
      <c r="G92" s="4">
        <v>0</v>
      </c>
      <c r="H92" s="8">
        <v>0</v>
      </c>
      <c r="I92" s="4">
        <v>0</v>
      </c>
    </row>
    <row r="93" spans="1:9" x14ac:dyDescent="0.2">
      <c r="A93" s="2">
        <v>3</v>
      </c>
      <c r="B93" s="1" t="s">
        <v>140</v>
      </c>
      <c r="C93" s="4">
        <v>21</v>
      </c>
      <c r="D93" s="8">
        <v>3.77</v>
      </c>
      <c r="E93" s="4">
        <v>20</v>
      </c>
      <c r="F93" s="8">
        <v>5.52</v>
      </c>
      <c r="G93" s="4">
        <v>1</v>
      </c>
      <c r="H93" s="8">
        <v>0.52</v>
      </c>
      <c r="I93" s="4">
        <v>0</v>
      </c>
    </row>
    <row r="94" spans="1:9" x14ac:dyDescent="0.2">
      <c r="A94" s="2">
        <v>4</v>
      </c>
      <c r="B94" s="1" t="s">
        <v>130</v>
      </c>
      <c r="C94" s="4">
        <v>19</v>
      </c>
      <c r="D94" s="8">
        <v>3.41</v>
      </c>
      <c r="E94" s="4">
        <v>18</v>
      </c>
      <c r="F94" s="8">
        <v>4.97</v>
      </c>
      <c r="G94" s="4">
        <v>1</v>
      </c>
      <c r="H94" s="8">
        <v>0.52</v>
      </c>
      <c r="I94" s="4">
        <v>0</v>
      </c>
    </row>
    <row r="95" spans="1:9" x14ac:dyDescent="0.2">
      <c r="A95" s="2">
        <v>5</v>
      </c>
      <c r="B95" s="1" t="s">
        <v>129</v>
      </c>
      <c r="C95" s="4">
        <v>16</v>
      </c>
      <c r="D95" s="8">
        <v>2.87</v>
      </c>
      <c r="E95" s="4">
        <v>16</v>
      </c>
      <c r="F95" s="8">
        <v>4.42</v>
      </c>
      <c r="G95" s="4">
        <v>0</v>
      </c>
      <c r="H95" s="8">
        <v>0</v>
      </c>
      <c r="I95" s="4">
        <v>0</v>
      </c>
    </row>
    <row r="96" spans="1:9" x14ac:dyDescent="0.2">
      <c r="A96" s="2">
        <v>5</v>
      </c>
      <c r="B96" s="1" t="s">
        <v>142</v>
      </c>
      <c r="C96" s="4">
        <v>16</v>
      </c>
      <c r="D96" s="8">
        <v>2.87</v>
      </c>
      <c r="E96" s="4">
        <v>16</v>
      </c>
      <c r="F96" s="8">
        <v>4.42</v>
      </c>
      <c r="G96" s="4">
        <v>0</v>
      </c>
      <c r="H96" s="8">
        <v>0</v>
      </c>
      <c r="I96" s="4">
        <v>0</v>
      </c>
    </row>
    <row r="97" spans="1:9" x14ac:dyDescent="0.2">
      <c r="A97" s="2">
        <v>7</v>
      </c>
      <c r="B97" s="1" t="s">
        <v>131</v>
      </c>
      <c r="C97" s="4">
        <v>15</v>
      </c>
      <c r="D97" s="8">
        <v>2.69</v>
      </c>
      <c r="E97" s="4">
        <v>10</v>
      </c>
      <c r="F97" s="8">
        <v>2.76</v>
      </c>
      <c r="G97" s="4">
        <v>5</v>
      </c>
      <c r="H97" s="8">
        <v>2.6</v>
      </c>
      <c r="I97" s="4">
        <v>0</v>
      </c>
    </row>
    <row r="98" spans="1:9" x14ac:dyDescent="0.2">
      <c r="A98" s="2">
        <v>7</v>
      </c>
      <c r="B98" s="1" t="s">
        <v>136</v>
      </c>
      <c r="C98" s="4">
        <v>15</v>
      </c>
      <c r="D98" s="8">
        <v>2.69</v>
      </c>
      <c r="E98" s="4">
        <v>13</v>
      </c>
      <c r="F98" s="8">
        <v>3.59</v>
      </c>
      <c r="G98" s="4">
        <v>2</v>
      </c>
      <c r="H98" s="8">
        <v>1.04</v>
      </c>
      <c r="I98" s="4">
        <v>0</v>
      </c>
    </row>
    <row r="99" spans="1:9" x14ac:dyDescent="0.2">
      <c r="A99" s="2">
        <v>9</v>
      </c>
      <c r="B99" s="1" t="s">
        <v>124</v>
      </c>
      <c r="C99" s="4">
        <v>14</v>
      </c>
      <c r="D99" s="8">
        <v>2.5099999999999998</v>
      </c>
      <c r="E99" s="4">
        <v>0</v>
      </c>
      <c r="F99" s="8">
        <v>0</v>
      </c>
      <c r="G99" s="4">
        <v>14</v>
      </c>
      <c r="H99" s="8">
        <v>7.29</v>
      </c>
      <c r="I99" s="4">
        <v>0</v>
      </c>
    </row>
    <row r="100" spans="1:9" x14ac:dyDescent="0.2">
      <c r="A100" s="2">
        <v>9</v>
      </c>
      <c r="B100" s="1" t="s">
        <v>154</v>
      </c>
      <c r="C100" s="4">
        <v>14</v>
      </c>
      <c r="D100" s="8">
        <v>2.5099999999999998</v>
      </c>
      <c r="E100" s="4">
        <v>7</v>
      </c>
      <c r="F100" s="8">
        <v>1.93</v>
      </c>
      <c r="G100" s="4">
        <v>7</v>
      </c>
      <c r="H100" s="8">
        <v>3.65</v>
      </c>
      <c r="I100" s="4">
        <v>0</v>
      </c>
    </row>
    <row r="101" spans="1:9" x14ac:dyDescent="0.2">
      <c r="A101" s="2">
        <v>11</v>
      </c>
      <c r="B101" s="1" t="s">
        <v>147</v>
      </c>
      <c r="C101" s="4">
        <v>12</v>
      </c>
      <c r="D101" s="8">
        <v>2.15</v>
      </c>
      <c r="E101" s="4">
        <v>6</v>
      </c>
      <c r="F101" s="8">
        <v>1.66</v>
      </c>
      <c r="G101" s="4">
        <v>6</v>
      </c>
      <c r="H101" s="8">
        <v>3.13</v>
      </c>
      <c r="I101" s="4">
        <v>0</v>
      </c>
    </row>
    <row r="102" spans="1:9" x14ac:dyDescent="0.2">
      <c r="A102" s="2">
        <v>12</v>
      </c>
      <c r="B102" s="1" t="s">
        <v>128</v>
      </c>
      <c r="C102" s="4">
        <v>11</v>
      </c>
      <c r="D102" s="8">
        <v>1.97</v>
      </c>
      <c r="E102" s="4">
        <v>10</v>
      </c>
      <c r="F102" s="8">
        <v>2.76</v>
      </c>
      <c r="G102" s="4">
        <v>1</v>
      </c>
      <c r="H102" s="8">
        <v>0.52</v>
      </c>
      <c r="I102" s="4">
        <v>0</v>
      </c>
    </row>
    <row r="103" spans="1:9" x14ac:dyDescent="0.2">
      <c r="A103" s="2">
        <v>12</v>
      </c>
      <c r="B103" s="1" t="s">
        <v>132</v>
      </c>
      <c r="C103" s="4">
        <v>11</v>
      </c>
      <c r="D103" s="8">
        <v>1.97</v>
      </c>
      <c r="E103" s="4">
        <v>2</v>
      </c>
      <c r="F103" s="8">
        <v>0.55000000000000004</v>
      </c>
      <c r="G103" s="4">
        <v>9</v>
      </c>
      <c r="H103" s="8">
        <v>4.6900000000000004</v>
      </c>
      <c r="I103" s="4">
        <v>0</v>
      </c>
    </row>
    <row r="104" spans="1:9" x14ac:dyDescent="0.2">
      <c r="A104" s="2">
        <v>12</v>
      </c>
      <c r="B104" s="1" t="s">
        <v>134</v>
      </c>
      <c r="C104" s="4">
        <v>11</v>
      </c>
      <c r="D104" s="8">
        <v>1.97</v>
      </c>
      <c r="E104" s="4">
        <v>9</v>
      </c>
      <c r="F104" s="8">
        <v>2.4900000000000002</v>
      </c>
      <c r="G104" s="4">
        <v>2</v>
      </c>
      <c r="H104" s="8">
        <v>1.04</v>
      </c>
      <c r="I104" s="4">
        <v>0</v>
      </c>
    </row>
    <row r="105" spans="1:9" x14ac:dyDescent="0.2">
      <c r="A105" s="2">
        <v>12</v>
      </c>
      <c r="B105" s="1" t="s">
        <v>143</v>
      </c>
      <c r="C105" s="4">
        <v>11</v>
      </c>
      <c r="D105" s="8">
        <v>1.97</v>
      </c>
      <c r="E105" s="4">
        <v>11</v>
      </c>
      <c r="F105" s="8">
        <v>3.04</v>
      </c>
      <c r="G105" s="4">
        <v>0</v>
      </c>
      <c r="H105" s="8">
        <v>0</v>
      </c>
      <c r="I105" s="4">
        <v>0</v>
      </c>
    </row>
    <row r="106" spans="1:9" x14ac:dyDescent="0.2">
      <c r="A106" s="2">
        <v>16</v>
      </c>
      <c r="B106" s="1" t="s">
        <v>146</v>
      </c>
      <c r="C106" s="4">
        <v>10</v>
      </c>
      <c r="D106" s="8">
        <v>1.8</v>
      </c>
      <c r="E106" s="4">
        <v>7</v>
      </c>
      <c r="F106" s="8">
        <v>1.93</v>
      </c>
      <c r="G106" s="4">
        <v>3</v>
      </c>
      <c r="H106" s="8">
        <v>1.56</v>
      </c>
      <c r="I106" s="4">
        <v>0</v>
      </c>
    </row>
    <row r="107" spans="1:9" x14ac:dyDescent="0.2">
      <c r="A107" s="2">
        <v>17</v>
      </c>
      <c r="B107" s="1" t="s">
        <v>126</v>
      </c>
      <c r="C107" s="4">
        <v>9</v>
      </c>
      <c r="D107" s="8">
        <v>1.62</v>
      </c>
      <c r="E107" s="4">
        <v>4</v>
      </c>
      <c r="F107" s="8">
        <v>1.1000000000000001</v>
      </c>
      <c r="G107" s="4">
        <v>5</v>
      </c>
      <c r="H107" s="8">
        <v>2.6</v>
      </c>
      <c r="I107" s="4">
        <v>0</v>
      </c>
    </row>
    <row r="108" spans="1:9" x14ac:dyDescent="0.2">
      <c r="A108" s="2">
        <v>17</v>
      </c>
      <c r="B108" s="1" t="s">
        <v>137</v>
      </c>
      <c r="C108" s="4">
        <v>9</v>
      </c>
      <c r="D108" s="8">
        <v>1.62</v>
      </c>
      <c r="E108" s="4">
        <v>9</v>
      </c>
      <c r="F108" s="8">
        <v>2.4900000000000002</v>
      </c>
      <c r="G108" s="4">
        <v>0</v>
      </c>
      <c r="H108" s="8">
        <v>0</v>
      </c>
      <c r="I108" s="4">
        <v>0</v>
      </c>
    </row>
    <row r="109" spans="1:9" x14ac:dyDescent="0.2">
      <c r="A109" s="2">
        <v>19</v>
      </c>
      <c r="B109" s="1" t="s">
        <v>155</v>
      </c>
      <c r="C109" s="4">
        <v>8</v>
      </c>
      <c r="D109" s="8">
        <v>1.44</v>
      </c>
      <c r="E109" s="4">
        <v>5</v>
      </c>
      <c r="F109" s="8">
        <v>1.38</v>
      </c>
      <c r="G109" s="4">
        <v>3</v>
      </c>
      <c r="H109" s="8">
        <v>1.56</v>
      </c>
      <c r="I109" s="4">
        <v>0</v>
      </c>
    </row>
    <row r="110" spans="1:9" x14ac:dyDescent="0.2">
      <c r="A110" s="2">
        <v>19</v>
      </c>
      <c r="B110" s="1" t="s">
        <v>133</v>
      </c>
      <c r="C110" s="4">
        <v>8</v>
      </c>
      <c r="D110" s="8">
        <v>1.44</v>
      </c>
      <c r="E110" s="4">
        <v>5</v>
      </c>
      <c r="F110" s="8">
        <v>1.38</v>
      </c>
      <c r="G110" s="4">
        <v>3</v>
      </c>
      <c r="H110" s="8">
        <v>1.56</v>
      </c>
      <c r="I110" s="4">
        <v>0</v>
      </c>
    </row>
    <row r="111" spans="1:9" x14ac:dyDescent="0.2">
      <c r="A111" s="2">
        <v>19</v>
      </c>
      <c r="B111" s="1" t="s">
        <v>156</v>
      </c>
      <c r="C111" s="4">
        <v>8</v>
      </c>
      <c r="D111" s="8">
        <v>1.44</v>
      </c>
      <c r="E111" s="4">
        <v>7</v>
      </c>
      <c r="F111" s="8">
        <v>1.93</v>
      </c>
      <c r="G111" s="4">
        <v>1</v>
      </c>
      <c r="H111" s="8">
        <v>0.52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140</v>
      </c>
      <c r="C114" s="4">
        <v>97</v>
      </c>
      <c r="D114" s="8">
        <v>7.23</v>
      </c>
      <c r="E114" s="4">
        <v>93</v>
      </c>
      <c r="F114" s="8">
        <v>11.65</v>
      </c>
      <c r="G114" s="4">
        <v>4</v>
      </c>
      <c r="H114" s="8">
        <v>0.75</v>
      </c>
      <c r="I114" s="4">
        <v>0</v>
      </c>
    </row>
    <row r="115" spans="1:9" x14ac:dyDescent="0.2">
      <c r="A115" s="2">
        <v>2</v>
      </c>
      <c r="B115" s="1" t="s">
        <v>138</v>
      </c>
      <c r="C115" s="4">
        <v>59</v>
      </c>
      <c r="D115" s="8">
        <v>4.4000000000000004</v>
      </c>
      <c r="E115" s="4">
        <v>58</v>
      </c>
      <c r="F115" s="8">
        <v>7.27</v>
      </c>
      <c r="G115" s="4">
        <v>1</v>
      </c>
      <c r="H115" s="8">
        <v>0.19</v>
      </c>
      <c r="I115" s="4">
        <v>0</v>
      </c>
    </row>
    <row r="116" spans="1:9" x14ac:dyDescent="0.2">
      <c r="A116" s="2">
        <v>3</v>
      </c>
      <c r="B116" s="1" t="s">
        <v>142</v>
      </c>
      <c r="C116" s="4">
        <v>57</v>
      </c>
      <c r="D116" s="8">
        <v>4.25</v>
      </c>
      <c r="E116" s="4">
        <v>57</v>
      </c>
      <c r="F116" s="8">
        <v>7.14</v>
      </c>
      <c r="G116" s="4">
        <v>0</v>
      </c>
      <c r="H116" s="8">
        <v>0</v>
      </c>
      <c r="I116" s="4">
        <v>0</v>
      </c>
    </row>
    <row r="117" spans="1:9" x14ac:dyDescent="0.2">
      <c r="A117" s="2">
        <v>4</v>
      </c>
      <c r="B117" s="1" t="s">
        <v>136</v>
      </c>
      <c r="C117" s="4">
        <v>37</v>
      </c>
      <c r="D117" s="8">
        <v>2.76</v>
      </c>
      <c r="E117" s="4">
        <v>33</v>
      </c>
      <c r="F117" s="8">
        <v>4.1399999999999997</v>
      </c>
      <c r="G117" s="4">
        <v>4</v>
      </c>
      <c r="H117" s="8">
        <v>0.75</v>
      </c>
      <c r="I117" s="4">
        <v>0</v>
      </c>
    </row>
    <row r="118" spans="1:9" x14ac:dyDescent="0.2">
      <c r="A118" s="2">
        <v>4</v>
      </c>
      <c r="B118" s="1" t="s">
        <v>139</v>
      </c>
      <c r="C118" s="4">
        <v>37</v>
      </c>
      <c r="D118" s="8">
        <v>2.76</v>
      </c>
      <c r="E118" s="4">
        <v>37</v>
      </c>
      <c r="F118" s="8">
        <v>4.6399999999999997</v>
      </c>
      <c r="G118" s="4">
        <v>0</v>
      </c>
      <c r="H118" s="8">
        <v>0</v>
      </c>
      <c r="I118" s="4">
        <v>0</v>
      </c>
    </row>
    <row r="119" spans="1:9" x14ac:dyDescent="0.2">
      <c r="A119" s="2">
        <v>6</v>
      </c>
      <c r="B119" s="1" t="s">
        <v>129</v>
      </c>
      <c r="C119" s="4">
        <v>32</v>
      </c>
      <c r="D119" s="8">
        <v>2.39</v>
      </c>
      <c r="E119" s="4">
        <v>23</v>
      </c>
      <c r="F119" s="8">
        <v>2.88</v>
      </c>
      <c r="G119" s="4">
        <v>9</v>
      </c>
      <c r="H119" s="8">
        <v>1.7</v>
      </c>
      <c r="I119" s="4">
        <v>0</v>
      </c>
    </row>
    <row r="120" spans="1:9" x14ac:dyDescent="0.2">
      <c r="A120" s="2">
        <v>7</v>
      </c>
      <c r="B120" s="1" t="s">
        <v>130</v>
      </c>
      <c r="C120" s="4">
        <v>31</v>
      </c>
      <c r="D120" s="8">
        <v>2.31</v>
      </c>
      <c r="E120" s="4">
        <v>19</v>
      </c>
      <c r="F120" s="8">
        <v>2.38</v>
      </c>
      <c r="G120" s="4">
        <v>12</v>
      </c>
      <c r="H120" s="8">
        <v>2.2599999999999998</v>
      </c>
      <c r="I120" s="4">
        <v>0</v>
      </c>
    </row>
    <row r="121" spans="1:9" x14ac:dyDescent="0.2">
      <c r="A121" s="2">
        <v>7</v>
      </c>
      <c r="B121" s="1" t="s">
        <v>143</v>
      </c>
      <c r="C121" s="4">
        <v>31</v>
      </c>
      <c r="D121" s="8">
        <v>2.31</v>
      </c>
      <c r="E121" s="4">
        <v>31</v>
      </c>
      <c r="F121" s="8">
        <v>3.88</v>
      </c>
      <c r="G121" s="4">
        <v>0</v>
      </c>
      <c r="H121" s="8">
        <v>0</v>
      </c>
      <c r="I121" s="4">
        <v>0</v>
      </c>
    </row>
    <row r="122" spans="1:9" x14ac:dyDescent="0.2">
      <c r="A122" s="2">
        <v>9</v>
      </c>
      <c r="B122" s="1" t="s">
        <v>141</v>
      </c>
      <c r="C122" s="4">
        <v>30</v>
      </c>
      <c r="D122" s="8">
        <v>2.2400000000000002</v>
      </c>
      <c r="E122" s="4">
        <v>27</v>
      </c>
      <c r="F122" s="8">
        <v>3.38</v>
      </c>
      <c r="G122" s="4">
        <v>3</v>
      </c>
      <c r="H122" s="8">
        <v>0.56999999999999995</v>
      </c>
      <c r="I122" s="4">
        <v>0</v>
      </c>
    </row>
    <row r="123" spans="1:9" x14ac:dyDescent="0.2">
      <c r="A123" s="2">
        <v>10</v>
      </c>
      <c r="B123" s="1" t="s">
        <v>137</v>
      </c>
      <c r="C123" s="4">
        <v>29</v>
      </c>
      <c r="D123" s="8">
        <v>2.16</v>
      </c>
      <c r="E123" s="4">
        <v>27</v>
      </c>
      <c r="F123" s="8">
        <v>3.38</v>
      </c>
      <c r="G123" s="4">
        <v>2</v>
      </c>
      <c r="H123" s="8">
        <v>0.38</v>
      </c>
      <c r="I123" s="4">
        <v>0</v>
      </c>
    </row>
    <row r="124" spans="1:9" x14ac:dyDescent="0.2">
      <c r="A124" s="2">
        <v>11</v>
      </c>
      <c r="B124" s="1" t="s">
        <v>131</v>
      </c>
      <c r="C124" s="4">
        <v>24</v>
      </c>
      <c r="D124" s="8">
        <v>1.79</v>
      </c>
      <c r="E124" s="4">
        <v>8</v>
      </c>
      <c r="F124" s="8">
        <v>1</v>
      </c>
      <c r="G124" s="4">
        <v>16</v>
      </c>
      <c r="H124" s="8">
        <v>3.02</v>
      </c>
      <c r="I124" s="4">
        <v>0</v>
      </c>
    </row>
    <row r="125" spans="1:9" x14ac:dyDescent="0.2">
      <c r="A125" s="2">
        <v>11</v>
      </c>
      <c r="B125" s="1" t="s">
        <v>134</v>
      </c>
      <c r="C125" s="4">
        <v>24</v>
      </c>
      <c r="D125" s="8">
        <v>1.79</v>
      </c>
      <c r="E125" s="4">
        <v>10</v>
      </c>
      <c r="F125" s="8">
        <v>1.25</v>
      </c>
      <c r="G125" s="4">
        <v>14</v>
      </c>
      <c r="H125" s="8">
        <v>2.64</v>
      </c>
      <c r="I125" s="4">
        <v>0</v>
      </c>
    </row>
    <row r="126" spans="1:9" x14ac:dyDescent="0.2">
      <c r="A126" s="2">
        <v>13</v>
      </c>
      <c r="B126" s="1" t="s">
        <v>124</v>
      </c>
      <c r="C126" s="4">
        <v>23</v>
      </c>
      <c r="D126" s="8">
        <v>1.72</v>
      </c>
      <c r="E126" s="4">
        <v>1</v>
      </c>
      <c r="F126" s="8">
        <v>0.13</v>
      </c>
      <c r="G126" s="4">
        <v>22</v>
      </c>
      <c r="H126" s="8">
        <v>4.1500000000000004</v>
      </c>
      <c r="I126" s="4">
        <v>0</v>
      </c>
    </row>
    <row r="127" spans="1:9" x14ac:dyDescent="0.2">
      <c r="A127" s="2">
        <v>14</v>
      </c>
      <c r="B127" s="1" t="s">
        <v>133</v>
      </c>
      <c r="C127" s="4">
        <v>22</v>
      </c>
      <c r="D127" s="8">
        <v>1.64</v>
      </c>
      <c r="E127" s="4">
        <v>11</v>
      </c>
      <c r="F127" s="8">
        <v>1.38</v>
      </c>
      <c r="G127" s="4">
        <v>11</v>
      </c>
      <c r="H127" s="8">
        <v>2.08</v>
      </c>
      <c r="I127" s="4">
        <v>0</v>
      </c>
    </row>
    <row r="128" spans="1:9" x14ac:dyDescent="0.2">
      <c r="A128" s="2">
        <v>15</v>
      </c>
      <c r="B128" s="1" t="s">
        <v>128</v>
      </c>
      <c r="C128" s="4">
        <v>21</v>
      </c>
      <c r="D128" s="8">
        <v>1.57</v>
      </c>
      <c r="E128" s="4">
        <v>17</v>
      </c>
      <c r="F128" s="8">
        <v>2.13</v>
      </c>
      <c r="G128" s="4">
        <v>4</v>
      </c>
      <c r="H128" s="8">
        <v>0.75</v>
      </c>
      <c r="I128" s="4">
        <v>0</v>
      </c>
    </row>
    <row r="129" spans="1:9" x14ac:dyDescent="0.2">
      <c r="A129" s="2">
        <v>15</v>
      </c>
      <c r="B129" s="1" t="s">
        <v>146</v>
      </c>
      <c r="C129" s="4">
        <v>21</v>
      </c>
      <c r="D129" s="8">
        <v>1.57</v>
      </c>
      <c r="E129" s="4">
        <v>18</v>
      </c>
      <c r="F129" s="8">
        <v>2.2599999999999998</v>
      </c>
      <c r="G129" s="4">
        <v>3</v>
      </c>
      <c r="H129" s="8">
        <v>0.56999999999999995</v>
      </c>
      <c r="I129" s="4">
        <v>0</v>
      </c>
    </row>
    <row r="130" spans="1:9" x14ac:dyDescent="0.2">
      <c r="A130" s="2">
        <v>17</v>
      </c>
      <c r="B130" s="1" t="s">
        <v>132</v>
      </c>
      <c r="C130" s="4">
        <v>20</v>
      </c>
      <c r="D130" s="8">
        <v>1.49</v>
      </c>
      <c r="E130" s="4">
        <v>2</v>
      </c>
      <c r="F130" s="8">
        <v>0.25</v>
      </c>
      <c r="G130" s="4">
        <v>18</v>
      </c>
      <c r="H130" s="8">
        <v>3.4</v>
      </c>
      <c r="I130" s="4">
        <v>0</v>
      </c>
    </row>
    <row r="131" spans="1:9" x14ac:dyDescent="0.2">
      <c r="A131" s="2">
        <v>18</v>
      </c>
      <c r="B131" s="1" t="s">
        <v>157</v>
      </c>
      <c r="C131" s="4">
        <v>18</v>
      </c>
      <c r="D131" s="8">
        <v>1.34</v>
      </c>
      <c r="E131" s="4">
        <v>10</v>
      </c>
      <c r="F131" s="8">
        <v>1.25</v>
      </c>
      <c r="G131" s="4">
        <v>8</v>
      </c>
      <c r="H131" s="8">
        <v>1.51</v>
      </c>
      <c r="I131" s="4">
        <v>0</v>
      </c>
    </row>
    <row r="132" spans="1:9" x14ac:dyDescent="0.2">
      <c r="A132" s="2">
        <v>18</v>
      </c>
      <c r="B132" s="1" t="s">
        <v>144</v>
      </c>
      <c r="C132" s="4">
        <v>18</v>
      </c>
      <c r="D132" s="8">
        <v>1.34</v>
      </c>
      <c r="E132" s="4">
        <v>14</v>
      </c>
      <c r="F132" s="8">
        <v>1.75</v>
      </c>
      <c r="G132" s="4">
        <v>4</v>
      </c>
      <c r="H132" s="8">
        <v>0.75</v>
      </c>
      <c r="I132" s="4">
        <v>0</v>
      </c>
    </row>
    <row r="133" spans="1:9" x14ac:dyDescent="0.2">
      <c r="A133" s="2">
        <v>20</v>
      </c>
      <c r="B133" s="1" t="s">
        <v>126</v>
      </c>
      <c r="C133" s="4">
        <v>16</v>
      </c>
      <c r="D133" s="8">
        <v>1.19</v>
      </c>
      <c r="E133" s="4">
        <v>3</v>
      </c>
      <c r="F133" s="8">
        <v>0.38</v>
      </c>
      <c r="G133" s="4">
        <v>13</v>
      </c>
      <c r="H133" s="8">
        <v>2.4500000000000002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140</v>
      </c>
      <c r="C136" s="4">
        <v>69</v>
      </c>
      <c r="D136" s="8">
        <v>5.55</v>
      </c>
      <c r="E136" s="4">
        <v>65</v>
      </c>
      <c r="F136" s="8">
        <v>8.07</v>
      </c>
      <c r="G136" s="4">
        <v>4</v>
      </c>
      <c r="H136" s="8">
        <v>0.93</v>
      </c>
      <c r="I136" s="4">
        <v>0</v>
      </c>
    </row>
    <row r="137" spans="1:9" x14ac:dyDescent="0.2">
      <c r="A137" s="2">
        <v>2</v>
      </c>
      <c r="B137" s="1" t="s">
        <v>129</v>
      </c>
      <c r="C137" s="4">
        <v>50</v>
      </c>
      <c r="D137" s="8">
        <v>4.0199999999999996</v>
      </c>
      <c r="E137" s="4">
        <v>33</v>
      </c>
      <c r="F137" s="8">
        <v>4.0999999999999996</v>
      </c>
      <c r="G137" s="4">
        <v>17</v>
      </c>
      <c r="H137" s="8">
        <v>3.97</v>
      </c>
      <c r="I137" s="4">
        <v>0</v>
      </c>
    </row>
    <row r="138" spans="1:9" x14ac:dyDescent="0.2">
      <c r="A138" s="2">
        <v>3</v>
      </c>
      <c r="B138" s="1" t="s">
        <v>137</v>
      </c>
      <c r="C138" s="4">
        <v>43</v>
      </c>
      <c r="D138" s="8">
        <v>3.46</v>
      </c>
      <c r="E138" s="4">
        <v>38</v>
      </c>
      <c r="F138" s="8">
        <v>4.72</v>
      </c>
      <c r="G138" s="4">
        <v>5</v>
      </c>
      <c r="H138" s="8">
        <v>1.17</v>
      </c>
      <c r="I138" s="4">
        <v>0</v>
      </c>
    </row>
    <row r="139" spans="1:9" x14ac:dyDescent="0.2">
      <c r="A139" s="2">
        <v>4</v>
      </c>
      <c r="B139" s="1" t="s">
        <v>139</v>
      </c>
      <c r="C139" s="4">
        <v>39</v>
      </c>
      <c r="D139" s="8">
        <v>3.14</v>
      </c>
      <c r="E139" s="4">
        <v>39</v>
      </c>
      <c r="F139" s="8">
        <v>4.84</v>
      </c>
      <c r="G139" s="4">
        <v>0</v>
      </c>
      <c r="H139" s="8">
        <v>0</v>
      </c>
      <c r="I139" s="4">
        <v>0</v>
      </c>
    </row>
    <row r="140" spans="1:9" x14ac:dyDescent="0.2">
      <c r="A140" s="2">
        <v>5</v>
      </c>
      <c r="B140" s="1" t="s">
        <v>130</v>
      </c>
      <c r="C140" s="4">
        <v>34</v>
      </c>
      <c r="D140" s="8">
        <v>2.74</v>
      </c>
      <c r="E140" s="4">
        <v>25</v>
      </c>
      <c r="F140" s="8">
        <v>3.11</v>
      </c>
      <c r="G140" s="4">
        <v>9</v>
      </c>
      <c r="H140" s="8">
        <v>2.1</v>
      </c>
      <c r="I140" s="4">
        <v>0</v>
      </c>
    </row>
    <row r="141" spans="1:9" x14ac:dyDescent="0.2">
      <c r="A141" s="2">
        <v>6</v>
      </c>
      <c r="B141" s="1" t="s">
        <v>138</v>
      </c>
      <c r="C141" s="4">
        <v>33</v>
      </c>
      <c r="D141" s="8">
        <v>2.65</v>
      </c>
      <c r="E141" s="4">
        <v>32</v>
      </c>
      <c r="F141" s="8">
        <v>3.98</v>
      </c>
      <c r="G141" s="4">
        <v>1</v>
      </c>
      <c r="H141" s="8">
        <v>0.23</v>
      </c>
      <c r="I141" s="4">
        <v>0</v>
      </c>
    </row>
    <row r="142" spans="1:9" x14ac:dyDescent="0.2">
      <c r="A142" s="2">
        <v>7</v>
      </c>
      <c r="B142" s="1" t="s">
        <v>142</v>
      </c>
      <c r="C142" s="4">
        <v>32</v>
      </c>
      <c r="D142" s="8">
        <v>2.57</v>
      </c>
      <c r="E142" s="4">
        <v>30</v>
      </c>
      <c r="F142" s="8">
        <v>3.73</v>
      </c>
      <c r="G142" s="4">
        <v>2</v>
      </c>
      <c r="H142" s="8">
        <v>0.47</v>
      </c>
      <c r="I142" s="4">
        <v>0</v>
      </c>
    </row>
    <row r="143" spans="1:9" x14ac:dyDescent="0.2">
      <c r="A143" s="2">
        <v>8</v>
      </c>
      <c r="B143" s="1" t="s">
        <v>132</v>
      </c>
      <c r="C143" s="4">
        <v>29</v>
      </c>
      <c r="D143" s="8">
        <v>2.33</v>
      </c>
      <c r="E143" s="4">
        <v>8</v>
      </c>
      <c r="F143" s="8">
        <v>0.99</v>
      </c>
      <c r="G143" s="4">
        <v>21</v>
      </c>
      <c r="H143" s="8">
        <v>4.91</v>
      </c>
      <c r="I143" s="4">
        <v>0</v>
      </c>
    </row>
    <row r="144" spans="1:9" x14ac:dyDescent="0.2">
      <c r="A144" s="2">
        <v>9</v>
      </c>
      <c r="B144" s="1" t="s">
        <v>141</v>
      </c>
      <c r="C144" s="4">
        <v>28</v>
      </c>
      <c r="D144" s="8">
        <v>2.25</v>
      </c>
      <c r="E144" s="4">
        <v>25</v>
      </c>
      <c r="F144" s="8">
        <v>3.11</v>
      </c>
      <c r="G144" s="4">
        <v>3</v>
      </c>
      <c r="H144" s="8">
        <v>0.7</v>
      </c>
      <c r="I144" s="4">
        <v>0</v>
      </c>
    </row>
    <row r="145" spans="1:9" x14ac:dyDescent="0.2">
      <c r="A145" s="2">
        <v>9</v>
      </c>
      <c r="B145" s="1" t="s">
        <v>143</v>
      </c>
      <c r="C145" s="4">
        <v>28</v>
      </c>
      <c r="D145" s="8">
        <v>2.25</v>
      </c>
      <c r="E145" s="4">
        <v>27</v>
      </c>
      <c r="F145" s="8">
        <v>3.35</v>
      </c>
      <c r="G145" s="4">
        <v>1</v>
      </c>
      <c r="H145" s="8">
        <v>0.23</v>
      </c>
      <c r="I145" s="4">
        <v>0</v>
      </c>
    </row>
    <row r="146" spans="1:9" x14ac:dyDescent="0.2">
      <c r="A146" s="2">
        <v>11</v>
      </c>
      <c r="B146" s="1" t="s">
        <v>136</v>
      </c>
      <c r="C146" s="4">
        <v>26</v>
      </c>
      <c r="D146" s="8">
        <v>2.09</v>
      </c>
      <c r="E146" s="4">
        <v>23</v>
      </c>
      <c r="F146" s="8">
        <v>2.86</v>
      </c>
      <c r="G146" s="4">
        <v>3</v>
      </c>
      <c r="H146" s="8">
        <v>0.7</v>
      </c>
      <c r="I146" s="4">
        <v>0</v>
      </c>
    </row>
    <row r="147" spans="1:9" x14ac:dyDescent="0.2">
      <c r="A147" s="2">
        <v>12</v>
      </c>
      <c r="B147" s="1" t="s">
        <v>126</v>
      </c>
      <c r="C147" s="4">
        <v>25</v>
      </c>
      <c r="D147" s="8">
        <v>2.0099999999999998</v>
      </c>
      <c r="E147" s="4">
        <v>12</v>
      </c>
      <c r="F147" s="8">
        <v>1.49</v>
      </c>
      <c r="G147" s="4">
        <v>13</v>
      </c>
      <c r="H147" s="8">
        <v>3.04</v>
      </c>
      <c r="I147" s="4">
        <v>0</v>
      </c>
    </row>
    <row r="148" spans="1:9" x14ac:dyDescent="0.2">
      <c r="A148" s="2">
        <v>12</v>
      </c>
      <c r="B148" s="1" t="s">
        <v>133</v>
      </c>
      <c r="C148" s="4">
        <v>25</v>
      </c>
      <c r="D148" s="8">
        <v>2.0099999999999998</v>
      </c>
      <c r="E148" s="4">
        <v>15</v>
      </c>
      <c r="F148" s="8">
        <v>1.86</v>
      </c>
      <c r="G148" s="4">
        <v>10</v>
      </c>
      <c r="H148" s="8">
        <v>2.34</v>
      </c>
      <c r="I148" s="4">
        <v>0</v>
      </c>
    </row>
    <row r="149" spans="1:9" x14ac:dyDescent="0.2">
      <c r="A149" s="2">
        <v>14</v>
      </c>
      <c r="B149" s="1" t="s">
        <v>128</v>
      </c>
      <c r="C149" s="4">
        <v>22</v>
      </c>
      <c r="D149" s="8">
        <v>1.77</v>
      </c>
      <c r="E149" s="4">
        <v>14</v>
      </c>
      <c r="F149" s="8">
        <v>1.74</v>
      </c>
      <c r="G149" s="4">
        <v>7</v>
      </c>
      <c r="H149" s="8">
        <v>1.64</v>
      </c>
      <c r="I149" s="4">
        <v>1</v>
      </c>
    </row>
    <row r="150" spans="1:9" x14ac:dyDescent="0.2">
      <c r="A150" s="2">
        <v>15</v>
      </c>
      <c r="B150" s="1" t="s">
        <v>127</v>
      </c>
      <c r="C150" s="4">
        <v>20</v>
      </c>
      <c r="D150" s="8">
        <v>1.61</v>
      </c>
      <c r="E150" s="4">
        <v>16</v>
      </c>
      <c r="F150" s="8">
        <v>1.99</v>
      </c>
      <c r="G150" s="4">
        <v>4</v>
      </c>
      <c r="H150" s="8">
        <v>0.93</v>
      </c>
      <c r="I150" s="4">
        <v>0</v>
      </c>
    </row>
    <row r="151" spans="1:9" x14ac:dyDescent="0.2">
      <c r="A151" s="2">
        <v>15</v>
      </c>
      <c r="B151" s="1" t="s">
        <v>158</v>
      </c>
      <c r="C151" s="4">
        <v>20</v>
      </c>
      <c r="D151" s="8">
        <v>1.61</v>
      </c>
      <c r="E151" s="4">
        <v>15</v>
      </c>
      <c r="F151" s="8">
        <v>1.86</v>
      </c>
      <c r="G151" s="4">
        <v>5</v>
      </c>
      <c r="H151" s="8">
        <v>1.17</v>
      </c>
      <c r="I151" s="4">
        <v>0</v>
      </c>
    </row>
    <row r="152" spans="1:9" x14ac:dyDescent="0.2">
      <c r="A152" s="2">
        <v>17</v>
      </c>
      <c r="B152" s="1" t="s">
        <v>124</v>
      </c>
      <c r="C152" s="4">
        <v>19</v>
      </c>
      <c r="D152" s="8">
        <v>1.53</v>
      </c>
      <c r="E152" s="4">
        <v>4</v>
      </c>
      <c r="F152" s="8">
        <v>0.5</v>
      </c>
      <c r="G152" s="4">
        <v>15</v>
      </c>
      <c r="H152" s="8">
        <v>3.5</v>
      </c>
      <c r="I152" s="4">
        <v>0</v>
      </c>
    </row>
    <row r="153" spans="1:9" x14ac:dyDescent="0.2">
      <c r="A153" s="2">
        <v>17</v>
      </c>
      <c r="B153" s="1" t="s">
        <v>125</v>
      </c>
      <c r="C153" s="4">
        <v>19</v>
      </c>
      <c r="D153" s="8">
        <v>1.53</v>
      </c>
      <c r="E153" s="4">
        <v>4</v>
      </c>
      <c r="F153" s="8">
        <v>0.5</v>
      </c>
      <c r="G153" s="4">
        <v>15</v>
      </c>
      <c r="H153" s="8">
        <v>3.5</v>
      </c>
      <c r="I153" s="4">
        <v>0</v>
      </c>
    </row>
    <row r="154" spans="1:9" x14ac:dyDescent="0.2">
      <c r="A154" s="2">
        <v>17</v>
      </c>
      <c r="B154" s="1" t="s">
        <v>134</v>
      </c>
      <c r="C154" s="4">
        <v>19</v>
      </c>
      <c r="D154" s="8">
        <v>1.53</v>
      </c>
      <c r="E154" s="4">
        <v>11</v>
      </c>
      <c r="F154" s="8">
        <v>1.37</v>
      </c>
      <c r="G154" s="4">
        <v>8</v>
      </c>
      <c r="H154" s="8">
        <v>1.87</v>
      </c>
      <c r="I154" s="4">
        <v>0</v>
      </c>
    </row>
    <row r="155" spans="1:9" x14ac:dyDescent="0.2">
      <c r="A155" s="2">
        <v>20</v>
      </c>
      <c r="B155" s="1" t="s">
        <v>154</v>
      </c>
      <c r="C155" s="4">
        <v>18</v>
      </c>
      <c r="D155" s="8">
        <v>1.45</v>
      </c>
      <c r="E155" s="4">
        <v>8</v>
      </c>
      <c r="F155" s="8">
        <v>0.99</v>
      </c>
      <c r="G155" s="4">
        <v>10</v>
      </c>
      <c r="H155" s="8">
        <v>2.34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140</v>
      </c>
      <c r="C158" s="4">
        <v>40</v>
      </c>
      <c r="D158" s="8">
        <v>7.66</v>
      </c>
      <c r="E158" s="4">
        <v>40</v>
      </c>
      <c r="F158" s="8">
        <v>12.05</v>
      </c>
      <c r="G158" s="4">
        <v>0</v>
      </c>
      <c r="H158" s="8">
        <v>0</v>
      </c>
      <c r="I158" s="4">
        <v>0</v>
      </c>
    </row>
    <row r="159" spans="1:9" x14ac:dyDescent="0.2">
      <c r="A159" s="2">
        <v>2</v>
      </c>
      <c r="B159" s="1" t="s">
        <v>137</v>
      </c>
      <c r="C159" s="4">
        <v>25</v>
      </c>
      <c r="D159" s="8">
        <v>4.79</v>
      </c>
      <c r="E159" s="4">
        <v>22</v>
      </c>
      <c r="F159" s="8">
        <v>6.63</v>
      </c>
      <c r="G159" s="4">
        <v>3</v>
      </c>
      <c r="H159" s="8">
        <v>1.63</v>
      </c>
      <c r="I159" s="4">
        <v>0</v>
      </c>
    </row>
    <row r="160" spans="1:9" x14ac:dyDescent="0.2">
      <c r="A160" s="2">
        <v>3</v>
      </c>
      <c r="B160" s="1" t="s">
        <v>138</v>
      </c>
      <c r="C160" s="4">
        <v>21</v>
      </c>
      <c r="D160" s="8">
        <v>4.0199999999999996</v>
      </c>
      <c r="E160" s="4">
        <v>21</v>
      </c>
      <c r="F160" s="8">
        <v>6.33</v>
      </c>
      <c r="G160" s="4">
        <v>0</v>
      </c>
      <c r="H160" s="8">
        <v>0</v>
      </c>
      <c r="I160" s="4">
        <v>0</v>
      </c>
    </row>
    <row r="161" spans="1:9" x14ac:dyDescent="0.2">
      <c r="A161" s="2">
        <v>4</v>
      </c>
      <c r="B161" s="1" t="s">
        <v>139</v>
      </c>
      <c r="C161" s="4">
        <v>19</v>
      </c>
      <c r="D161" s="8">
        <v>3.64</v>
      </c>
      <c r="E161" s="4">
        <v>19</v>
      </c>
      <c r="F161" s="8">
        <v>5.72</v>
      </c>
      <c r="G161" s="4">
        <v>0</v>
      </c>
      <c r="H161" s="8">
        <v>0</v>
      </c>
      <c r="I161" s="4">
        <v>0</v>
      </c>
    </row>
    <row r="162" spans="1:9" x14ac:dyDescent="0.2">
      <c r="A162" s="2">
        <v>5</v>
      </c>
      <c r="B162" s="1" t="s">
        <v>158</v>
      </c>
      <c r="C162" s="4">
        <v>17</v>
      </c>
      <c r="D162" s="8">
        <v>3.26</v>
      </c>
      <c r="E162" s="4">
        <v>14</v>
      </c>
      <c r="F162" s="8">
        <v>4.22</v>
      </c>
      <c r="G162" s="4">
        <v>3</v>
      </c>
      <c r="H162" s="8">
        <v>1.63</v>
      </c>
      <c r="I162" s="4">
        <v>0</v>
      </c>
    </row>
    <row r="163" spans="1:9" x14ac:dyDescent="0.2">
      <c r="A163" s="2">
        <v>6</v>
      </c>
      <c r="B163" s="1" t="s">
        <v>129</v>
      </c>
      <c r="C163" s="4">
        <v>15</v>
      </c>
      <c r="D163" s="8">
        <v>2.87</v>
      </c>
      <c r="E163" s="4">
        <v>10</v>
      </c>
      <c r="F163" s="8">
        <v>3.01</v>
      </c>
      <c r="G163" s="4">
        <v>5</v>
      </c>
      <c r="H163" s="8">
        <v>2.72</v>
      </c>
      <c r="I163" s="4">
        <v>0</v>
      </c>
    </row>
    <row r="164" spans="1:9" x14ac:dyDescent="0.2">
      <c r="A164" s="2">
        <v>6</v>
      </c>
      <c r="B164" s="1" t="s">
        <v>130</v>
      </c>
      <c r="C164" s="4">
        <v>15</v>
      </c>
      <c r="D164" s="8">
        <v>2.87</v>
      </c>
      <c r="E164" s="4">
        <v>11</v>
      </c>
      <c r="F164" s="8">
        <v>3.31</v>
      </c>
      <c r="G164" s="4">
        <v>4</v>
      </c>
      <c r="H164" s="8">
        <v>2.17</v>
      </c>
      <c r="I164" s="4">
        <v>0</v>
      </c>
    </row>
    <row r="165" spans="1:9" x14ac:dyDescent="0.2">
      <c r="A165" s="2">
        <v>8</v>
      </c>
      <c r="B165" s="1" t="s">
        <v>132</v>
      </c>
      <c r="C165" s="4">
        <v>14</v>
      </c>
      <c r="D165" s="8">
        <v>2.68</v>
      </c>
      <c r="E165" s="4">
        <v>6</v>
      </c>
      <c r="F165" s="8">
        <v>1.81</v>
      </c>
      <c r="G165" s="4">
        <v>8</v>
      </c>
      <c r="H165" s="8">
        <v>4.3499999999999996</v>
      </c>
      <c r="I165" s="4">
        <v>0</v>
      </c>
    </row>
    <row r="166" spans="1:9" x14ac:dyDescent="0.2">
      <c r="A166" s="2">
        <v>9</v>
      </c>
      <c r="B166" s="1" t="s">
        <v>124</v>
      </c>
      <c r="C166" s="4">
        <v>12</v>
      </c>
      <c r="D166" s="8">
        <v>2.2999999999999998</v>
      </c>
      <c r="E166" s="4">
        <v>0</v>
      </c>
      <c r="F166" s="8">
        <v>0</v>
      </c>
      <c r="G166" s="4">
        <v>12</v>
      </c>
      <c r="H166" s="8">
        <v>6.52</v>
      </c>
      <c r="I166" s="4">
        <v>0</v>
      </c>
    </row>
    <row r="167" spans="1:9" x14ac:dyDescent="0.2">
      <c r="A167" s="2">
        <v>9</v>
      </c>
      <c r="B167" s="1" t="s">
        <v>133</v>
      </c>
      <c r="C167" s="4">
        <v>12</v>
      </c>
      <c r="D167" s="8">
        <v>2.2999999999999998</v>
      </c>
      <c r="E167" s="4">
        <v>10</v>
      </c>
      <c r="F167" s="8">
        <v>3.01</v>
      </c>
      <c r="G167" s="4">
        <v>2</v>
      </c>
      <c r="H167" s="8">
        <v>1.0900000000000001</v>
      </c>
      <c r="I167" s="4">
        <v>0</v>
      </c>
    </row>
    <row r="168" spans="1:9" x14ac:dyDescent="0.2">
      <c r="A168" s="2">
        <v>11</v>
      </c>
      <c r="B168" s="1" t="s">
        <v>143</v>
      </c>
      <c r="C168" s="4">
        <v>11</v>
      </c>
      <c r="D168" s="8">
        <v>2.11</v>
      </c>
      <c r="E168" s="4">
        <v>9</v>
      </c>
      <c r="F168" s="8">
        <v>2.71</v>
      </c>
      <c r="G168" s="4">
        <v>2</v>
      </c>
      <c r="H168" s="8">
        <v>1.0900000000000001</v>
      </c>
      <c r="I168" s="4">
        <v>0</v>
      </c>
    </row>
    <row r="169" spans="1:9" x14ac:dyDescent="0.2">
      <c r="A169" s="2">
        <v>12</v>
      </c>
      <c r="B169" s="1" t="s">
        <v>128</v>
      </c>
      <c r="C169" s="4">
        <v>10</v>
      </c>
      <c r="D169" s="8">
        <v>1.92</v>
      </c>
      <c r="E169" s="4">
        <v>5</v>
      </c>
      <c r="F169" s="8">
        <v>1.51</v>
      </c>
      <c r="G169" s="4">
        <v>5</v>
      </c>
      <c r="H169" s="8">
        <v>2.72</v>
      </c>
      <c r="I169" s="4">
        <v>0</v>
      </c>
    </row>
    <row r="170" spans="1:9" x14ac:dyDescent="0.2">
      <c r="A170" s="2">
        <v>12</v>
      </c>
      <c r="B170" s="1" t="s">
        <v>136</v>
      </c>
      <c r="C170" s="4">
        <v>10</v>
      </c>
      <c r="D170" s="8">
        <v>1.92</v>
      </c>
      <c r="E170" s="4">
        <v>10</v>
      </c>
      <c r="F170" s="8">
        <v>3.01</v>
      </c>
      <c r="G170" s="4">
        <v>0</v>
      </c>
      <c r="H170" s="8">
        <v>0</v>
      </c>
      <c r="I170" s="4">
        <v>0</v>
      </c>
    </row>
    <row r="171" spans="1:9" x14ac:dyDescent="0.2">
      <c r="A171" s="2">
        <v>12</v>
      </c>
      <c r="B171" s="1" t="s">
        <v>142</v>
      </c>
      <c r="C171" s="4">
        <v>10</v>
      </c>
      <c r="D171" s="8">
        <v>1.92</v>
      </c>
      <c r="E171" s="4">
        <v>10</v>
      </c>
      <c r="F171" s="8">
        <v>3.01</v>
      </c>
      <c r="G171" s="4">
        <v>0</v>
      </c>
      <c r="H171" s="8">
        <v>0</v>
      </c>
      <c r="I171" s="4">
        <v>0</v>
      </c>
    </row>
    <row r="172" spans="1:9" x14ac:dyDescent="0.2">
      <c r="A172" s="2">
        <v>15</v>
      </c>
      <c r="B172" s="1" t="s">
        <v>147</v>
      </c>
      <c r="C172" s="4">
        <v>9</v>
      </c>
      <c r="D172" s="8">
        <v>1.72</v>
      </c>
      <c r="E172" s="4">
        <v>5</v>
      </c>
      <c r="F172" s="8">
        <v>1.51</v>
      </c>
      <c r="G172" s="4">
        <v>4</v>
      </c>
      <c r="H172" s="8">
        <v>2.17</v>
      </c>
      <c r="I172" s="4">
        <v>0</v>
      </c>
    </row>
    <row r="173" spans="1:9" x14ac:dyDescent="0.2">
      <c r="A173" s="2">
        <v>15</v>
      </c>
      <c r="B173" s="1" t="s">
        <v>135</v>
      </c>
      <c r="C173" s="4">
        <v>9</v>
      </c>
      <c r="D173" s="8">
        <v>1.72</v>
      </c>
      <c r="E173" s="4">
        <v>2</v>
      </c>
      <c r="F173" s="8">
        <v>0.6</v>
      </c>
      <c r="G173" s="4">
        <v>7</v>
      </c>
      <c r="H173" s="8">
        <v>3.8</v>
      </c>
      <c r="I173" s="4">
        <v>0</v>
      </c>
    </row>
    <row r="174" spans="1:9" x14ac:dyDescent="0.2">
      <c r="A174" s="2">
        <v>17</v>
      </c>
      <c r="B174" s="1" t="s">
        <v>126</v>
      </c>
      <c r="C174" s="4">
        <v>7</v>
      </c>
      <c r="D174" s="8">
        <v>1.34</v>
      </c>
      <c r="E174" s="4">
        <v>3</v>
      </c>
      <c r="F174" s="8">
        <v>0.9</v>
      </c>
      <c r="G174" s="4">
        <v>4</v>
      </c>
      <c r="H174" s="8">
        <v>2.17</v>
      </c>
      <c r="I174" s="4">
        <v>0</v>
      </c>
    </row>
    <row r="175" spans="1:9" x14ac:dyDescent="0.2">
      <c r="A175" s="2">
        <v>17</v>
      </c>
      <c r="B175" s="1" t="s">
        <v>159</v>
      </c>
      <c r="C175" s="4">
        <v>7</v>
      </c>
      <c r="D175" s="8">
        <v>1.34</v>
      </c>
      <c r="E175" s="4">
        <v>5</v>
      </c>
      <c r="F175" s="8">
        <v>1.51</v>
      </c>
      <c r="G175" s="4">
        <v>2</v>
      </c>
      <c r="H175" s="8">
        <v>1.0900000000000001</v>
      </c>
      <c r="I175" s="4">
        <v>0</v>
      </c>
    </row>
    <row r="176" spans="1:9" x14ac:dyDescent="0.2">
      <c r="A176" s="2">
        <v>17</v>
      </c>
      <c r="B176" s="1" t="s">
        <v>160</v>
      </c>
      <c r="C176" s="4">
        <v>7</v>
      </c>
      <c r="D176" s="8">
        <v>1.34</v>
      </c>
      <c r="E176" s="4">
        <v>5</v>
      </c>
      <c r="F176" s="8">
        <v>1.51</v>
      </c>
      <c r="G176" s="4">
        <v>2</v>
      </c>
      <c r="H176" s="8">
        <v>1.0900000000000001</v>
      </c>
      <c r="I176" s="4">
        <v>0</v>
      </c>
    </row>
    <row r="177" spans="1:9" x14ac:dyDescent="0.2">
      <c r="A177" s="2">
        <v>17</v>
      </c>
      <c r="B177" s="1" t="s">
        <v>141</v>
      </c>
      <c r="C177" s="4">
        <v>7</v>
      </c>
      <c r="D177" s="8">
        <v>1.34</v>
      </c>
      <c r="E177" s="4">
        <v>5</v>
      </c>
      <c r="F177" s="8">
        <v>1.51</v>
      </c>
      <c r="G177" s="4">
        <v>2</v>
      </c>
      <c r="H177" s="8">
        <v>1.0900000000000001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140</v>
      </c>
      <c r="C180" s="4">
        <v>20</v>
      </c>
      <c r="D180" s="8">
        <v>5.22</v>
      </c>
      <c r="E180" s="4">
        <v>19</v>
      </c>
      <c r="F180" s="8">
        <v>8.6</v>
      </c>
      <c r="G180" s="4">
        <v>1</v>
      </c>
      <c r="H180" s="8">
        <v>0.68</v>
      </c>
      <c r="I180" s="4">
        <v>0</v>
      </c>
    </row>
    <row r="181" spans="1:9" x14ac:dyDescent="0.2">
      <c r="A181" s="2">
        <v>2</v>
      </c>
      <c r="B181" s="1" t="s">
        <v>129</v>
      </c>
      <c r="C181" s="4">
        <v>17</v>
      </c>
      <c r="D181" s="8">
        <v>4.4400000000000004</v>
      </c>
      <c r="E181" s="4">
        <v>11</v>
      </c>
      <c r="F181" s="8">
        <v>4.9800000000000004</v>
      </c>
      <c r="G181" s="4">
        <v>6</v>
      </c>
      <c r="H181" s="8">
        <v>4.1100000000000003</v>
      </c>
      <c r="I181" s="4">
        <v>0</v>
      </c>
    </row>
    <row r="182" spans="1:9" x14ac:dyDescent="0.2">
      <c r="A182" s="2">
        <v>3</v>
      </c>
      <c r="B182" s="1" t="s">
        <v>139</v>
      </c>
      <c r="C182" s="4">
        <v>16</v>
      </c>
      <c r="D182" s="8">
        <v>4.18</v>
      </c>
      <c r="E182" s="4">
        <v>15</v>
      </c>
      <c r="F182" s="8">
        <v>6.79</v>
      </c>
      <c r="G182" s="4">
        <v>1</v>
      </c>
      <c r="H182" s="8">
        <v>0.68</v>
      </c>
      <c r="I182" s="4">
        <v>0</v>
      </c>
    </row>
    <row r="183" spans="1:9" x14ac:dyDescent="0.2">
      <c r="A183" s="2">
        <v>4</v>
      </c>
      <c r="B183" s="1" t="s">
        <v>124</v>
      </c>
      <c r="C183" s="4">
        <v>15</v>
      </c>
      <c r="D183" s="8">
        <v>3.92</v>
      </c>
      <c r="E183" s="4">
        <v>2</v>
      </c>
      <c r="F183" s="8">
        <v>0.9</v>
      </c>
      <c r="G183" s="4">
        <v>13</v>
      </c>
      <c r="H183" s="8">
        <v>8.9</v>
      </c>
      <c r="I183" s="4">
        <v>0</v>
      </c>
    </row>
    <row r="184" spans="1:9" x14ac:dyDescent="0.2">
      <c r="A184" s="2">
        <v>4</v>
      </c>
      <c r="B184" s="1" t="s">
        <v>132</v>
      </c>
      <c r="C184" s="4">
        <v>15</v>
      </c>
      <c r="D184" s="8">
        <v>3.92</v>
      </c>
      <c r="E184" s="4">
        <v>5</v>
      </c>
      <c r="F184" s="8">
        <v>2.2599999999999998</v>
      </c>
      <c r="G184" s="4">
        <v>10</v>
      </c>
      <c r="H184" s="8">
        <v>6.85</v>
      </c>
      <c r="I184" s="4">
        <v>0</v>
      </c>
    </row>
    <row r="185" spans="1:9" x14ac:dyDescent="0.2">
      <c r="A185" s="2">
        <v>6</v>
      </c>
      <c r="B185" s="1" t="s">
        <v>127</v>
      </c>
      <c r="C185" s="4">
        <v>14</v>
      </c>
      <c r="D185" s="8">
        <v>3.66</v>
      </c>
      <c r="E185" s="4">
        <v>13</v>
      </c>
      <c r="F185" s="8">
        <v>5.88</v>
      </c>
      <c r="G185" s="4">
        <v>1</v>
      </c>
      <c r="H185" s="8">
        <v>0.68</v>
      </c>
      <c r="I185" s="4">
        <v>0</v>
      </c>
    </row>
    <row r="186" spans="1:9" x14ac:dyDescent="0.2">
      <c r="A186" s="2">
        <v>7</v>
      </c>
      <c r="B186" s="1" t="s">
        <v>128</v>
      </c>
      <c r="C186" s="4">
        <v>13</v>
      </c>
      <c r="D186" s="8">
        <v>3.39</v>
      </c>
      <c r="E186" s="4">
        <v>13</v>
      </c>
      <c r="F186" s="8">
        <v>5.88</v>
      </c>
      <c r="G186" s="4">
        <v>0</v>
      </c>
      <c r="H186" s="8">
        <v>0</v>
      </c>
      <c r="I186" s="4">
        <v>0</v>
      </c>
    </row>
    <row r="187" spans="1:9" x14ac:dyDescent="0.2">
      <c r="A187" s="2">
        <v>8</v>
      </c>
      <c r="B187" s="1" t="s">
        <v>154</v>
      </c>
      <c r="C187" s="4">
        <v>12</v>
      </c>
      <c r="D187" s="8">
        <v>3.13</v>
      </c>
      <c r="E187" s="4">
        <v>3</v>
      </c>
      <c r="F187" s="8">
        <v>1.36</v>
      </c>
      <c r="G187" s="4">
        <v>9</v>
      </c>
      <c r="H187" s="8">
        <v>6.16</v>
      </c>
      <c r="I187" s="4">
        <v>0</v>
      </c>
    </row>
    <row r="188" spans="1:9" x14ac:dyDescent="0.2">
      <c r="A188" s="2">
        <v>8</v>
      </c>
      <c r="B188" s="1" t="s">
        <v>142</v>
      </c>
      <c r="C188" s="4">
        <v>12</v>
      </c>
      <c r="D188" s="8">
        <v>3.13</v>
      </c>
      <c r="E188" s="4">
        <v>10</v>
      </c>
      <c r="F188" s="8">
        <v>4.5199999999999996</v>
      </c>
      <c r="G188" s="4">
        <v>2</v>
      </c>
      <c r="H188" s="8">
        <v>1.37</v>
      </c>
      <c r="I188" s="4">
        <v>0</v>
      </c>
    </row>
    <row r="189" spans="1:9" x14ac:dyDescent="0.2">
      <c r="A189" s="2">
        <v>10</v>
      </c>
      <c r="B189" s="1" t="s">
        <v>165</v>
      </c>
      <c r="C189" s="4">
        <v>10</v>
      </c>
      <c r="D189" s="8">
        <v>2.61</v>
      </c>
      <c r="E189" s="4">
        <v>0</v>
      </c>
      <c r="F189" s="8">
        <v>0</v>
      </c>
      <c r="G189" s="4">
        <v>0</v>
      </c>
      <c r="H189" s="8">
        <v>0</v>
      </c>
      <c r="I189" s="4">
        <v>0</v>
      </c>
    </row>
    <row r="190" spans="1:9" x14ac:dyDescent="0.2">
      <c r="A190" s="2">
        <v>11</v>
      </c>
      <c r="B190" s="1" t="s">
        <v>136</v>
      </c>
      <c r="C190" s="4">
        <v>9</v>
      </c>
      <c r="D190" s="8">
        <v>2.35</v>
      </c>
      <c r="E190" s="4">
        <v>7</v>
      </c>
      <c r="F190" s="8">
        <v>3.17</v>
      </c>
      <c r="G190" s="4">
        <v>2</v>
      </c>
      <c r="H190" s="8">
        <v>1.37</v>
      </c>
      <c r="I190" s="4">
        <v>0</v>
      </c>
    </row>
    <row r="191" spans="1:9" x14ac:dyDescent="0.2">
      <c r="A191" s="2">
        <v>11</v>
      </c>
      <c r="B191" s="1" t="s">
        <v>137</v>
      </c>
      <c r="C191" s="4">
        <v>9</v>
      </c>
      <c r="D191" s="8">
        <v>2.35</v>
      </c>
      <c r="E191" s="4">
        <v>9</v>
      </c>
      <c r="F191" s="8">
        <v>4.07</v>
      </c>
      <c r="G191" s="4">
        <v>0</v>
      </c>
      <c r="H191" s="8">
        <v>0</v>
      </c>
      <c r="I191" s="4">
        <v>0</v>
      </c>
    </row>
    <row r="192" spans="1:9" x14ac:dyDescent="0.2">
      <c r="A192" s="2">
        <v>13</v>
      </c>
      <c r="B192" s="1" t="s">
        <v>147</v>
      </c>
      <c r="C192" s="4">
        <v>8</v>
      </c>
      <c r="D192" s="8">
        <v>2.09</v>
      </c>
      <c r="E192" s="4">
        <v>5</v>
      </c>
      <c r="F192" s="8">
        <v>2.2599999999999998</v>
      </c>
      <c r="G192" s="4">
        <v>3</v>
      </c>
      <c r="H192" s="8">
        <v>2.0499999999999998</v>
      </c>
      <c r="I192" s="4">
        <v>0</v>
      </c>
    </row>
    <row r="193" spans="1:9" x14ac:dyDescent="0.2">
      <c r="A193" s="2">
        <v>14</v>
      </c>
      <c r="B193" s="1" t="s">
        <v>138</v>
      </c>
      <c r="C193" s="4">
        <v>7</v>
      </c>
      <c r="D193" s="8">
        <v>1.83</v>
      </c>
      <c r="E193" s="4">
        <v>6</v>
      </c>
      <c r="F193" s="8">
        <v>2.71</v>
      </c>
      <c r="G193" s="4">
        <v>1</v>
      </c>
      <c r="H193" s="8">
        <v>0.68</v>
      </c>
      <c r="I193" s="4">
        <v>0</v>
      </c>
    </row>
    <row r="194" spans="1:9" x14ac:dyDescent="0.2">
      <c r="A194" s="2">
        <v>14</v>
      </c>
      <c r="B194" s="1" t="s">
        <v>143</v>
      </c>
      <c r="C194" s="4">
        <v>7</v>
      </c>
      <c r="D194" s="8">
        <v>1.83</v>
      </c>
      <c r="E194" s="4">
        <v>7</v>
      </c>
      <c r="F194" s="8">
        <v>3.17</v>
      </c>
      <c r="G194" s="4">
        <v>0</v>
      </c>
      <c r="H194" s="8">
        <v>0</v>
      </c>
      <c r="I194" s="4">
        <v>0</v>
      </c>
    </row>
    <row r="195" spans="1:9" x14ac:dyDescent="0.2">
      <c r="A195" s="2">
        <v>16</v>
      </c>
      <c r="B195" s="1" t="s">
        <v>161</v>
      </c>
      <c r="C195" s="4">
        <v>6</v>
      </c>
      <c r="D195" s="8">
        <v>1.57</v>
      </c>
      <c r="E195" s="4">
        <v>0</v>
      </c>
      <c r="F195" s="8">
        <v>0</v>
      </c>
      <c r="G195" s="4">
        <v>6</v>
      </c>
      <c r="H195" s="8">
        <v>4.1100000000000003</v>
      </c>
      <c r="I195" s="4">
        <v>0</v>
      </c>
    </row>
    <row r="196" spans="1:9" x14ac:dyDescent="0.2">
      <c r="A196" s="2">
        <v>17</v>
      </c>
      <c r="B196" s="1" t="s">
        <v>125</v>
      </c>
      <c r="C196" s="4">
        <v>5</v>
      </c>
      <c r="D196" s="8">
        <v>1.31</v>
      </c>
      <c r="E196" s="4">
        <v>2</v>
      </c>
      <c r="F196" s="8">
        <v>0.9</v>
      </c>
      <c r="G196" s="4">
        <v>3</v>
      </c>
      <c r="H196" s="8">
        <v>2.0499999999999998</v>
      </c>
      <c r="I196" s="4">
        <v>0</v>
      </c>
    </row>
    <row r="197" spans="1:9" x14ac:dyDescent="0.2">
      <c r="A197" s="2">
        <v>17</v>
      </c>
      <c r="B197" s="1" t="s">
        <v>157</v>
      </c>
      <c r="C197" s="4">
        <v>5</v>
      </c>
      <c r="D197" s="8">
        <v>1.31</v>
      </c>
      <c r="E197" s="4">
        <v>2</v>
      </c>
      <c r="F197" s="8">
        <v>0.9</v>
      </c>
      <c r="G197" s="4">
        <v>3</v>
      </c>
      <c r="H197" s="8">
        <v>2.0499999999999998</v>
      </c>
      <c r="I197" s="4">
        <v>0</v>
      </c>
    </row>
    <row r="198" spans="1:9" x14ac:dyDescent="0.2">
      <c r="A198" s="2">
        <v>17</v>
      </c>
      <c r="B198" s="1" t="s">
        <v>126</v>
      </c>
      <c r="C198" s="4">
        <v>5</v>
      </c>
      <c r="D198" s="8">
        <v>1.31</v>
      </c>
      <c r="E198" s="4">
        <v>1</v>
      </c>
      <c r="F198" s="8">
        <v>0.45</v>
      </c>
      <c r="G198" s="4">
        <v>4</v>
      </c>
      <c r="H198" s="8">
        <v>2.74</v>
      </c>
      <c r="I198" s="4">
        <v>0</v>
      </c>
    </row>
    <row r="199" spans="1:9" x14ac:dyDescent="0.2">
      <c r="A199" s="2">
        <v>17</v>
      </c>
      <c r="B199" s="1" t="s">
        <v>162</v>
      </c>
      <c r="C199" s="4">
        <v>5</v>
      </c>
      <c r="D199" s="8">
        <v>1.31</v>
      </c>
      <c r="E199" s="4">
        <v>3</v>
      </c>
      <c r="F199" s="8">
        <v>1.36</v>
      </c>
      <c r="G199" s="4">
        <v>2</v>
      </c>
      <c r="H199" s="8">
        <v>1.37</v>
      </c>
      <c r="I199" s="4">
        <v>0</v>
      </c>
    </row>
    <row r="200" spans="1:9" x14ac:dyDescent="0.2">
      <c r="A200" s="2">
        <v>17</v>
      </c>
      <c r="B200" s="1" t="s">
        <v>163</v>
      </c>
      <c r="C200" s="4">
        <v>5</v>
      </c>
      <c r="D200" s="8">
        <v>1.31</v>
      </c>
      <c r="E200" s="4">
        <v>2</v>
      </c>
      <c r="F200" s="8">
        <v>0.9</v>
      </c>
      <c r="G200" s="4">
        <v>3</v>
      </c>
      <c r="H200" s="8">
        <v>2.0499999999999998</v>
      </c>
      <c r="I200" s="4">
        <v>0</v>
      </c>
    </row>
    <row r="201" spans="1:9" x14ac:dyDescent="0.2">
      <c r="A201" s="2">
        <v>17</v>
      </c>
      <c r="B201" s="1" t="s">
        <v>160</v>
      </c>
      <c r="C201" s="4">
        <v>5</v>
      </c>
      <c r="D201" s="8">
        <v>1.31</v>
      </c>
      <c r="E201" s="4">
        <v>5</v>
      </c>
      <c r="F201" s="8">
        <v>2.2599999999999998</v>
      </c>
      <c r="G201" s="4">
        <v>0</v>
      </c>
      <c r="H201" s="8">
        <v>0</v>
      </c>
      <c r="I201" s="4">
        <v>0</v>
      </c>
    </row>
    <row r="202" spans="1:9" x14ac:dyDescent="0.2">
      <c r="A202" s="2">
        <v>17</v>
      </c>
      <c r="B202" s="1" t="s">
        <v>133</v>
      </c>
      <c r="C202" s="4">
        <v>5</v>
      </c>
      <c r="D202" s="8">
        <v>1.31</v>
      </c>
      <c r="E202" s="4">
        <v>2</v>
      </c>
      <c r="F202" s="8">
        <v>0.9</v>
      </c>
      <c r="G202" s="4">
        <v>3</v>
      </c>
      <c r="H202" s="8">
        <v>2.0499999999999998</v>
      </c>
      <c r="I202" s="4">
        <v>0</v>
      </c>
    </row>
    <row r="203" spans="1:9" x14ac:dyDescent="0.2">
      <c r="A203" s="2">
        <v>17</v>
      </c>
      <c r="B203" s="1" t="s">
        <v>164</v>
      </c>
      <c r="C203" s="4">
        <v>5</v>
      </c>
      <c r="D203" s="8">
        <v>1.31</v>
      </c>
      <c r="E203" s="4">
        <v>3</v>
      </c>
      <c r="F203" s="8">
        <v>1.36</v>
      </c>
      <c r="G203" s="4">
        <v>2</v>
      </c>
      <c r="H203" s="8">
        <v>1.37</v>
      </c>
      <c r="I203" s="4">
        <v>0</v>
      </c>
    </row>
    <row r="204" spans="1:9" x14ac:dyDescent="0.2">
      <c r="A204" s="2">
        <v>17</v>
      </c>
      <c r="B204" s="1" t="s">
        <v>158</v>
      </c>
      <c r="C204" s="4">
        <v>5</v>
      </c>
      <c r="D204" s="8">
        <v>1.31</v>
      </c>
      <c r="E204" s="4">
        <v>2</v>
      </c>
      <c r="F204" s="8">
        <v>0.9</v>
      </c>
      <c r="G204" s="4">
        <v>3</v>
      </c>
      <c r="H204" s="8">
        <v>2.0499999999999998</v>
      </c>
      <c r="I204" s="4">
        <v>0</v>
      </c>
    </row>
    <row r="205" spans="1:9" x14ac:dyDescent="0.2">
      <c r="A205" s="2">
        <v>17</v>
      </c>
      <c r="B205" s="1" t="s">
        <v>166</v>
      </c>
      <c r="C205" s="4">
        <v>5</v>
      </c>
      <c r="D205" s="8">
        <v>1.31</v>
      </c>
      <c r="E205" s="4">
        <v>5</v>
      </c>
      <c r="F205" s="8">
        <v>2.2599999999999998</v>
      </c>
      <c r="G205" s="4">
        <v>0</v>
      </c>
      <c r="H205" s="8">
        <v>0</v>
      </c>
      <c r="I205" s="4">
        <v>0</v>
      </c>
    </row>
    <row r="206" spans="1:9" x14ac:dyDescent="0.2">
      <c r="A206" s="1"/>
      <c r="C206" s="4"/>
      <c r="D206" s="8"/>
      <c r="E206" s="4"/>
      <c r="F206" s="8"/>
      <c r="G206" s="4"/>
      <c r="H206" s="8"/>
      <c r="I206" s="4"/>
    </row>
    <row r="207" spans="1:9" x14ac:dyDescent="0.2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2">
      <c r="A208" s="2">
        <v>1</v>
      </c>
      <c r="B208" s="1" t="s">
        <v>140</v>
      </c>
      <c r="C208" s="4">
        <v>124</v>
      </c>
      <c r="D208" s="8">
        <v>5.86</v>
      </c>
      <c r="E208" s="4">
        <v>120</v>
      </c>
      <c r="F208" s="8">
        <v>10.56</v>
      </c>
      <c r="G208" s="4">
        <v>4</v>
      </c>
      <c r="H208" s="8">
        <v>0.42</v>
      </c>
      <c r="I208" s="4">
        <v>0</v>
      </c>
    </row>
    <row r="209" spans="1:9" x14ac:dyDescent="0.2">
      <c r="A209" s="2">
        <v>2</v>
      </c>
      <c r="B209" s="1" t="s">
        <v>138</v>
      </c>
      <c r="C209" s="4">
        <v>69</v>
      </c>
      <c r="D209" s="8">
        <v>3.26</v>
      </c>
      <c r="E209" s="4">
        <v>68</v>
      </c>
      <c r="F209" s="8">
        <v>5.99</v>
      </c>
      <c r="G209" s="4">
        <v>1</v>
      </c>
      <c r="H209" s="8">
        <v>0.11</v>
      </c>
      <c r="I209" s="4">
        <v>0</v>
      </c>
    </row>
    <row r="210" spans="1:9" x14ac:dyDescent="0.2">
      <c r="A210" s="2">
        <v>3</v>
      </c>
      <c r="B210" s="1" t="s">
        <v>137</v>
      </c>
      <c r="C210" s="4">
        <v>68</v>
      </c>
      <c r="D210" s="8">
        <v>3.21</v>
      </c>
      <c r="E210" s="4">
        <v>64</v>
      </c>
      <c r="F210" s="8">
        <v>5.63</v>
      </c>
      <c r="G210" s="4">
        <v>4</v>
      </c>
      <c r="H210" s="8">
        <v>0.42</v>
      </c>
      <c r="I210" s="4">
        <v>0</v>
      </c>
    </row>
    <row r="211" spans="1:9" x14ac:dyDescent="0.2">
      <c r="A211" s="2">
        <v>4</v>
      </c>
      <c r="B211" s="1" t="s">
        <v>139</v>
      </c>
      <c r="C211" s="4">
        <v>67</v>
      </c>
      <c r="D211" s="8">
        <v>3.16</v>
      </c>
      <c r="E211" s="4">
        <v>65</v>
      </c>
      <c r="F211" s="8">
        <v>5.72</v>
      </c>
      <c r="G211" s="4">
        <v>2</v>
      </c>
      <c r="H211" s="8">
        <v>0.21</v>
      </c>
      <c r="I211" s="4">
        <v>0</v>
      </c>
    </row>
    <row r="212" spans="1:9" x14ac:dyDescent="0.2">
      <c r="A212" s="2">
        <v>5</v>
      </c>
      <c r="B212" s="1" t="s">
        <v>130</v>
      </c>
      <c r="C212" s="4">
        <v>56</v>
      </c>
      <c r="D212" s="8">
        <v>2.65</v>
      </c>
      <c r="E212" s="4">
        <v>33</v>
      </c>
      <c r="F212" s="8">
        <v>2.9</v>
      </c>
      <c r="G212" s="4">
        <v>23</v>
      </c>
      <c r="H212" s="8">
        <v>2.42</v>
      </c>
      <c r="I212" s="4">
        <v>0</v>
      </c>
    </row>
    <row r="213" spans="1:9" x14ac:dyDescent="0.2">
      <c r="A213" s="2">
        <v>6</v>
      </c>
      <c r="B213" s="1" t="s">
        <v>124</v>
      </c>
      <c r="C213" s="4">
        <v>53</v>
      </c>
      <c r="D213" s="8">
        <v>2.5</v>
      </c>
      <c r="E213" s="4">
        <v>1</v>
      </c>
      <c r="F213" s="8">
        <v>0.09</v>
      </c>
      <c r="G213" s="4">
        <v>52</v>
      </c>
      <c r="H213" s="8">
        <v>5.47</v>
      </c>
      <c r="I213" s="4">
        <v>0</v>
      </c>
    </row>
    <row r="214" spans="1:9" x14ac:dyDescent="0.2">
      <c r="A214" s="2">
        <v>7</v>
      </c>
      <c r="B214" s="1" t="s">
        <v>129</v>
      </c>
      <c r="C214" s="4">
        <v>49</v>
      </c>
      <c r="D214" s="8">
        <v>2.31</v>
      </c>
      <c r="E214" s="4">
        <v>35</v>
      </c>
      <c r="F214" s="8">
        <v>3.08</v>
      </c>
      <c r="G214" s="4">
        <v>13</v>
      </c>
      <c r="H214" s="8">
        <v>1.37</v>
      </c>
      <c r="I214" s="4">
        <v>1</v>
      </c>
    </row>
    <row r="215" spans="1:9" x14ac:dyDescent="0.2">
      <c r="A215" s="2">
        <v>7</v>
      </c>
      <c r="B215" s="1" t="s">
        <v>136</v>
      </c>
      <c r="C215" s="4">
        <v>49</v>
      </c>
      <c r="D215" s="8">
        <v>2.31</v>
      </c>
      <c r="E215" s="4">
        <v>39</v>
      </c>
      <c r="F215" s="8">
        <v>3.43</v>
      </c>
      <c r="G215" s="4">
        <v>10</v>
      </c>
      <c r="H215" s="8">
        <v>1.05</v>
      </c>
      <c r="I215" s="4">
        <v>0</v>
      </c>
    </row>
    <row r="216" spans="1:9" x14ac:dyDescent="0.2">
      <c r="A216" s="2">
        <v>9</v>
      </c>
      <c r="B216" s="1" t="s">
        <v>133</v>
      </c>
      <c r="C216" s="4">
        <v>43</v>
      </c>
      <c r="D216" s="8">
        <v>2.0299999999999998</v>
      </c>
      <c r="E216" s="4">
        <v>27</v>
      </c>
      <c r="F216" s="8">
        <v>2.38</v>
      </c>
      <c r="G216" s="4">
        <v>16</v>
      </c>
      <c r="H216" s="8">
        <v>1.68</v>
      </c>
      <c r="I216" s="4">
        <v>0</v>
      </c>
    </row>
    <row r="217" spans="1:9" x14ac:dyDescent="0.2">
      <c r="A217" s="2">
        <v>9</v>
      </c>
      <c r="B217" s="1" t="s">
        <v>142</v>
      </c>
      <c r="C217" s="4">
        <v>43</v>
      </c>
      <c r="D217" s="8">
        <v>2.0299999999999998</v>
      </c>
      <c r="E217" s="4">
        <v>40</v>
      </c>
      <c r="F217" s="8">
        <v>3.52</v>
      </c>
      <c r="G217" s="4">
        <v>3</v>
      </c>
      <c r="H217" s="8">
        <v>0.32</v>
      </c>
      <c r="I217" s="4">
        <v>0</v>
      </c>
    </row>
    <row r="218" spans="1:9" x14ac:dyDescent="0.2">
      <c r="A218" s="2">
        <v>11</v>
      </c>
      <c r="B218" s="1" t="s">
        <v>143</v>
      </c>
      <c r="C218" s="4">
        <v>42</v>
      </c>
      <c r="D218" s="8">
        <v>1.98</v>
      </c>
      <c r="E218" s="4">
        <v>32</v>
      </c>
      <c r="F218" s="8">
        <v>2.82</v>
      </c>
      <c r="G218" s="4">
        <v>10</v>
      </c>
      <c r="H218" s="8">
        <v>1.05</v>
      </c>
      <c r="I218" s="4">
        <v>0</v>
      </c>
    </row>
    <row r="219" spans="1:9" x14ac:dyDescent="0.2">
      <c r="A219" s="2">
        <v>12</v>
      </c>
      <c r="B219" s="1" t="s">
        <v>158</v>
      </c>
      <c r="C219" s="4">
        <v>38</v>
      </c>
      <c r="D219" s="8">
        <v>1.79</v>
      </c>
      <c r="E219" s="4">
        <v>29</v>
      </c>
      <c r="F219" s="8">
        <v>2.5499999999999998</v>
      </c>
      <c r="G219" s="4">
        <v>9</v>
      </c>
      <c r="H219" s="8">
        <v>0.95</v>
      </c>
      <c r="I219" s="4">
        <v>0</v>
      </c>
    </row>
    <row r="220" spans="1:9" x14ac:dyDescent="0.2">
      <c r="A220" s="2">
        <v>13</v>
      </c>
      <c r="B220" s="1" t="s">
        <v>126</v>
      </c>
      <c r="C220" s="4">
        <v>37</v>
      </c>
      <c r="D220" s="8">
        <v>1.75</v>
      </c>
      <c r="E220" s="4">
        <v>13</v>
      </c>
      <c r="F220" s="8">
        <v>1.1399999999999999</v>
      </c>
      <c r="G220" s="4">
        <v>24</v>
      </c>
      <c r="H220" s="8">
        <v>2.5299999999999998</v>
      </c>
      <c r="I220" s="4">
        <v>0</v>
      </c>
    </row>
    <row r="221" spans="1:9" x14ac:dyDescent="0.2">
      <c r="A221" s="2">
        <v>14</v>
      </c>
      <c r="B221" s="1" t="s">
        <v>127</v>
      </c>
      <c r="C221" s="4">
        <v>36</v>
      </c>
      <c r="D221" s="8">
        <v>1.7</v>
      </c>
      <c r="E221" s="4">
        <v>27</v>
      </c>
      <c r="F221" s="8">
        <v>2.38</v>
      </c>
      <c r="G221" s="4">
        <v>9</v>
      </c>
      <c r="H221" s="8">
        <v>0.95</v>
      </c>
      <c r="I221" s="4">
        <v>0</v>
      </c>
    </row>
    <row r="222" spans="1:9" x14ac:dyDescent="0.2">
      <c r="A222" s="2">
        <v>15</v>
      </c>
      <c r="B222" s="1" t="s">
        <v>131</v>
      </c>
      <c r="C222" s="4">
        <v>34</v>
      </c>
      <c r="D222" s="8">
        <v>1.61</v>
      </c>
      <c r="E222" s="4">
        <v>11</v>
      </c>
      <c r="F222" s="8">
        <v>0.97</v>
      </c>
      <c r="G222" s="4">
        <v>23</v>
      </c>
      <c r="H222" s="8">
        <v>2.42</v>
      </c>
      <c r="I222" s="4">
        <v>0</v>
      </c>
    </row>
    <row r="223" spans="1:9" x14ac:dyDescent="0.2">
      <c r="A223" s="2">
        <v>16</v>
      </c>
      <c r="B223" s="1" t="s">
        <v>157</v>
      </c>
      <c r="C223" s="4">
        <v>32</v>
      </c>
      <c r="D223" s="8">
        <v>1.51</v>
      </c>
      <c r="E223" s="4">
        <v>12</v>
      </c>
      <c r="F223" s="8">
        <v>1.06</v>
      </c>
      <c r="G223" s="4">
        <v>20</v>
      </c>
      <c r="H223" s="8">
        <v>2.11</v>
      </c>
      <c r="I223" s="4">
        <v>0</v>
      </c>
    </row>
    <row r="224" spans="1:9" x14ac:dyDescent="0.2">
      <c r="A224" s="2">
        <v>16</v>
      </c>
      <c r="B224" s="1" t="s">
        <v>132</v>
      </c>
      <c r="C224" s="4">
        <v>32</v>
      </c>
      <c r="D224" s="8">
        <v>1.51</v>
      </c>
      <c r="E224" s="4">
        <v>5</v>
      </c>
      <c r="F224" s="8">
        <v>0.44</v>
      </c>
      <c r="G224" s="4">
        <v>27</v>
      </c>
      <c r="H224" s="8">
        <v>2.84</v>
      </c>
      <c r="I224" s="4">
        <v>0</v>
      </c>
    </row>
    <row r="225" spans="1:9" x14ac:dyDescent="0.2">
      <c r="A225" s="2">
        <v>18</v>
      </c>
      <c r="B225" s="1" t="s">
        <v>141</v>
      </c>
      <c r="C225" s="4">
        <v>30</v>
      </c>
      <c r="D225" s="8">
        <v>1.42</v>
      </c>
      <c r="E225" s="4">
        <v>25</v>
      </c>
      <c r="F225" s="8">
        <v>2.2000000000000002</v>
      </c>
      <c r="G225" s="4">
        <v>5</v>
      </c>
      <c r="H225" s="8">
        <v>0.53</v>
      </c>
      <c r="I225" s="4">
        <v>0</v>
      </c>
    </row>
    <row r="226" spans="1:9" x14ac:dyDescent="0.2">
      <c r="A226" s="2">
        <v>19</v>
      </c>
      <c r="B226" s="1" t="s">
        <v>156</v>
      </c>
      <c r="C226" s="4">
        <v>29</v>
      </c>
      <c r="D226" s="8">
        <v>1.37</v>
      </c>
      <c r="E226" s="4">
        <v>23</v>
      </c>
      <c r="F226" s="8">
        <v>2.02</v>
      </c>
      <c r="G226" s="4">
        <v>5</v>
      </c>
      <c r="H226" s="8">
        <v>0.53</v>
      </c>
      <c r="I226" s="4">
        <v>1</v>
      </c>
    </row>
    <row r="227" spans="1:9" x14ac:dyDescent="0.2">
      <c r="A227" s="2">
        <v>20</v>
      </c>
      <c r="B227" s="1" t="s">
        <v>134</v>
      </c>
      <c r="C227" s="4">
        <v>28</v>
      </c>
      <c r="D227" s="8">
        <v>1.32</v>
      </c>
      <c r="E227" s="4">
        <v>15</v>
      </c>
      <c r="F227" s="8">
        <v>1.32</v>
      </c>
      <c r="G227" s="4">
        <v>13</v>
      </c>
      <c r="H227" s="8">
        <v>1.37</v>
      </c>
      <c r="I227" s="4">
        <v>0</v>
      </c>
    </row>
    <row r="228" spans="1:9" x14ac:dyDescent="0.2">
      <c r="A228" s="1"/>
      <c r="C228" s="4"/>
      <c r="D228" s="8"/>
      <c r="E228" s="4"/>
      <c r="F228" s="8"/>
      <c r="G228" s="4"/>
      <c r="H228" s="8"/>
      <c r="I228" s="4"/>
    </row>
    <row r="229" spans="1:9" x14ac:dyDescent="0.2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2">
      <c r="A230" s="2">
        <v>1</v>
      </c>
      <c r="B230" s="1" t="s">
        <v>140</v>
      </c>
      <c r="C230" s="4">
        <v>70</v>
      </c>
      <c r="D230" s="8">
        <v>6.28</v>
      </c>
      <c r="E230" s="4">
        <v>66</v>
      </c>
      <c r="F230" s="8">
        <v>10.08</v>
      </c>
      <c r="G230" s="4">
        <v>4</v>
      </c>
      <c r="H230" s="8">
        <v>0.95</v>
      </c>
      <c r="I230" s="4">
        <v>0</v>
      </c>
    </row>
    <row r="231" spans="1:9" x14ac:dyDescent="0.2">
      <c r="A231" s="2">
        <v>2</v>
      </c>
      <c r="B231" s="1" t="s">
        <v>130</v>
      </c>
      <c r="C231" s="4">
        <v>43</v>
      </c>
      <c r="D231" s="8">
        <v>3.86</v>
      </c>
      <c r="E231" s="4">
        <v>31</v>
      </c>
      <c r="F231" s="8">
        <v>4.7300000000000004</v>
      </c>
      <c r="G231" s="4">
        <v>12</v>
      </c>
      <c r="H231" s="8">
        <v>2.86</v>
      </c>
      <c r="I231" s="4">
        <v>0</v>
      </c>
    </row>
    <row r="232" spans="1:9" x14ac:dyDescent="0.2">
      <c r="A232" s="2">
        <v>3</v>
      </c>
      <c r="B232" s="1" t="s">
        <v>124</v>
      </c>
      <c r="C232" s="4">
        <v>39</v>
      </c>
      <c r="D232" s="8">
        <v>3.5</v>
      </c>
      <c r="E232" s="4">
        <v>2</v>
      </c>
      <c r="F232" s="8">
        <v>0.31</v>
      </c>
      <c r="G232" s="4">
        <v>37</v>
      </c>
      <c r="H232" s="8">
        <v>8.81</v>
      </c>
      <c r="I232" s="4">
        <v>0</v>
      </c>
    </row>
    <row r="233" spans="1:9" x14ac:dyDescent="0.2">
      <c r="A233" s="2">
        <v>4</v>
      </c>
      <c r="B233" s="1" t="s">
        <v>139</v>
      </c>
      <c r="C233" s="4">
        <v>34</v>
      </c>
      <c r="D233" s="8">
        <v>3.05</v>
      </c>
      <c r="E233" s="4">
        <v>33</v>
      </c>
      <c r="F233" s="8">
        <v>5.04</v>
      </c>
      <c r="G233" s="4">
        <v>1</v>
      </c>
      <c r="H233" s="8">
        <v>0.24</v>
      </c>
      <c r="I233" s="4">
        <v>0</v>
      </c>
    </row>
    <row r="234" spans="1:9" x14ac:dyDescent="0.2">
      <c r="A234" s="2">
        <v>5</v>
      </c>
      <c r="B234" s="1" t="s">
        <v>142</v>
      </c>
      <c r="C234" s="4">
        <v>32</v>
      </c>
      <c r="D234" s="8">
        <v>2.87</v>
      </c>
      <c r="E234" s="4">
        <v>30</v>
      </c>
      <c r="F234" s="8">
        <v>4.58</v>
      </c>
      <c r="G234" s="4">
        <v>2</v>
      </c>
      <c r="H234" s="8">
        <v>0.48</v>
      </c>
      <c r="I234" s="4">
        <v>0</v>
      </c>
    </row>
    <row r="235" spans="1:9" x14ac:dyDescent="0.2">
      <c r="A235" s="2">
        <v>6</v>
      </c>
      <c r="B235" s="1" t="s">
        <v>141</v>
      </c>
      <c r="C235" s="4">
        <v>30</v>
      </c>
      <c r="D235" s="8">
        <v>2.69</v>
      </c>
      <c r="E235" s="4">
        <v>26</v>
      </c>
      <c r="F235" s="8">
        <v>3.97</v>
      </c>
      <c r="G235" s="4">
        <v>4</v>
      </c>
      <c r="H235" s="8">
        <v>0.95</v>
      </c>
      <c r="I235" s="4">
        <v>0</v>
      </c>
    </row>
    <row r="236" spans="1:9" x14ac:dyDescent="0.2">
      <c r="A236" s="2">
        <v>7</v>
      </c>
      <c r="B236" s="1" t="s">
        <v>136</v>
      </c>
      <c r="C236" s="4">
        <v>29</v>
      </c>
      <c r="D236" s="8">
        <v>2.6</v>
      </c>
      <c r="E236" s="4">
        <v>24</v>
      </c>
      <c r="F236" s="8">
        <v>3.66</v>
      </c>
      <c r="G236" s="4">
        <v>5</v>
      </c>
      <c r="H236" s="8">
        <v>1.19</v>
      </c>
      <c r="I236" s="4">
        <v>0</v>
      </c>
    </row>
    <row r="237" spans="1:9" x14ac:dyDescent="0.2">
      <c r="A237" s="2">
        <v>8</v>
      </c>
      <c r="B237" s="1" t="s">
        <v>143</v>
      </c>
      <c r="C237" s="4">
        <v>24</v>
      </c>
      <c r="D237" s="8">
        <v>2.15</v>
      </c>
      <c r="E237" s="4">
        <v>22</v>
      </c>
      <c r="F237" s="8">
        <v>3.36</v>
      </c>
      <c r="G237" s="4">
        <v>2</v>
      </c>
      <c r="H237" s="8">
        <v>0.48</v>
      </c>
      <c r="I237" s="4">
        <v>0</v>
      </c>
    </row>
    <row r="238" spans="1:9" x14ac:dyDescent="0.2">
      <c r="A238" s="2">
        <v>9</v>
      </c>
      <c r="B238" s="1" t="s">
        <v>157</v>
      </c>
      <c r="C238" s="4">
        <v>23</v>
      </c>
      <c r="D238" s="8">
        <v>2.06</v>
      </c>
      <c r="E238" s="4">
        <v>10</v>
      </c>
      <c r="F238" s="8">
        <v>1.53</v>
      </c>
      <c r="G238" s="4">
        <v>13</v>
      </c>
      <c r="H238" s="8">
        <v>3.1</v>
      </c>
      <c r="I238" s="4">
        <v>0</v>
      </c>
    </row>
    <row r="239" spans="1:9" x14ac:dyDescent="0.2">
      <c r="A239" s="2">
        <v>10</v>
      </c>
      <c r="B239" s="1" t="s">
        <v>165</v>
      </c>
      <c r="C239" s="4">
        <v>22</v>
      </c>
      <c r="D239" s="8">
        <v>1.97</v>
      </c>
      <c r="E239" s="4">
        <v>0</v>
      </c>
      <c r="F239" s="8">
        <v>0</v>
      </c>
      <c r="G239" s="4">
        <v>0</v>
      </c>
      <c r="H239" s="8">
        <v>0</v>
      </c>
      <c r="I239" s="4">
        <v>0</v>
      </c>
    </row>
    <row r="240" spans="1:9" x14ac:dyDescent="0.2">
      <c r="A240" s="2">
        <v>11</v>
      </c>
      <c r="B240" s="1" t="s">
        <v>129</v>
      </c>
      <c r="C240" s="4">
        <v>21</v>
      </c>
      <c r="D240" s="8">
        <v>1.88</v>
      </c>
      <c r="E240" s="4">
        <v>14</v>
      </c>
      <c r="F240" s="8">
        <v>2.14</v>
      </c>
      <c r="G240" s="4">
        <v>7</v>
      </c>
      <c r="H240" s="8">
        <v>1.67</v>
      </c>
      <c r="I240" s="4">
        <v>0</v>
      </c>
    </row>
    <row r="241" spans="1:9" x14ac:dyDescent="0.2">
      <c r="A241" s="2">
        <v>12</v>
      </c>
      <c r="B241" s="1" t="s">
        <v>126</v>
      </c>
      <c r="C241" s="4">
        <v>17</v>
      </c>
      <c r="D241" s="8">
        <v>1.52</v>
      </c>
      <c r="E241" s="4">
        <v>9</v>
      </c>
      <c r="F241" s="8">
        <v>1.37</v>
      </c>
      <c r="G241" s="4">
        <v>8</v>
      </c>
      <c r="H241" s="8">
        <v>1.9</v>
      </c>
      <c r="I241" s="4">
        <v>0</v>
      </c>
    </row>
    <row r="242" spans="1:9" x14ac:dyDescent="0.2">
      <c r="A242" s="2">
        <v>12</v>
      </c>
      <c r="B242" s="1" t="s">
        <v>127</v>
      </c>
      <c r="C242" s="4">
        <v>17</v>
      </c>
      <c r="D242" s="8">
        <v>1.52</v>
      </c>
      <c r="E242" s="4">
        <v>13</v>
      </c>
      <c r="F242" s="8">
        <v>1.98</v>
      </c>
      <c r="G242" s="4">
        <v>4</v>
      </c>
      <c r="H242" s="8">
        <v>0.95</v>
      </c>
      <c r="I242" s="4">
        <v>0</v>
      </c>
    </row>
    <row r="243" spans="1:9" x14ac:dyDescent="0.2">
      <c r="A243" s="2">
        <v>12</v>
      </c>
      <c r="B243" s="1" t="s">
        <v>133</v>
      </c>
      <c r="C243" s="4">
        <v>17</v>
      </c>
      <c r="D243" s="8">
        <v>1.52</v>
      </c>
      <c r="E243" s="4">
        <v>12</v>
      </c>
      <c r="F243" s="8">
        <v>1.83</v>
      </c>
      <c r="G243" s="4">
        <v>5</v>
      </c>
      <c r="H243" s="8">
        <v>1.19</v>
      </c>
      <c r="I243" s="4">
        <v>0</v>
      </c>
    </row>
    <row r="244" spans="1:9" x14ac:dyDescent="0.2">
      <c r="A244" s="2">
        <v>12</v>
      </c>
      <c r="B244" s="1" t="s">
        <v>148</v>
      </c>
      <c r="C244" s="4">
        <v>17</v>
      </c>
      <c r="D244" s="8">
        <v>1.52</v>
      </c>
      <c r="E244" s="4">
        <v>14</v>
      </c>
      <c r="F244" s="8">
        <v>2.14</v>
      </c>
      <c r="G244" s="4">
        <v>3</v>
      </c>
      <c r="H244" s="8">
        <v>0.71</v>
      </c>
      <c r="I244" s="4">
        <v>0</v>
      </c>
    </row>
    <row r="245" spans="1:9" x14ac:dyDescent="0.2">
      <c r="A245" s="2">
        <v>16</v>
      </c>
      <c r="B245" s="1" t="s">
        <v>135</v>
      </c>
      <c r="C245" s="4">
        <v>16</v>
      </c>
      <c r="D245" s="8">
        <v>1.43</v>
      </c>
      <c r="E245" s="4">
        <v>2</v>
      </c>
      <c r="F245" s="8">
        <v>0.31</v>
      </c>
      <c r="G245" s="4">
        <v>14</v>
      </c>
      <c r="H245" s="8">
        <v>3.33</v>
      </c>
      <c r="I245" s="4">
        <v>0</v>
      </c>
    </row>
    <row r="246" spans="1:9" x14ac:dyDescent="0.2">
      <c r="A246" s="2">
        <v>16</v>
      </c>
      <c r="B246" s="1" t="s">
        <v>156</v>
      </c>
      <c r="C246" s="4">
        <v>16</v>
      </c>
      <c r="D246" s="8">
        <v>1.43</v>
      </c>
      <c r="E246" s="4">
        <v>14</v>
      </c>
      <c r="F246" s="8">
        <v>2.14</v>
      </c>
      <c r="G246" s="4">
        <v>2</v>
      </c>
      <c r="H246" s="8">
        <v>0.48</v>
      </c>
      <c r="I246" s="4">
        <v>0</v>
      </c>
    </row>
    <row r="247" spans="1:9" x14ac:dyDescent="0.2">
      <c r="A247" s="2">
        <v>16</v>
      </c>
      <c r="B247" s="1" t="s">
        <v>137</v>
      </c>
      <c r="C247" s="4">
        <v>16</v>
      </c>
      <c r="D247" s="8">
        <v>1.43</v>
      </c>
      <c r="E247" s="4">
        <v>15</v>
      </c>
      <c r="F247" s="8">
        <v>2.29</v>
      </c>
      <c r="G247" s="4">
        <v>1</v>
      </c>
      <c r="H247" s="8">
        <v>0.24</v>
      </c>
      <c r="I247" s="4">
        <v>0</v>
      </c>
    </row>
    <row r="248" spans="1:9" x14ac:dyDescent="0.2">
      <c r="A248" s="2">
        <v>19</v>
      </c>
      <c r="B248" s="1" t="s">
        <v>153</v>
      </c>
      <c r="C248" s="4">
        <v>15</v>
      </c>
      <c r="D248" s="8">
        <v>1.35</v>
      </c>
      <c r="E248" s="4">
        <v>13</v>
      </c>
      <c r="F248" s="8">
        <v>1.98</v>
      </c>
      <c r="G248" s="4">
        <v>0</v>
      </c>
      <c r="H248" s="8">
        <v>0</v>
      </c>
      <c r="I248" s="4">
        <v>2</v>
      </c>
    </row>
    <row r="249" spans="1:9" x14ac:dyDescent="0.2">
      <c r="A249" s="2">
        <v>19</v>
      </c>
      <c r="B249" s="1" t="s">
        <v>132</v>
      </c>
      <c r="C249" s="4">
        <v>15</v>
      </c>
      <c r="D249" s="8">
        <v>1.35</v>
      </c>
      <c r="E249" s="4">
        <v>2</v>
      </c>
      <c r="F249" s="8">
        <v>0.31</v>
      </c>
      <c r="G249" s="4">
        <v>13</v>
      </c>
      <c r="H249" s="8">
        <v>3.1</v>
      </c>
      <c r="I249" s="4">
        <v>0</v>
      </c>
    </row>
    <row r="250" spans="1:9" x14ac:dyDescent="0.2">
      <c r="A250" s="2">
        <v>19</v>
      </c>
      <c r="B250" s="1" t="s">
        <v>134</v>
      </c>
      <c r="C250" s="4">
        <v>15</v>
      </c>
      <c r="D250" s="8">
        <v>1.35</v>
      </c>
      <c r="E250" s="4">
        <v>6</v>
      </c>
      <c r="F250" s="8">
        <v>0.92</v>
      </c>
      <c r="G250" s="4">
        <v>9</v>
      </c>
      <c r="H250" s="8">
        <v>2.14</v>
      </c>
      <c r="I250" s="4">
        <v>0</v>
      </c>
    </row>
    <row r="251" spans="1:9" x14ac:dyDescent="0.2">
      <c r="A251" s="2">
        <v>19</v>
      </c>
      <c r="B251" s="1" t="s">
        <v>167</v>
      </c>
      <c r="C251" s="4">
        <v>15</v>
      </c>
      <c r="D251" s="8">
        <v>1.35</v>
      </c>
      <c r="E251" s="4">
        <v>15</v>
      </c>
      <c r="F251" s="8">
        <v>2.29</v>
      </c>
      <c r="G251" s="4">
        <v>0</v>
      </c>
      <c r="H251" s="8">
        <v>0</v>
      </c>
      <c r="I251" s="4">
        <v>0</v>
      </c>
    </row>
    <row r="252" spans="1:9" x14ac:dyDescent="0.2">
      <c r="A252" s="2">
        <v>19</v>
      </c>
      <c r="B252" s="1" t="s">
        <v>166</v>
      </c>
      <c r="C252" s="4">
        <v>15</v>
      </c>
      <c r="D252" s="8">
        <v>1.35</v>
      </c>
      <c r="E252" s="4">
        <v>15</v>
      </c>
      <c r="F252" s="8">
        <v>2.29</v>
      </c>
      <c r="G252" s="4">
        <v>0</v>
      </c>
      <c r="H252" s="8">
        <v>0</v>
      </c>
      <c r="I252" s="4">
        <v>0</v>
      </c>
    </row>
    <row r="253" spans="1:9" x14ac:dyDescent="0.2">
      <c r="A253" s="1"/>
      <c r="C253" s="4"/>
      <c r="D253" s="8"/>
      <c r="E253" s="4"/>
      <c r="F253" s="8"/>
      <c r="G253" s="4"/>
      <c r="H253" s="8"/>
      <c r="I253" s="4"/>
    </row>
    <row r="254" spans="1:9" x14ac:dyDescent="0.2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2">
      <c r="A255" s="2">
        <v>1</v>
      </c>
      <c r="B255" s="1" t="s">
        <v>140</v>
      </c>
      <c r="C255" s="4">
        <v>52</v>
      </c>
      <c r="D255" s="8">
        <v>6.49</v>
      </c>
      <c r="E255" s="4">
        <v>51</v>
      </c>
      <c r="F255" s="8">
        <v>10.1</v>
      </c>
      <c r="G255" s="4">
        <v>1</v>
      </c>
      <c r="H255" s="8">
        <v>0.35</v>
      </c>
      <c r="I255" s="4">
        <v>0</v>
      </c>
    </row>
    <row r="256" spans="1:9" x14ac:dyDescent="0.2">
      <c r="A256" s="2">
        <v>2</v>
      </c>
      <c r="B256" s="1" t="s">
        <v>130</v>
      </c>
      <c r="C256" s="4">
        <v>37</v>
      </c>
      <c r="D256" s="8">
        <v>4.62</v>
      </c>
      <c r="E256" s="4">
        <v>30</v>
      </c>
      <c r="F256" s="8">
        <v>5.94</v>
      </c>
      <c r="G256" s="4">
        <v>7</v>
      </c>
      <c r="H256" s="8">
        <v>2.4700000000000002</v>
      </c>
      <c r="I256" s="4">
        <v>0</v>
      </c>
    </row>
    <row r="257" spans="1:9" x14ac:dyDescent="0.2">
      <c r="A257" s="2">
        <v>3</v>
      </c>
      <c r="B257" s="1" t="s">
        <v>124</v>
      </c>
      <c r="C257" s="4">
        <v>32</v>
      </c>
      <c r="D257" s="8">
        <v>4</v>
      </c>
      <c r="E257" s="4">
        <v>5</v>
      </c>
      <c r="F257" s="8">
        <v>0.99</v>
      </c>
      <c r="G257" s="4">
        <v>27</v>
      </c>
      <c r="H257" s="8">
        <v>9.5399999999999991</v>
      </c>
      <c r="I257" s="4">
        <v>0</v>
      </c>
    </row>
    <row r="258" spans="1:9" x14ac:dyDescent="0.2">
      <c r="A258" s="2">
        <v>3</v>
      </c>
      <c r="B258" s="1" t="s">
        <v>139</v>
      </c>
      <c r="C258" s="4">
        <v>32</v>
      </c>
      <c r="D258" s="8">
        <v>4</v>
      </c>
      <c r="E258" s="4">
        <v>32</v>
      </c>
      <c r="F258" s="8">
        <v>6.34</v>
      </c>
      <c r="G258" s="4">
        <v>0</v>
      </c>
      <c r="H258" s="8">
        <v>0</v>
      </c>
      <c r="I258" s="4">
        <v>0</v>
      </c>
    </row>
    <row r="259" spans="1:9" x14ac:dyDescent="0.2">
      <c r="A259" s="2">
        <v>5</v>
      </c>
      <c r="B259" s="1" t="s">
        <v>150</v>
      </c>
      <c r="C259" s="4">
        <v>30</v>
      </c>
      <c r="D259" s="8">
        <v>3.75</v>
      </c>
      <c r="E259" s="4">
        <v>27</v>
      </c>
      <c r="F259" s="8">
        <v>5.35</v>
      </c>
      <c r="G259" s="4">
        <v>3</v>
      </c>
      <c r="H259" s="8">
        <v>1.06</v>
      </c>
      <c r="I259" s="4">
        <v>0</v>
      </c>
    </row>
    <row r="260" spans="1:9" x14ac:dyDescent="0.2">
      <c r="A260" s="2">
        <v>5</v>
      </c>
      <c r="B260" s="1" t="s">
        <v>143</v>
      </c>
      <c r="C260" s="4">
        <v>30</v>
      </c>
      <c r="D260" s="8">
        <v>3.75</v>
      </c>
      <c r="E260" s="4">
        <v>25</v>
      </c>
      <c r="F260" s="8">
        <v>4.95</v>
      </c>
      <c r="G260" s="4">
        <v>5</v>
      </c>
      <c r="H260" s="8">
        <v>1.77</v>
      </c>
      <c r="I260" s="4">
        <v>0</v>
      </c>
    </row>
    <row r="261" spans="1:9" x14ac:dyDescent="0.2">
      <c r="A261" s="2">
        <v>7</v>
      </c>
      <c r="B261" s="1" t="s">
        <v>132</v>
      </c>
      <c r="C261" s="4">
        <v>24</v>
      </c>
      <c r="D261" s="8">
        <v>3</v>
      </c>
      <c r="E261" s="4">
        <v>7</v>
      </c>
      <c r="F261" s="8">
        <v>1.39</v>
      </c>
      <c r="G261" s="4">
        <v>17</v>
      </c>
      <c r="H261" s="8">
        <v>6.01</v>
      </c>
      <c r="I261" s="4">
        <v>0</v>
      </c>
    </row>
    <row r="262" spans="1:9" x14ac:dyDescent="0.2">
      <c r="A262" s="2">
        <v>8</v>
      </c>
      <c r="B262" s="1" t="s">
        <v>129</v>
      </c>
      <c r="C262" s="4">
        <v>23</v>
      </c>
      <c r="D262" s="8">
        <v>2.87</v>
      </c>
      <c r="E262" s="4">
        <v>20</v>
      </c>
      <c r="F262" s="8">
        <v>3.96</v>
      </c>
      <c r="G262" s="4">
        <v>3</v>
      </c>
      <c r="H262" s="8">
        <v>1.06</v>
      </c>
      <c r="I262" s="4">
        <v>0</v>
      </c>
    </row>
    <row r="263" spans="1:9" x14ac:dyDescent="0.2">
      <c r="A263" s="2">
        <v>9</v>
      </c>
      <c r="B263" s="1" t="s">
        <v>142</v>
      </c>
      <c r="C263" s="4">
        <v>21</v>
      </c>
      <c r="D263" s="8">
        <v>2.62</v>
      </c>
      <c r="E263" s="4">
        <v>19</v>
      </c>
      <c r="F263" s="8">
        <v>3.76</v>
      </c>
      <c r="G263" s="4">
        <v>2</v>
      </c>
      <c r="H263" s="8">
        <v>0.71</v>
      </c>
      <c r="I263" s="4">
        <v>0</v>
      </c>
    </row>
    <row r="264" spans="1:9" x14ac:dyDescent="0.2">
      <c r="A264" s="2">
        <v>10</v>
      </c>
      <c r="B264" s="1" t="s">
        <v>136</v>
      </c>
      <c r="C264" s="4">
        <v>20</v>
      </c>
      <c r="D264" s="8">
        <v>2.5</v>
      </c>
      <c r="E264" s="4">
        <v>17</v>
      </c>
      <c r="F264" s="8">
        <v>3.37</v>
      </c>
      <c r="G264" s="4">
        <v>3</v>
      </c>
      <c r="H264" s="8">
        <v>1.06</v>
      </c>
      <c r="I264" s="4">
        <v>0</v>
      </c>
    </row>
    <row r="265" spans="1:9" x14ac:dyDescent="0.2">
      <c r="A265" s="2">
        <v>11</v>
      </c>
      <c r="B265" s="1" t="s">
        <v>156</v>
      </c>
      <c r="C265" s="4">
        <v>18</v>
      </c>
      <c r="D265" s="8">
        <v>2.25</v>
      </c>
      <c r="E265" s="4">
        <v>16</v>
      </c>
      <c r="F265" s="8">
        <v>3.17</v>
      </c>
      <c r="G265" s="4">
        <v>2</v>
      </c>
      <c r="H265" s="8">
        <v>0.71</v>
      </c>
      <c r="I265" s="4">
        <v>0</v>
      </c>
    </row>
    <row r="266" spans="1:9" x14ac:dyDescent="0.2">
      <c r="A266" s="2">
        <v>12</v>
      </c>
      <c r="B266" s="1" t="s">
        <v>168</v>
      </c>
      <c r="C266" s="4">
        <v>17</v>
      </c>
      <c r="D266" s="8">
        <v>2.12</v>
      </c>
      <c r="E266" s="4">
        <v>10</v>
      </c>
      <c r="F266" s="8">
        <v>1.98</v>
      </c>
      <c r="G266" s="4">
        <v>7</v>
      </c>
      <c r="H266" s="8">
        <v>2.4700000000000002</v>
      </c>
      <c r="I266" s="4">
        <v>0</v>
      </c>
    </row>
    <row r="267" spans="1:9" x14ac:dyDescent="0.2">
      <c r="A267" s="2">
        <v>13</v>
      </c>
      <c r="B267" s="1" t="s">
        <v>126</v>
      </c>
      <c r="C267" s="4">
        <v>15</v>
      </c>
      <c r="D267" s="8">
        <v>1.87</v>
      </c>
      <c r="E267" s="4">
        <v>6</v>
      </c>
      <c r="F267" s="8">
        <v>1.19</v>
      </c>
      <c r="G267" s="4">
        <v>9</v>
      </c>
      <c r="H267" s="8">
        <v>3.18</v>
      </c>
      <c r="I267" s="4">
        <v>0</v>
      </c>
    </row>
    <row r="268" spans="1:9" x14ac:dyDescent="0.2">
      <c r="A268" s="2">
        <v>13</v>
      </c>
      <c r="B268" s="1" t="s">
        <v>133</v>
      </c>
      <c r="C268" s="4">
        <v>15</v>
      </c>
      <c r="D268" s="8">
        <v>1.87</v>
      </c>
      <c r="E268" s="4">
        <v>12</v>
      </c>
      <c r="F268" s="8">
        <v>2.38</v>
      </c>
      <c r="G268" s="4">
        <v>3</v>
      </c>
      <c r="H268" s="8">
        <v>1.06</v>
      </c>
      <c r="I268" s="4">
        <v>0</v>
      </c>
    </row>
    <row r="269" spans="1:9" x14ac:dyDescent="0.2">
      <c r="A269" s="2">
        <v>15</v>
      </c>
      <c r="B269" s="1" t="s">
        <v>131</v>
      </c>
      <c r="C269" s="4">
        <v>14</v>
      </c>
      <c r="D269" s="8">
        <v>1.75</v>
      </c>
      <c r="E269" s="4">
        <v>7</v>
      </c>
      <c r="F269" s="8">
        <v>1.39</v>
      </c>
      <c r="G269" s="4">
        <v>7</v>
      </c>
      <c r="H269" s="8">
        <v>2.4700000000000002</v>
      </c>
      <c r="I269" s="4">
        <v>0</v>
      </c>
    </row>
    <row r="270" spans="1:9" x14ac:dyDescent="0.2">
      <c r="A270" s="2">
        <v>16</v>
      </c>
      <c r="B270" s="1" t="s">
        <v>146</v>
      </c>
      <c r="C270" s="4">
        <v>13</v>
      </c>
      <c r="D270" s="8">
        <v>1.62</v>
      </c>
      <c r="E270" s="4">
        <v>11</v>
      </c>
      <c r="F270" s="8">
        <v>2.1800000000000002</v>
      </c>
      <c r="G270" s="4">
        <v>2</v>
      </c>
      <c r="H270" s="8">
        <v>0.71</v>
      </c>
      <c r="I270" s="4">
        <v>0</v>
      </c>
    </row>
    <row r="271" spans="1:9" x14ac:dyDescent="0.2">
      <c r="A271" s="2">
        <v>17</v>
      </c>
      <c r="B271" s="1" t="s">
        <v>125</v>
      </c>
      <c r="C271" s="4">
        <v>12</v>
      </c>
      <c r="D271" s="8">
        <v>1.5</v>
      </c>
      <c r="E271" s="4">
        <v>2</v>
      </c>
      <c r="F271" s="8">
        <v>0.4</v>
      </c>
      <c r="G271" s="4">
        <v>10</v>
      </c>
      <c r="H271" s="8">
        <v>3.53</v>
      </c>
      <c r="I271" s="4">
        <v>0</v>
      </c>
    </row>
    <row r="272" spans="1:9" x14ac:dyDescent="0.2">
      <c r="A272" s="2">
        <v>17</v>
      </c>
      <c r="B272" s="1" t="s">
        <v>138</v>
      </c>
      <c r="C272" s="4">
        <v>12</v>
      </c>
      <c r="D272" s="8">
        <v>1.5</v>
      </c>
      <c r="E272" s="4">
        <v>12</v>
      </c>
      <c r="F272" s="8">
        <v>2.38</v>
      </c>
      <c r="G272" s="4">
        <v>0</v>
      </c>
      <c r="H272" s="8">
        <v>0</v>
      </c>
      <c r="I272" s="4">
        <v>0</v>
      </c>
    </row>
    <row r="273" spans="1:9" x14ac:dyDescent="0.2">
      <c r="A273" s="2">
        <v>19</v>
      </c>
      <c r="B273" s="1" t="s">
        <v>147</v>
      </c>
      <c r="C273" s="4">
        <v>11</v>
      </c>
      <c r="D273" s="8">
        <v>1.37</v>
      </c>
      <c r="E273" s="4">
        <v>6</v>
      </c>
      <c r="F273" s="8">
        <v>1.19</v>
      </c>
      <c r="G273" s="4">
        <v>5</v>
      </c>
      <c r="H273" s="8">
        <v>1.77</v>
      </c>
      <c r="I273" s="4">
        <v>0</v>
      </c>
    </row>
    <row r="274" spans="1:9" x14ac:dyDescent="0.2">
      <c r="A274" s="2">
        <v>19</v>
      </c>
      <c r="B274" s="1" t="s">
        <v>135</v>
      </c>
      <c r="C274" s="4">
        <v>11</v>
      </c>
      <c r="D274" s="8">
        <v>1.37</v>
      </c>
      <c r="E274" s="4">
        <v>2</v>
      </c>
      <c r="F274" s="8">
        <v>0.4</v>
      </c>
      <c r="G274" s="4">
        <v>8</v>
      </c>
      <c r="H274" s="8">
        <v>2.83</v>
      </c>
      <c r="I274" s="4">
        <v>0</v>
      </c>
    </row>
    <row r="275" spans="1:9" x14ac:dyDescent="0.2">
      <c r="A275" s="1"/>
      <c r="C275" s="4"/>
      <c r="D275" s="8"/>
      <c r="E275" s="4"/>
      <c r="F275" s="8"/>
      <c r="G275" s="4"/>
      <c r="H275" s="8"/>
      <c r="I275" s="4"/>
    </row>
    <row r="276" spans="1:9" x14ac:dyDescent="0.2">
      <c r="A276" s="1" t="s">
        <v>12</v>
      </c>
      <c r="C276" s="4"/>
      <c r="D276" s="8"/>
      <c r="E276" s="4"/>
      <c r="F276" s="8"/>
      <c r="G276" s="4"/>
      <c r="H276" s="8"/>
      <c r="I276" s="4"/>
    </row>
    <row r="277" spans="1:9" x14ac:dyDescent="0.2">
      <c r="A277" s="2">
        <v>1</v>
      </c>
      <c r="B277" s="1" t="s">
        <v>140</v>
      </c>
      <c r="C277" s="4">
        <v>170</v>
      </c>
      <c r="D277" s="8">
        <v>6.78</v>
      </c>
      <c r="E277" s="4">
        <v>156</v>
      </c>
      <c r="F277" s="8">
        <v>12.17</v>
      </c>
      <c r="G277" s="4">
        <v>14</v>
      </c>
      <c r="H277" s="8">
        <v>1.17</v>
      </c>
      <c r="I277" s="4">
        <v>0</v>
      </c>
    </row>
    <row r="278" spans="1:9" x14ac:dyDescent="0.2">
      <c r="A278" s="2">
        <v>2</v>
      </c>
      <c r="B278" s="1" t="s">
        <v>139</v>
      </c>
      <c r="C278" s="4">
        <v>94</v>
      </c>
      <c r="D278" s="8">
        <v>3.75</v>
      </c>
      <c r="E278" s="4">
        <v>93</v>
      </c>
      <c r="F278" s="8">
        <v>7.25</v>
      </c>
      <c r="G278" s="4">
        <v>1</v>
      </c>
      <c r="H278" s="8">
        <v>0.08</v>
      </c>
      <c r="I278" s="4">
        <v>0</v>
      </c>
    </row>
    <row r="279" spans="1:9" x14ac:dyDescent="0.2">
      <c r="A279" s="2">
        <v>3</v>
      </c>
      <c r="B279" s="1" t="s">
        <v>130</v>
      </c>
      <c r="C279" s="4">
        <v>82</v>
      </c>
      <c r="D279" s="8">
        <v>3.27</v>
      </c>
      <c r="E279" s="4">
        <v>49</v>
      </c>
      <c r="F279" s="8">
        <v>3.82</v>
      </c>
      <c r="G279" s="4">
        <v>33</v>
      </c>
      <c r="H279" s="8">
        <v>2.77</v>
      </c>
      <c r="I279" s="4">
        <v>0</v>
      </c>
    </row>
    <row r="280" spans="1:9" x14ac:dyDescent="0.2">
      <c r="A280" s="2">
        <v>4</v>
      </c>
      <c r="B280" s="1" t="s">
        <v>142</v>
      </c>
      <c r="C280" s="4">
        <v>70</v>
      </c>
      <c r="D280" s="8">
        <v>2.79</v>
      </c>
      <c r="E280" s="4">
        <v>61</v>
      </c>
      <c r="F280" s="8">
        <v>4.76</v>
      </c>
      <c r="G280" s="4">
        <v>9</v>
      </c>
      <c r="H280" s="8">
        <v>0.76</v>
      </c>
      <c r="I280" s="4">
        <v>0</v>
      </c>
    </row>
    <row r="281" spans="1:9" x14ac:dyDescent="0.2">
      <c r="A281" s="2">
        <v>5</v>
      </c>
      <c r="B281" s="1" t="s">
        <v>124</v>
      </c>
      <c r="C281" s="4">
        <v>68</v>
      </c>
      <c r="D281" s="8">
        <v>2.71</v>
      </c>
      <c r="E281" s="4">
        <v>5</v>
      </c>
      <c r="F281" s="8">
        <v>0.39</v>
      </c>
      <c r="G281" s="4">
        <v>63</v>
      </c>
      <c r="H281" s="8">
        <v>5.29</v>
      </c>
      <c r="I281" s="4">
        <v>0</v>
      </c>
    </row>
    <row r="282" spans="1:9" x14ac:dyDescent="0.2">
      <c r="A282" s="2">
        <v>6</v>
      </c>
      <c r="B282" s="1" t="s">
        <v>136</v>
      </c>
      <c r="C282" s="4">
        <v>61</v>
      </c>
      <c r="D282" s="8">
        <v>2.4300000000000002</v>
      </c>
      <c r="E282" s="4">
        <v>47</v>
      </c>
      <c r="F282" s="8">
        <v>3.67</v>
      </c>
      <c r="G282" s="4">
        <v>14</v>
      </c>
      <c r="H282" s="8">
        <v>1.17</v>
      </c>
      <c r="I282" s="4">
        <v>0</v>
      </c>
    </row>
    <row r="283" spans="1:9" x14ac:dyDescent="0.2">
      <c r="A283" s="2">
        <v>7</v>
      </c>
      <c r="B283" s="1" t="s">
        <v>129</v>
      </c>
      <c r="C283" s="4">
        <v>56</v>
      </c>
      <c r="D283" s="8">
        <v>2.23</v>
      </c>
      <c r="E283" s="4">
        <v>28</v>
      </c>
      <c r="F283" s="8">
        <v>2.1800000000000002</v>
      </c>
      <c r="G283" s="4">
        <v>28</v>
      </c>
      <c r="H283" s="8">
        <v>2.35</v>
      </c>
      <c r="I283" s="4">
        <v>0</v>
      </c>
    </row>
    <row r="284" spans="1:9" x14ac:dyDescent="0.2">
      <c r="A284" s="2">
        <v>8</v>
      </c>
      <c r="B284" s="1" t="s">
        <v>137</v>
      </c>
      <c r="C284" s="4">
        <v>55</v>
      </c>
      <c r="D284" s="8">
        <v>2.19</v>
      </c>
      <c r="E284" s="4">
        <v>44</v>
      </c>
      <c r="F284" s="8">
        <v>3.43</v>
      </c>
      <c r="G284" s="4">
        <v>11</v>
      </c>
      <c r="H284" s="8">
        <v>0.92</v>
      </c>
      <c r="I284" s="4">
        <v>0</v>
      </c>
    </row>
    <row r="285" spans="1:9" x14ac:dyDescent="0.2">
      <c r="A285" s="2">
        <v>9</v>
      </c>
      <c r="B285" s="1" t="s">
        <v>143</v>
      </c>
      <c r="C285" s="4">
        <v>49</v>
      </c>
      <c r="D285" s="8">
        <v>1.95</v>
      </c>
      <c r="E285" s="4">
        <v>44</v>
      </c>
      <c r="F285" s="8">
        <v>3.43</v>
      </c>
      <c r="G285" s="4">
        <v>5</v>
      </c>
      <c r="H285" s="8">
        <v>0.42</v>
      </c>
      <c r="I285" s="4">
        <v>0</v>
      </c>
    </row>
    <row r="286" spans="1:9" x14ac:dyDescent="0.2">
      <c r="A286" s="2">
        <v>10</v>
      </c>
      <c r="B286" s="1" t="s">
        <v>131</v>
      </c>
      <c r="C286" s="4">
        <v>47</v>
      </c>
      <c r="D286" s="8">
        <v>1.87</v>
      </c>
      <c r="E286" s="4">
        <v>16</v>
      </c>
      <c r="F286" s="8">
        <v>1.25</v>
      </c>
      <c r="G286" s="4">
        <v>31</v>
      </c>
      <c r="H286" s="8">
        <v>2.6</v>
      </c>
      <c r="I286" s="4">
        <v>0</v>
      </c>
    </row>
    <row r="287" spans="1:9" x14ac:dyDescent="0.2">
      <c r="A287" s="2">
        <v>11</v>
      </c>
      <c r="B287" s="1" t="s">
        <v>134</v>
      </c>
      <c r="C287" s="4">
        <v>45</v>
      </c>
      <c r="D287" s="8">
        <v>1.79</v>
      </c>
      <c r="E287" s="4">
        <v>15</v>
      </c>
      <c r="F287" s="8">
        <v>1.17</v>
      </c>
      <c r="G287" s="4">
        <v>29</v>
      </c>
      <c r="H287" s="8">
        <v>2.4300000000000002</v>
      </c>
      <c r="I287" s="4">
        <v>0</v>
      </c>
    </row>
    <row r="288" spans="1:9" x14ac:dyDescent="0.2">
      <c r="A288" s="2">
        <v>12</v>
      </c>
      <c r="B288" s="1" t="s">
        <v>126</v>
      </c>
      <c r="C288" s="4">
        <v>44</v>
      </c>
      <c r="D288" s="8">
        <v>1.75</v>
      </c>
      <c r="E288" s="4">
        <v>12</v>
      </c>
      <c r="F288" s="8">
        <v>0.94</v>
      </c>
      <c r="G288" s="4">
        <v>32</v>
      </c>
      <c r="H288" s="8">
        <v>2.68</v>
      </c>
      <c r="I288" s="4">
        <v>0</v>
      </c>
    </row>
    <row r="289" spans="1:9" x14ac:dyDescent="0.2">
      <c r="A289" s="2">
        <v>12</v>
      </c>
      <c r="B289" s="1" t="s">
        <v>138</v>
      </c>
      <c r="C289" s="4">
        <v>44</v>
      </c>
      <c r="D289" s="8">
        <v>1.75</v>
      </c>
      <c r="E289" s="4">
        <v>42</v>
      </c>
      <c r="F289" s="8">
        <v>3.28</v>
      </c>
      <c r="G289" s="4">
        <v>2</v>
      </c>
      <c r="H289" s="8">
        <v>0.17</v>
      </c>
      <c r="I289" s="4">
        <v>0</v>
      </c>
    </row>
    <row r="290" spans="1:9" x14ac:dyDescent="0.2">
      <c r="A290" s="2">
        <v>14</v>
      </c>
      <c r="B290" s="1" t="s">
        <v>132</v>
      </c>
      <c r="C290" s="4">
        <v>43</v>
      </c>
      <c r="D290" s="8">
        <v>1.71</v>
      </c>
      <c r="E290" s="4">
        <v>6</v>
      </c>
      <c r="F290" s="8">
        <v>0.47</v>
      </c>
      <c r="G290" s="4">
        <v>37</v>
      </c>
      <c r="H290" s="8">
        <v>3.1</v>
      </c>
      <c r="I290" s="4">
        <v>0</v>
      </c>
    </row>
    <row r="291" spans="1:9" x14ac:dyDescent="0.2">
      <c r="A291" s="2">
        <v>15</v>
      </c>
      <c r="B291" s="1" t="s">
        <v>133</v>
      </c>
      <c r="C291" s="4">
        <v>42</v>
      </c>
      <c r="D291" s="8">
        <v>1.67</v>
      </c>
      <c r="E291" s="4">
        <v>28</v>
      </c>
      <c r="F291" s="8">
        <v>2.1800000000000002</v>
      </c>
      <c r="G291" s="4">
        <v>14</v>
      </c>
      <c r="H291" s="8">
        <v>1.17</v>
      </c>
      <c r="I291" s="4">
        <v>0</v>
      </c>
    </row>
    <row r="292" spans="1:9" x14ac:dyDescent="0.2">
      <c r="A292" s="2">
        <v>15</v>
      </c>
      <c r="B292" s="1" t="s">
        <v>135</v>
      </c>
      <c r="C292" s="4">
        <v>42</v>
      </c>
      <c r="D292" s="8">
        <v>1.67</v>
      </c>
      <c r="E292" s="4">
        <v>12</v>
      </c>
      <c r="F292" s="8">
        <v>0.94</v>
      </c>
      <c r="G292" s="4">
        <v>29</v>
      </c>
      <c r="H292" s="8">
        <v>2.4300000000000002</v>
      </c>
      <c r="I292" s="4">
        <v>0</v>
      </c>
    </row>
    <row r="293" spans="1:9" x14ac:dyDescent="0.2">
      <c r="A293" s="2">
        <v>15</v>
      </c>
      <c r="B293" s="1" t="s">
        <v>141</v>
      </c>
      <c r="C293" s="4">
        <v>42</v>
      </c>
      <c r="D293" s="8">
        <v>1.67</v>
      </c>
      <c r="E293" s="4">
        <v>33</v>
      </c>
      <c r="F293" s="8">
        <v>2.57</v>
      </c>
      <c r="G293" s="4">
        <v>9</v>
      </c>
      <c r="H293" s="8">
        <v>0.76</v>
      </c>
      <c r="I293" s="4">
        <v>0</v>
      </c>
    </row>
    <row r="294" spans="1:9" x14ac:dyDescent="0.2">
      <c r="A294" s="2">
        <v>18</v>
      </c>
      <c r="B294" s="1" t="s">
        <v>128</v>
      </c>
      <c r="C294" s="4">
        <v>37</v>
      </c>
      <c r="D294" s="8">
        <v>1.47</v>
      </c>
      <c r="E294" s="4">
        <v>24</v>
      </c>
      <c r="F294" s="8">
        <v>1.87</v>
      </c>
      <c r="G294" s="4">
        <v>13</v>
      </c>
      <c r="H294" s="8">
        <v>1.0900000000000001</v>
      </c>
      <c r="I294" s="4">
        <v>0</v>
      </c>
    </row>
    <row r="295" spans="1:9" x14ac:dyDescent="0.2">
      <c r="A295" s="2">
        <v>19</v>
      </c>
      <c r="B295" s="1" t="s">
        <v>169</v>
      </c>
      <c r="C295" s="4">
        <v>36</v>
      </c>
      <c r="D295" s="8">
        <v>1.43</v>
      </c>
      <c r="E295" s="4">
        <v>12</v>
      </c>
      <c r="F295" s="8">
        <v>0.94</v>
      </c>
      <c r="G295" s="4">
        <v>24</v>
      </c>
      <c r="H295" s="8">
        <v>2.0099999999999998</v>
      </c>
      <c r="I295" s="4">
        <v>0</v>
      </c>
    </row>
    <row r="296" spans="1:9" x14ac:dyDescent="0.2">
      <c r="A296" s="2">
        <v>20</v>
      </c>
      <c r="B296" s="1" t="s">
        <v>125</v>
      </c>
      <c r="C296" s="4">
        <v>35</v>
      </c>
      <c r="D296" s="8">
        <v>1.39</v>
      </c>
      <c r="E296" s="4">
        <v>7</v>
      </c>
      <c r="F296" s="8">
        <v>0.55000000000000004</v>
      </c>
      <c r="G296" s="4">
        <v>28</v>
      </c>
      <c r="H296" s="8">
        <v>2.35</v>
      </c>
      <c r="I296" s="4">
        <v>0</v>
      </c>
    </row>
    <row r="297" spans="1:9" x14ac:dyDescent="0.2">
      <c r="A297" s="1"/>
      <c r="C297" s="4"/>
      <c r="D297" s="8"/>
      <c r="E297" s="4"/>
      <c r="F297" s="8"/>
      <c r="G297" s="4"/>
      <c r="H297" s="8"/>
      <c r="I297" s="4"/>
    </row>
    <row r="298" spans="1:9" x14ac:dyDescent="0.2">
      <c r="A298" s="1" t="s">
        <v>13</v>
      </c>
      <c r="C298" s="4"/>
      <c r="D298" s="8"/>
      <c r="E298" s="4"/>
      <c r="F298" s="8"/>
      <c r="G298" s="4"/>
      <c r="H298" s="8"/>
      <c r="I298" s="4"/>
    </row>
    <row r="299" spans="1:9" x14ac:dyDescent="0.2">
      <c r="A299" s="2">
        <v>1</v>
      </c>
      <c r="B299" s="1" t="s">
        <v>140</v>
      </c>
      <c r="C299" s="4">
        <v>53</v>
      </c>
      <c r="D299" s="8">
        <v>6.9</v>
      </c>
      <c r="E299" s="4">
        <v>52</v>
      </c>
      <c r="F299" s="8">
        <v>10.9</v>
      </c>
      <c r="G299" s="4">
        <v>1</v>
      </c>
      <c r="H299" s="8">
        <v>0.36</v>
      </c>
      <c r="I299" s="4">
        <v>0</v>
      </c>
    </row>
    <row r="300" spans="1:9" x14ac:dyDescent="0.2">
      <c r="A300" s="2">
        <v>2</v>
      </c>
      <c r="B300" s="1" t="s">
        <v>133</v>
      </c>
      <c r="C300" s="4">
        <v>27</v>
      </c>
      <c r="D300" s="8">
        <v>3.52</v>
      </c>
      <c r="E300" s="4">
        <v>20</v>
      </c>
      <c r="F300" s="8">
        <v>4.1900000000000004</v>
      </c>
      <c r="G300" s="4">
        <v>7</v>
      </c>
      <c r="H300" s="8">
        <v>2.52</v>
      </c>
      <c r="I300" s="4">
        <v>0</v>
      </c>
    </row>
    <row r="301" spans="1:9" x14ac:dyDescent="0.2">
      <c r="A301" s="2">
        <v>3</v>
      </c>
      <c r="B301" s="1" t="s">
        <v>143</v>
      </c>
      <c r="C301" s="4">
        <v>24</v>
      </c>
      <c r="D301" s="8">
        <v>3.13</v>
      </c>
      <c r="E301" s="4">
        <v>19</v>
      </c>
      <c r="F301" s="8">
        <v>3.98</v>
      </c>
      <c r="G301" s="4">
        <v>5</v>
      </c>
      <c r="H301" s="8">
        <v>1.8</v>
      </c>
      <c r="I301" s="4">
        <v>0</v>
      </c>
    </row>
    <row r="302" spans="1:9" x14ac:dyDescent="0.2">
      <c r="A302" s="2">
        <v>4</v>
      </c>
      <c r="B302" s="1" t="s">
        <v>130</v>
      </c>
      <c r="C302" s="4">
        <v>21</v>
      </c>
      <c r="D302" s="8">
        <v>2.73</v>
      </c>
      <c r="E302" s="4">
        <v>11</v>
      </c>
      <c r="F302" s="8">
        <v>2.31</v>
      </c>
      <c r="G302" s="4">
        <v>10</v>
      </c>
      <c r="H302" s="8">
        <v>3.6</v>
      </c>
      <c r="I302" s="4">
        <v>0</v>
      </c>
    </row>
    <row r="303" spans="1:9" x14ac:dyDescent="0.2">
      <c r="A303" s="2">
        <v>5</v>
      </c>
      <c r="B303" s="1" t="s">
        <v>124</v>
      </c>
      <c r="C303" s="4">
        <v>20</v>
      </c>
      <c r="D303" s="8">
        <v>2.6</v>
      </c>
      <c r="E303" s="4">
        <v>1</v>
      </c>
      <c r="F303" s="8">
        <v>0.21</v>
      </c>
      <c r="G303" s="4">
        <v>19</v>
      </c>
      <c r="H303" s="8">
        <v>6.83</v>
      </c>
      <c r="I303" s="4">
        <v>0</v>
      </c>
    </row>
    <row r="304" spans="1:9" x14ac:dyDescent="0.2">
      <c r="A304" s="2">
        <v>5</v>
      </c>
      <c r="B304" s="1" t="s">
        <v>129</v>
      </c>
      <c r="C304" s="4">
        <v>20</v>
      </c>
      <c r="D304" s="8">
        <v>2.6</v>
      </c>
      <c r="E304" s="4">
        <v>13</v>
      </c>
      <c r="F304" s="8">
        <v>2.73</v>
      </c>
      <c r="G304" s="4">
        <v>6</v>
      </c>
      <c r="H304" s="8">
        <v>2.16</v>
      </c>
      <c r="I304" s="4">
        <v>1</v>
      </c>
    </row>
    <row r="305" spans="1:9" x14ac:dyDescent="0.2">
      <c r="A305" s="2">
        <v>5</v>
      </c>
      <c r="B305" s="1" t="s">
        <v>139</v>
      </c>
      <c r="C305" s="4">
        <v>20</v>
      </c>
      <c r="D305" s="8">
        <v>2.6</v>
      </c>
      <c r="E305" s="4">
        <v>20</v>
      </c>
      <c r="F305" s="8">
        <v>4.1900000000000004</v>
      </c>
      <c r="G305" s="4">
        <v>0</v>
      </c>
      <c r="H305" s="8">
        <v>0</v>
      </c>
      <c r="I305" s="4">
        <v>0</v>
      </c>
    </row>
    <row r="306" spans="1:9" x14ac:dyDescent="0.2">
      <c r="A306" s="2">
        <v>5</v>
      </c>
      <c r="B306" s="1" t="s">
        <v>142</v>
      </c>
      <c r="C306" s="4">
        <v>20</v>
      </c>
      <c r="D306" s="8">
        <v>2.6</v>
      </c>
      <c r="E306" s="4">
        <v>18</v>
      </c>
      <c r="F306" s="8">
        <v>3.77</v>
      </c>
      <c r="G306" s="4">
        <v>2</v>
      </c>
      <c r="H306" s="8">
        <v>0.72</v>
      </c>
      <c r="I306" s="4">
        <v>0</v>
      </c>
    </row>
    <row r="307" spans="1:9" x14ac:dyDescent="0.2">
      <c r="A307" s="2">
        <v>9</v>
      </c>
      <c r="B307" s="1" t="s">
        <v>137</v>
      </c>
      <c r="C307" s="4">
        <v>19</v>
      </c>
      <c r="D307" s="8">
        <v>2.4700000000000002</v>
      </c>
      <c r="E307" s="4">
        <v>19</v>
      </c>
      <c r="F307" s="8">
        <v>3.98</v>
      </c>
      <c r="G307" s="4">
        <v>0</v>
      </c>
      <c r="H307" s="8">
        <v>0</v>
      </c>
      <c r="I307" s="4">
        <v>0</v>
      </c>
    </row>
    <row r="308" spans="1:9" x14ac:dyDescent="0.2">
      <c r="A308" s="2">
        <v>10</v>
      </c>
      <c r="B308" s="1" t="s">
        <v>141</v>
      </c>
      <c r="C308" s="4">
        <v>17</v>
      </c>
      <c r="D308" s="8">
        <v>2.21</v>
      </c>
      <c r="E308" s="4">
        <v>16</v>
      </c>
      <c r="F308" s="8">
        <v>3.35</v>
      </c>
      <c r="G308" s="4">
        <v>1</v>
      </c>
      <c r="H308" s="8">
        <v>0.36</v>
      </c>
      <c r="I308" s="4">
        <v>0</v>
      </c>
    </row>
    <row r="309" spans="1:9" x14ac:dyDescent="0.2">
      <c r="A309" s="2">
        <v>11</v>
      </c>
      <c r="B309" s="1" t="s">
        <v>127</v>
      </c>
      <c r="C309" s="4">
        <v>14</v>
      </c>
      <c r="D309" s="8">
        <v>1.82</v>
      </c>
      <c r="E309" s="4">
        <v>10</v>
      </c>
      <c r="F309" s="8">
        <v>2.1</v>
      </c>
      <c r="G309" s="4">
        <v>4</v>
      </c>
      <c r="H309" s="8">
        <v>1.44</v>
      </c>
      <c r="I309" s="4">
        <v>0</v>
      </c>
    </row>
    <row r="310" spans="1:9" x14ac:dyDescent="0.2">
      <c r="A310" s="2">
        <v>11</v>
      </c>
      <c r="B310" s="1" t="s">
        <v>131</v>
      </c>
      <c r="C310" s="4">
        <v>14</v>
      </c>
      <c r="D310" s="8">
        <v>1.82</v>
      </c>
      <c r="E310" s="4">
        <v>5</v>
      </c>
      <c r="F310" s="8">
        <v>1.05</v>
      </c>
      <c r="G310" s="4">
        <v>9</v>
      </c>
      <c r="H310" s="8">
        <v>3.24</v>
      </c>
      <c r="I310" s="4">
        <v>0</v>
      </c>
    </row>
    <row r="311" spans="1:9" x14ac:dyDescent="0.2">
      <c r="A311" s="2">
        <v>13</v>
      </c>
      <c r="B311" s="1" t="s">
        <v>157</v>
      </c>
      <c r="C311" s="4">
        <v>13</v>
      </c>
      <c r="D311" s="8">
        <v>1.69</v>
      </c>
      <c r="E311" s="4">
        <v>8</v>
      </c>
      <c r="F311" s="8">
        <v>1.68</v>
      </c>
      <c r="G311" s="4">
        <v>5</v>
      </c>
      <c r="H311" s="8">
        <v>1.8</v>
      </c>
      <c r="I311" s="4">
        <v>0</v>
      </c>
    </row>
    <row r="312" spans="1:9" x14ac:dyDescent="0.2">
      <c r="A312" s="2">
        <v>13</v>
      </c>
      <c r="B312" s="1" t="s">
        <v>126</v>
      </c>
      <c r="C312" s="4">
        <v>13</v>
      </c>
      <c r="D312" s="8">
        <v>1.69</v>
      </c>
      <c r="E312" s="4">
        <v>6</v>
      </c>
      <c r="F312" s="8">
        <v>1.26</v>
      </c>
      <c r="G312" s="4">
        <v>7</v>
      </c>
      <c r="H312" s="8">
        <v>2.52</v>
      </c>
      <c r="I312" s="4">
        <v>0</v>
      </c>
    </row>
    <row r="313" spans="1:9" x14ac:dyDescent="0.2">
      <c r="A313" s="2">
        <v>13</v>
      </c>
      <c r="B313" s="1" t="s">
        <v>134</v>
      </c>
      <c r="C313" s="4">
        <v>13</v>
      </c>
      <c r="D313" s="8">
        <v>1.69</v>
      </c>
      <c r="E313" s="4">
        <v>7</v>
      </c>
      <c r="F313" s="8">
        <v>1.47</v>
      </c>
      <c r="G313" s="4">
        <v>6</v>
      </c>
      <c r="H313" s="8">
        <v>2.16</v>
      </c>
      <c r="I313" s="4">
        <v>0</v>
      </c>
    </row>
    <row r="314" spans="1:9" x14ac:dyDescent="0.2">
      <c r="A314" s="2">
        <v>16</v>
      </c>
      <c r="B314" s="1" t="s">
        <v>136</v>
      </c>
      <c r="C314" s="4">
        <v>12</v>
      </c>
      <c r="D314" s="8">
        <v>1.56</v>
      </c>
      <c r="E314" s="4">
        <v>12</v>
      </c>
      <c r="F314" s="8">
        <v>2.52</v>
      </c>
      <c r="G314" s="4">
        <v>0</v>
      </c>
      <c r="H314" s="8">
        <v>0</v>
      </c>
      <c r="I314" s="4">
        <v>0</v>
      </c>
    </row>
    <row r="315" spans="1:9" x14ac:dyDescent="0.2">
      <c r="A315" s="2">
        <v>16</v>
      </c>
      <c r="B315" s="1" t="s">
        <v>146</v>
      </c>
      <c r="C315" s="4">
        <v>12</v>
      </c>
      <c r="D315" s="8">
        <v>1.56</v>
      </c>
      <c r="E315" s="4">
        <v>10</v>
      </c>
      <c r="F315" s="8">
        <v>2.1</v>
      </c>
      <c r="G315" s="4">
        <v>2</v>
      </c>
      <c r="H315" s="8">
        <v>0.72</v>
      </c>
      <c r="I315" s="4">
        <v>0</v>
      </c>
    </row>
    <row r="316" spans="1:9" x14ac:dyDescent="0.2">
      <c r="A316" s="2">
        <v>18</v>
      </c>
      <c r="B316" s="1" t="s">
        <v>147</v>
      </c>
      <c r="C316" s="4">
        <v>11</v>
      </c>
      <c r="D316" s="8">
        <v>1.43</v>
      </c>
      <c r="E316" s="4">
        <v>9</v>
      </c>
      <c r="F316" s="8">
        <v>1.89</v>
      </c>
      <c r="G316" s="4">
        <v>2</v>
      </c>
      <c r="H316" s="8">
        <v>0.72</v>
      </c>
      <c r="I316" s="4">
        <v>0</v>
      </c>
    </row>
    <row r="317" spans="1:9" x14ac:dyDescent="0.2">
      <c r="A317" s="2">
        <v>19</v>
      </c>
      <c r="B317" s="1" t="s">
        <v>138</v>
      </c>
      <c r="C317" s="4">
        <v>10</v>
      </c>
      <c r="D317" s="8">
        <v>1.3</v>
      </c>
      <c r="E317" s="4">
        <v>10</v>
      </c>
      <c r="F317" s="8">
        <v>2.1</v>
      </c>
      <c r="G317" s="4">
        <v>0</v>
      </c>
      <c r="H317" s="8">
        <v>0</v>
      </c>
      <c r="I317" s="4">
        <v>0</v>
      </c>
    </row>
    <row r="318" spans="1:9" x14ac:dyDescent="0.2">
      <c r="A318" s="2">
        <v>20</v>
      </c>
      <c r="B318" s="1" t="s">
        <v>167</v>
      </c>
      <c r="C318" s="4">
        <v>9</v>
      </c>
      <c r="D318" s="8">
        <v>1.17</v>
      </c>
      <c r="E318" s="4">
        <v>8</v>
      </c>
      <c r="F318" s="8">
        <v>1.68</v>
      </c>
      <c r="G318" s="4">
        <v>1</v>
      </c>
      <c r="H318" s="8">
        <v>0.36</v>
      </c>
      <c r="I318" s="4">
        <v>0</v>
      </c>
    </row>
    <row r="319" spans="1:9" x14ac:dyDescent="0.2">
      <c r="A319" s="2">
        <v>20</v>
      </c>
      <c r="B319" s="1" t="s">
        <v>170</v>
      </c>
      <c r="C319" s="4">
        <v>9</v>
      </c>
      <c r="D319" s="8">
        <v>1.17</v>
      </c>
      <c r="E319" s="4">
        <v>2</v>
      </c>
      <c r="F319" s="8">
        <v>0.42</v>
      </c>
      <c r="G319" s="4">
        <v>6</v>
      </c>
      <c r="H319" s="8">
        <v>2.16</v>
      </c>
      <c r="I319" s="4">
        <v>0</v>
      </c>
    </row>
    <row r="320" spans="1:9" x14ac:dyDescent="0.2">
      <c r="A320" s="1"/>
      <c r="C320" s="4"/>
      <c r="D320" s="8"/>
      <c r="E320" s="4"/>
      <c r="F320" s="8"/>
      <c r="G320" s="4"/>
      <c r="H320" s="8"/>
      <c r="I320" s="4"/>
    </row>
    <row r="321" spans="1:9" x14ac:dyDescent="0.2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2">
      <c r="A322" s="2">
        <v>1</v>
      </c>
      <c r="B322" s="1" t="s">
        <v>140</v>
      </c>
      <c r="C322" s="4">
        <v>58</v>
      </c>
      <c r="D322" s="8">
        <v>6.98</v>
      </c>
      <c r="E322" s="4">
        <v>54</v>
      </c>
      <c r="F322" s="8">
        <v>11.42</v>
      </c>
      <c r="G322" s="4">
        <v>4</v>
      </c>
      <c r="H322" s="8">
        <v>1.22</v>
      </c>
      <c r="I322" s="4">
        <v>0</v>
      </c>
    </row>
    <row r="323" spans="1:9" x14ac:dyDescent="0.2">
      <c r="A323" s="2">
        <v>2</v>
      </c>
      <c r="B323" s="1" t="s">
        <v>165</v>
      </c>
      <c r="C323" s="4">
        <v>32</v>
      </c>
      <c r="D323" s="8">
        <v>3.85</v>
      </c>
      <c r="E323" s="4">
        <v>0</v>
      </c>
      <c r="F323" s="8">
        <v>0</v>
      </c>
      <c r="G323" s="4">
        <v>5</v>
      </c>
      <c r="H323" s="8">
        <v>1.53</v>
      </c>
      <c r="I323" s="4">
        <v>0</v>
      </c>
    </row>
    <row r="324" spans="1:9" x14ac:dyDescent="0.2">
      <c r="A324" s="2">
        <v>3</v>
      </c>
      <c r="B324" s="1" t="s">
        <v>129</v>
      </c>
      <c r="C324" s="4">
        <v>28</v>
      </c>
      <c r="D324" s="8">
        <v>3.37</v>
      </c>
      <c r="E324" s="4">
        <v>22</v>
      </c>
      <c r="F324" s="8">
        <v>4.6500000000000004</v>
      </c>
      <c r="G324" s="4">
        <v>6</v>
      </c>
      <c r="H324" s="8">
        <v>1.83</v>
      </c>
      <c r="I324" s="4">
        <v>0</v>
      </c>
    </row>
    <row r="325" spans="1:9" x14ac:dyDescent="0.2">
      <c r="A325" s="2">
        <v>4</v>
      </c>
      <c r="B325" s="1" t="s">
        <v>143</v>
      </c>
      <c r="C325" s="4">
        <v>26</v>
      </c>
      <c r="D325" s="8">
        <v>3.13</v>
      </c>
      <c r="E325" s="4">
        <v>22</v>
      </c>
      <c r="F325" s="8">
        <v>4.6500000000000004</v>
      </c>
      <c r="G325" s="4">
        <v>4</v>
      </c>
      <c r="H325" s="8">
        <v>1.22</v>
      </c>
      <c r="I325" s="4">
        <v>0</v>
      </c>
    </row>
    <row r="326" spans="1:9" x14ac:dyDescent="0.2">
      <c r="A326" s="2">
        <v>5</v>
      </c>
      <c r="B326" s="1" t="s">
        <v>133</v>
      </c>
      <c r="C326" s="4">
        <v>22</v>
      </c>
      <c r="D326" s="8">
        <v>2.65</v>
      </c>
      <c r="E326" s="4">
        <v>12</v>
      </c>
      <c r="F326" s="8">
        <v>2.54</v>
      </c>
      <c r="G326" s="4">
        <v>10</v>
      </c>
      <c r="H326" s="8">
        <v>3.06</v>
      </c>
      <c r="I326" s="4">
        <v>0</v>
      </c>
    </row>
    <row r="327" spans="1:9" x14ac:dyDescent="0.2">
      <c r="A327" s="2">
        <v>5</v>
      </c>
      <c r="B327" s="1" t="s">
        <v>136</v>
      </c>
      <c r="C327" s="4">
        <v>22</v>
      </c>
      <c r="D327" s="8">
        <v>2.65</v>
      </c>
      <c r="E327" s="4">
        <v>19</v>
      </c>
      <c r="F327" s="8">
        <v>4.0199999999999996</v>
      </c>
      <c r="G327" s="4">
        <v>3</v>
      </c>
      <c r="H327" s="8">
        <v>0.92</v>
      </c>
      <c r="I327" s="4">
        <v>0</v>
      </c>
    </row>
    <row r="328" spans="1:9" x14ac:dyDescent="0.2">
      <c r="A328" s="2">
        <v>7</v>
      </c>
      <c r="B328" s="1" t="s">
        <v>128</v>
      </c>
      <c r="C328" s="4">
        <v>21</v>
      </c>
      <c r="D328" s="8">
        <v>2.5299999999999998</v>
      </c>
      <c r="E328" s="4">
        <v>12</v>
      </c>
      <c r="F328" s="8">
        <v>2.54</v>
      </c>
      <c r="G328" s="4">
        <v>8</v>
      </c>
      <c r="H328" s="8">
        <v>2.4500000000000002</v>
      </c>
      <c r="I328" s="4">
        <v>1</v>
      </c>
    </row>
    <row r="329" spans="1:9" x14ac:dyDescent="0.2">
      <c r="A329" s="2">
        <v>7</v>
      </c>
      <c r="B329" s="1" t="s">
        <v>132</v>
      </c>
      <c r="C329" s="4">
        <v>21</v>
      </c>
      <c r="D329" s="8">
        <v>2.5299999999999998</v>
      </c>
      <c r="E329" s="4">
        <v>5</v>
      </c>
      <c r="F329" s="8">
        <v>1.06</v>
      </c>
      <c r="G329" s="4">
        <v>16</v>
      </c>
      <c r="H329" s="8">
        <v>4.8899999999999997</v>
      </c>
      <c r="I329" s="4">
        <v>0</v>
      </c>
    </row>
    <row r="330" spans="1:9" x14ac:dyDescent="0.2">
      <c r="A330" s="2">
        <v>9</v>
      </c>
      <c r="B330" s="1" t="s">
        <v>124</v>
      </c>
      <c r="C330" s="4">
        <v>20</v>
      </c>
      <c r="D330" s="8">
        <v>2.41</v>
      </c>
      <c r="E330" s="4">
        <v>2</v>
      </c>
      <c r="F330" s="8">
        <v>0.42</v>
      </c>
      <c r="G330" s="4">
        <v>18</v>
      </c>
      <c r="H330" s="8">
        <v>5.5</v>
      </c>
      <c r="I330" s="4">
        <v>0</v>
      </c>
    </row>
    <row r="331" spans="1:9" x14ac:dyDescent="0.2">
      <c r="A331" s="2">
        <v>9</v>
      </c>
      <c r="B331" s="1" t="s">
        <v>130</v>
      </c>
      <c r="C331" s="4">
        <v>20</v>
      </c>
      <c r="D331" s="8">
        <v>2.41</v>
      </c>
      <c r="E331" s="4">
        <v>16</v>
      </c>
      <c r="F331" s="8">
        <v>3.38</v>
      </c>
      <c r="G331" s="4">
        <v>4</v>
      </c>
      <c r="H331" s="8">
        <v>1.22</v>
      </c>
      <c r="I331" s="4">
        <v>0</v>
      </c>
    </row>
    <row r="332" spans="1:9" x14ac:dyDescent="0.2">
      <c r="A332" s="2">
        <v>11</v>
      </c>
      <c r="B332" s="1" t="s">
        <v>138</v>
      </c>
      <c r="C332" s="4">
        <v>19</v>
      </c>
      <c r="D332" s="8">
        <v>2.29</v>
      </c>
      <c r="E332" s="4">
        <v>19</v>
      </c>
      <c r="F332" s="8">
        <v>4.0199999999999996</v>
      </c>
      <c r="G332" s="4">
        <v>0</v>
      </c>
      <c r="H332" s="8">
        <v>0</v>
      </c>
      <c r="I332" s="4">
        <v>0</v>
      </c>
    </row>
    <row r="333" spans="1:9" x14ac:dyDescent="0.2">
      <c r="A333" s="2">
        <v>12</v>
      </c>
      <c r="B333" s="1" t="s">
        <v>139</v>
      </c>
      <c r="C333" s="4">
        <v>18</v>
      </c>
      <c r="D333" s="8">
        <v>2.17</v>
      </c>
      <c r="E333" s="4">
        <v>17</v>
      </c>
      <c r="F333" s="8">
        <v>3.59</v>
      </c>
      <c r="G333" s="4">
        <v>1</v>
      </c>
      <c r="H333" s="8">
        <v>0.31</v>
      </c>
      <c r="I333" s="4">
        <v>0</v>
      </c>
    </row>
    <row r="334" spans="1:9" x14ac:dyDescent="0.2">
      <c r="A334" s="2">
        <v>12</v>
      </c>
      <c r="B334" s="1" t="s">
        <v>141</v>
      </c>
      <c r="C334" s="4">
        <v>18</v>
      </c>
      <c r="D334" s="8">
        <v>2.17</v>
      </c>
      <c r="E334" s="4">
        <v>15</v>
      </c>
      <c r="F334" s="8">
        <v>3.17</v>
      </c>
      <c r="G334" s="4">
        <v>3</v>
      </c>
      <c r="H334" s="8">
        <v>0.92</v>
      </c>
      <c r="I334" s="4">
        <v>0</v>
      </c>
    </row>
    <row r="335" spans="1:9" x14ac:dyDescent="0.2">
      <c r="A335" s="2">
        <v>12</v>
      </c>
      <c r="B335" s="1" t="s">
        <v>142</v>
      </c>
      <c r="C335" s="4">
        <v>18</v>
      </c>
      <c r="D335" s="8">
        <v>2.17</v>
      </c>
      <c r="E335" s="4">
        <v>16</v>
      </c>
      <c r="F335" s="8">
        <v>3.38</v>
      </c>
      <c r="G335" s="4">
        <v>2</v>
      </c>
      <c r="H335" s="8">
        <v>0.61</v>
      </c>
      <c r="I335" s="4">
        <v>0</v>
      </c>
    </row>
    <row r="336" spans="1:9" x14ac:dyDescent="0.2">
      <c r="A336" s="2">
        <v>15</v>
      </c>
      <c r="B336" s="1" t="s">
        <v>125</v>
      </c>
      <c r="C336" s="4">
        <v>17</v>
      </c>
      <c r="D336" s="8">
        <v>2.0499999999999998</v>
      </c>
      <c r="E336" s="4">
        <v>4</v>
      </c>
      <c r="F336" s="8">
        <v>0.85</v>
      </c>
      <c r="G336" s="4">
        <v>13</v>
      </c>
      <c r="H336" s="8">
        <v>3.98</v>
      </c>
      <c r="I336" s="4">
        <v>0</v>
      </c>
    </row>
    <row r="337" spans="1:9" x14ac:dyDescent="0.2">
      <c r="A337" s="2">
        <v>16</v>
      </c>
      <c r="B337" s="1" t="s">
        <v>157</v>
      </c>
      <c r="C337" s="4">
        <v>15</v>
      </c>
      <c r="D337" s="8">
        <v>1.81</v>
      </c>
      <c r="E337" s="4">
        <v>7</v>
      </c>
      <c r="F337" s="8">
        <v>1.48</v>
      </c>
      <c r="G337" s="4">
        <v>8</v>
      </c>
      <c r="H337" s="8">
        <v>2.4500000000000002</v>
      </c>
      <c r="I337" s="4">
        <v>0</v>
      </c>
    </row>
    <row r="338" spans="1:9" x14ac:dyDescent="0.2">
      <c r="A338" s="2">
        <v>16</v>
      </c>
      <c r="B338" s="1" t="s">
        <v>148</v>
      </c>
      <c r="C338" s="4">
        <v>15</v>
      </c>
      <c r="D338" s="8">
        <v>1.81</v>
      </c>
      <c r="E338" s="4">
        <v>13</v>
      </c>
      <c r="F338" s="8">
        <v>2.75</v>
      </c>
      <c r="G338" s="4">
        <v>2</v>
      </c>
      <c r="H338" s="8">
        <v>0.61</v>
      </c>
      <c r="I338" s="4">
        <v>0</v>
      </c>
    </row>
    <row r="339" spans="1:9" x14ac:dyDescent="0.2">
      <c r="A339" s="2">
        <v>18</v>
      </c>
      <c r="B339" s="1" t="s">
        <v>147</v>
      </c>
      <c r="C339" s="4">
        <v>14</v>
      </c>
      <c r="D339" s="8">
        <v>1.68</v>
      </c>
      <c r="E339" s="4">
        <v>10</v>
      </c>
      <c r="F339" s="8">
        <v>2.11</v>
      </c>
      <c r="G339" s="4">
        <v>4</v>
      </c>
      <c r="H339" s="8">
        <v>1.22</v>
      </c>
      <c r="I339" s="4">
        <v>0</v>
      </c>
    </row>
    <row r="340" spans="1:9" x14ac:dyDescent="0.2">
      <c r="A340" s="2">
        <v>18</v>
      </c>
      <c r="B340" s="1" t="s">
        <v>137</v>
      </c>
      <c r="C340" s="4">
        <v>14</v>
      </c>
      <c r="D340" s="8">
        <v>1.68</v>
      </c>
      <c r="E340" s="4">
        <v>10</v>
      </c>
      <c r="F340" s="8">
        <v>2.11</v>
      </c>
      <c r="G340" s="4">
        <v>4</v>
      </c>
      <c r="H340" s="8">
        <v>1.22</v>
      </c>
      <c r="I340" s="4">
        <v>0</v>
      </c>
    </row>
    <row r="341" spans="1:9" x14ac:dyDescent="0.2">
      <c r="A341" s="2">
        <v>20</v>
      </c>
      <c r="B341" s="1" t="s">
        <v>135</v>
      </c>
      <c r="C341" s="4">
        <v>13</v>
      </c>
      <c r="D341" s="8">
        <v>1.56</v>
      </c>
      <c r="E341" s="4">
        <v>2</v>
      </c>
      <c r="F341" s="8">
        <v>0.42</v>
      </c>
      <c r="G341" s="4">
        <v>11</v>
      </c>
      <c r="H341" s="8">
        <v>3.36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140</v>
      </c>
      <c r="C344" s="4">
        <v>53</v>
      </c>
      <c r="D344" s="8">
        <v>6.73</v>
      </c>
      <c r="E344" s="4">
        <v>52</v>
      </c>
      <c r="F344" s="8">
        <v>11.66</v>
      </c>
      <c r="G344" s="4">
        <v>1</v>
      </c>
      <c r="H344" s="8">
        <v>0.31</v>
      </c>
      <c r="I344" s="4">
        <v>0</v>
      </c>
    </row>
    <row r="345" spans="1:9" x14ac:dyDescent="0.2">
      <c r="A345" s="2">
        <v>2</v>
      </c>
      <c r="B345" s="1" t="s">
        <v>139</v>
      </c>
      <c r="C345" s="4">
        <v>29</v>
      </c>
      <c r="D345" s="8">
        <v>3.68</v>
      </c>
      <c r="E345" s="4">
        <v>29</v>
      </c>
      <c r="F345" s="8">
        <v>6.5</v>
      </c>
      <c r="G345" s="4">
        <v>0</v>
      </c>
      <c r="H345" s="8">
        <v>0</v>
      </c>
      <c r="I345" s="4">
        <v>0</v>
      </c>
    </row>
    <row r="346" spans="1:9" x14ac:dyDescent="0.2">
      <c r="A346" s="2">
        <v>3</v>
      </c>
      <c r="B346" s="1" t="s">
        <v>129</v>
      </c>
      <c r="C346" s="4">
        <v>27</v>
      </c>
      <c r="D346" s="8">
        <v>3.43</v>
      </c>
      <c r="E346" s="4">
        <v>19</v>
      </c>
      <c r="F346" s="8">
        <v>4.26</v>
      </c>
      <c r="G346" s="4">
        <v>7</v>
      </c>
      <c r="H346" s="8">
        <v>2.15</v>
      </c>
      <c r="I346" s="4">
        <v>1</v>
      </c>
    </row>
    <row r="347" spans="1:9" x14ac:dyDescent="0.2">
      <c r="A347" s="2">
        <v>4</v>
      </c>
      <c r="B347" s="1" t="s">
        <v>138</v>
      </c>
      <c r="C347" s="4">
        <v>26</v>
      </c>
      <c r="D347" s="8">
        <v>3.3</v>
      </c>
      <c r="E347" s="4">
        <v>26</v>
      </c>
      <c r="F347" s="8">
        <v>5.83</v>
      </c>
      <c r="G347" s="4">
        <v>0</v>
      </c>
      <c r="H347" s="8">
        <v>0</v>
      </c>
      <c r="I347" s="4">
        <v>0</v>
      </c>
    </row>
    <row r="348" spans="1:9" x14ac:dyDescent="0.2">
      <c r="A348" s="2">
        <v>5</v>
      </c>
      <c r="B348" s="1" t="s">
        <v>150</v>
      </c>
      <c r="C348" s="4">
        <v>23</v>
      </c>
      <c r="D348" s="8">
        <v>2.92</v>
      </c>
      <c r="E348" s="4">
        <v>8</v>
      </c>
      <c r="F348" s="8">
        <v>1.79</v>
      </c>
      <c r="G348" s="4">
        <v>15</v>
      </c>
      <c r="H348" s="8">
        <v>4.5999999999999996</v>
      </c>
      <c r="I348" s="4">
        <v>0</v>
      </c>
    </row>
    <row r="349" spans="1:9" x14ac:dyDescent="0.2">
      <c r="A349" s="2">
        <v>6</v>
      </c>
      <c r="B349" s="1" t="s">
        <v>171</v>
      </c>
      <c r="C349" s="4">
        <v>20</v>
      </c>
      <c r="D349" s="8">
        <v>2.54</v>
      </c>
      <c r="E349" s="4">
        <v>0</v>
      </c>
      <c r="F349" s="8">
        <v>0</v>
      </c>
      <c r="G349" s="4">
        <v>20</v>
      </c>
      <c r="H349" s="8">
        <v>6.13</v>
      </c>
      <c r="I349" s="4">
        <v>0</v>
      </c>
    </row>
    <row r="350" spans="1:9" x14ac:dyDescent="0.2">
      <c r="A350" s="2">
        <v>6</v>
      </c>
      <c r="B350" s="1" t="s">
        <v>142</v>
      </c>
      <c r="C350" s="4">
        <v>20</v>
      </c>
      <c r="D350" s="8">
        <v>2.54</v>
      </c>
      <c r="E350" s="4">
        <v>18</v>
      </c>
      <c r="F350" s="8">
        <v>4.04</v>
      </c>
      <c r="G350" s="4">
        <v>2</v>
      </c>
      <c r="H350" s="8">
        <v>0.61</v>
      </c>
      <c r="I350" s="4">
        <v>0</v>
      </c>
    </row>
    <row r="351" spans="1:9" x14ac:dyDescent="0.2">
      <c r="A351" s="2">
        <v>8</v>
      </c>
      <c r="B351" s="1" t="s">
        <v>124</v>
      </c>
      <c r="C351" s="4">
        <v>19</v>
      </c>
      <c r="D351" s="8">
        <v>2.41</v>
      </c>
      <c r="E351" s="4">
        <v>0</v>
      </c>
      <c r="F351" s="8">
        <v>0</v>
      </c>
      <c r="G351" s="4">
        <v>19</v>
      </c>
      <c r="H351" s="8">
        <v>5.83</v>
      </c>
      <c r="I351" s="4">
        <v>0</v>
      </c>
    </row>
    <row r="352" spans="1:9" x14ac:dyDescent="0.2">
      <c r="A352" s="2">
        <v>8</v>
      </c>
      <c r="B352" s="1" t="s">
        <v>130</v>
      </c>
      <c r="C352" s="4">
        <v>19</v>
      </c>
      <c r="D352" s="8">
        <v>2.41</v>
      </c>
      <c r="E352" s="4">
        <v>12</v>
      </c>
      <c r="F352" s="8">
        <v>2.69</v>
      </c>
      <c r="G352" s="4">
        <v>7</v>
      </c>
      <c r="H352" s="8">
        <v>2.15</v>
      </c>
      <c r="I352" s="4">
        <v>0</v>
      </c>
    </row>
    <row r="353" spans="1:9" x14ac:dyDescent="0.2">
      <c r="A353" s="2">
        <v>8</v>
      </c>
      <c r="B353" s="1" t="s">
        <v>136</v>
      </c>
      <c r="C353" s="4">
        <v>19</v>
      </c>
      <c r="D353" s="8">
        <v>2.41</v>
      </c>
      <c r="E353" s="4">
        <v>18</v>
      </c>
      <c r="F353" s="8">
        <v>4.04</v>
      </c>
      <c r="G353" s="4">
        <v>1</v>
      </c>
      <c r="H353" s="8">
        <v>0.31</v>
      </c>
      <c r="I353" s="4">
        <v>0</v>
      </c>
    </row>
    <row r="354" spans="1:9" x14ac:dyDescent="0.2">
      <c r="A354" s="2">
        <v>11</v>
      </c>
      <c r="B354" s="1" t="s">
        <v>132</v>
      </c>
      <c r="C354" s="4">
        <v>17</v>
      </c>
      <c r="D354" s="8">
        <v>2.16</v>
      </c>
      <c r="E354" s="4">
        <v>3</v>
      </c>
      <c r="F354" s="8">
        <v>0.67</v>
      </c>
      <c r="G354" s="4">
        <v>14</v>
      </c>
      <c r="H354" s="8">
        <v>4.29</v>
      </c>
      <c r="I354" s="4">
        <v>0</v>
      </c>
    </row>
    <row r="355" spans="1:9" x14ac:dyDescent="0.2">
      <c r="A355" s="2">
        <v>11</v>
      </c>
      <c r="B355" s="1" t="s">
        <v>143</v>
      </c>
      <c r="C355" s="4">
        <v>17</v>
      </c>
      <c r="D355" s="8">
        <v>2.16</v>
      </c>
      <c r="E355" s="4">
        <v>15</v>
      </c>
      <c r="F355" s="8">
        <v>3.36</v>
      </c>
      <c r="G355" s="4">
        <v>2</v>
      </c>
      <c r="H355" s="8">
        <v>0.61</v>
      </c>
      <c r="I355" s="4">
        <v>0</v>
      </c>
    </row>
    <row r="356" spans="1:9" x14ac:dyDescent="0.2">
      <c r="A356" s="2">
        <v>13</v>
      </c>
      <c r="B356" s="1" t="s">
        <v>126</v>
      </c>
      <c r="C356" s="4">
        <v>16</v>
      </c>
      <c r="D356" s="8">
        <v>2.0299999999999998</v>
      </c>
      <c r="E356" s="4">
        <v>7</v>
      </c>
      <c r="F356" s="8">
        <v>1.57</v>
      </c>
      <c r="G356" s="4">
        <v>9</v>
      </c>
      <c r="H356" s="8">
        <v>2.76</v>
      </c>
      <c r="I356" s="4">
        <v>0</v>
      </c>
    </row>
    <row r="357" spans="1:9" x14ac:dyDescent="0.2">
      <c r="A357" s="2">
        <v>13</v>
      </c>
      <c r="B357" s="1" t="s">
        <v>133</v>
      </c>
      <c r="C357" s="4">
        <v>16</v>
      </c>
      <c r="D357" s="8">
        <v>2.0299999999999998</v>
      </c>
      <c r="E357" s="4">
        <v>14</v>
      </c>
      <c r="F357" s="8">
        <v>3.14</v>
      </c>
      <c r="G357" s="4">
        <v>2</v>
      </c>
      <c r="H357" s="8">
        <v>0.61</v>
      </c>
      <c r="I357" s="4">
        <v>0</v>
      </c>
    </row>
    <row r="358" spans="1:9" x14ac:dyDescent="0.2">
      <c r="A358" s="2">
        <v>13</v>
      </c>
      <c r="B358" s="1" t="s">
        <v>137</v>
      </c>
      <c r="C358" s="4">
        <v>16</v>
      </c>
      <c r="D358" s="8">
        <v>2.0299999999999998</v>
      </c>
      <c r="E358" s="4">
        <v>15</v>
      </c>
      <c r="F358" s="8">
        <v>3.36</v>
      </c>
      <c r="G358" s="4">
        <v>1</v>
      </c>
      <c r="H358" s="8">
        <v>0.31</v>
      </c>
      <c r="I358" s="4">
        <v>0</v>
      </c>
    </row>
    <row r="359" spans="1:9" x14ac:dyDescent="0.2">
      <c r="A359" s="2">
        <v>16</v>
      </c>
      <c r="B359" s="1" t="s">
        <v>127</v>
      </c>
      <c r="C359" s="4">
        <v>14</v>
      </c>
      <c r="D359" s="8">
        <v>1.78</v>
      </c>
      <c r="E359" s="4">
        <v>10</v>
      </c>
      <c r="F359" s="8">
        <v>2.2400000000000002</v>
      </c>
      <c r="G359" s="4">
        <v>4</v>
      </c>
      <c r="H359" s="8">
        <v>1.23</v>
      </c>
      <c r="I359" s="4">
        <v>0</v>
      </c>
    </row>
    <row r="360" spans="1:9" x14ac:dyDescent="0.2">
      <c r="A360" s="2">
        <v>17</v>
      </c>
      <c r="B360" s="1" t="s">
        <v>147</v>
      </c>
      <c r="C360" s="4">
        <v>13</v>
      </c>
      <c r="D360" s="8">
        <v>1.65</v>
      </c>
      <c r="E360" s="4">
        <v>9</v>
      </c>
      <c r="F360" s="8">
        <v>2.02</v>
      </c>
      <c r="G360" s="4">
        <v>4</v>
      </c>
      <c r="H360" s="8">
        <v>1.23</v>
      </c>
      <c r="I360" s="4">
        <v>0</v>
      </c>
    </row>
    <row r="361" spans="1:9" x14ac:dyDescent="0.2">
      <c r="A361" s="2">
        <v>17</v>
      </c>
      <c r="B361" s="1" t="s">
        <v>141</v>
      </c>
      <c r="C361" s="4">
        <v>13</v>
      </c>
      <c r="D361" s="8">
        <v>1.65</v>
      </c>
      <c r="E361" s="4">
        <v>12</v>
      </c>
      <c r="F361" s="8">
        <v>2.69</v>
      </c>
      <c r="G361" s="4">
        <v>1</v>
      </c>
      <c r="H361" s="8">
        <v>0.31</v>
      </c>
      <c r="I361" s="4">
        <v>0</v>
      </c>
    </row>
    <row r="362" spans="1:9" x14ac:dyDescent="0.2">
      <c r="A362" s="2">
        <v>19</v>
      </c>
      <c r="B362" s="1" t="s">
        <v>131</v>
      </c>
      <c r="C362" s="4">
        <v>12</v>
      </c>
      <c r="D362" s="8">
        <v>1.52</v>
      </c>
      <c r="E362" s="4">
        <v>9</v>
      </c>
      <c r="F362" s="8">
        <v>2.02</v>
      </c>
      <c r="G362" s="4">
        <v>3</v>
      </c>
      <c r="H362" s="8">
        <v>0.92</v>
      </c>
      <c r="I362" s="4">
        <v>0</v>
      </c>
    </row>
    <row r="363" spans="1:9" x14ac:dyDescent="0.2">
      <c r="A363" s="2">
        <v>19</v>
      </c>
      <c r="B363" s="1" t="s">
        <v>135</v>
      </c>
      <c r="C363" s="4">
        <v>12</v>
      </c>
      <c r="D363" s="8">
        <v>1.52</v>
      </c>
      <c r="E363" s="4">
        <v>3</v>
      </c>
      <c r="F363" s="8">
        <v>0.67</v>
      </c>
      <c r="G363" s="4">
        <v>9</v>
      </c>
      <c r="H363" s="8">
        <v>2.76</v>
      </c>
      <c r="I363" s="4">
        <v>0</v>
      </c>
    </row>
    <row r="364" spans="1:9" x14ac:dyDescent="0.2">
      <c r="A364" s="2">
        <v>19</v>
      </c>
      <c r="B364" s="1" t="s">
        <v>156</v>
      </c>
      <c r="C364" s="4">
        <v>12</v>
      </c>
      <c r="D364" s="8">
        <v>1.52</v>
      </c>
      <c r="E364" s="4">
        <v>12</v>
      </c>
      <c r="F364" s="8">
        <v>2.69</v>
      </c>
      <c r="G364" s="4">
        <v>0</v>
      </c>
      <c r="H364" s="8">
        <v>0</v>
      </c>
      <c r="I364" s="4">
        <v>0</v>
      </c>
    </row>
    <row r="365" spans="1:9" x14ac:dyDescent="0.2">
      <c r="A365" s="1"/>
      <c r="C365" s="4"/>
      <c r="D365" s="8"/>
      <c r="E365" s="4"/>
      <c r="F365" s="8"/>
      <c r="G365" s="4"/>
      <c r="H365" s="8"/>
      <c r="I365" s="4"/>
    </row>
    <row r="366" spans="1:9" x14ac:dyDescent="0.2">
      <c r="A366" s="1" t="s">
        <v>16</v>
      </c>
      <c r="C366" s="4"/>
      <c r="D366" s="8"/>
      <c r="E366" s="4"/>
      <c r="F366" s="8"/>
      <c r="G366" s="4"/>
      <c r="H366" s="8"/>
      <c r="I366" s="4"/>
    </row>
    <row r="367" spans="1:9" x14ac:dyDescent="0.2">
      <c r="A367" s="2">
        <v>1</v>
      </c>
      <c r="B367" s="1" t="s">
        <v>137</v>
      </c>
      <c r="C367" s="4">
        <v>100</v>
      </c>
      <c r="D367" s="8">
        <v>6.25</v>
      </c>
      <c r="E367" s="4">
        <v>95</v>
      </c>
      <c r="F367" s="8">
        <v>10.43</v>
      </c>
      <c r="G367" s="4">
        <v>5</v>
      </c>
      <c r="H367" s="8">
        <v>0.76</v>
      </c>
      <c r="I367" s="4">
        <v>0</v>
      </c>
    </row>
    <row r="368" spans="1:9" x14ac:dyDescent="0.2">
      <c r="A368" s="2">
        <v>2</v>
      </c>
      <c r="B368" s="1" t="s">
        <v>140</v>
      </c>
      <c r="C368" s="4">
        <v>90</v>
      </c>
      <c r="D368" s="8">
        <v>5.63</v>
      </c>
      <c r="E368" s="4">
        <v>85</v>
      </c>
      <c r="F368" s="8">
        <v>9.33</v>
      </c>
      <c r="G368" s="4">
        <v>5</v>
      </c>
      <c r="H368" s="8">
        <v>0.76</v>
      </c>
      <c r="I368" s="4">
        <v>0</v>
      </c>
    </row>
    <row r="369" spans="1:9" x14ac:dyDescent="0.2">
      <c r="A369" s="2">
        <v>3</v>
      </c>
      <c r="B369" s="1" t="s">
        <v>138</v>
      </c>
      <c r="C369" s="4">
        <v>61</v>
      </c>
      <c r="D369" s="8">
        <v>3.81</v>
      </c>
      <c r="E369" s="4">
        <v>60</v>
      </c>
      <c r="F369" s="8">
        <v>6.59</v>
      </c>
      <c r="G369" s="4">
        <v>1</v>
      </c>
      <c r="H369" s="8">
        <v>0.15</v>
      </c>
      <c r="I369" s="4">
        <v>0</v>
      </c>
    </row>
    <row r="370" spans="1:9" x14ac:dyDescent="0.2">
      <c r="A370" s="2">
        <v>4</v>
      </c>
      <c r="B370" s="1" t="s">
        <v>129</v>
      </c>
      <c r="C370" s="4">
        <v>57</v>
      </c>
      <c r="D370" s="8">
        <v>3.56</v>
      </c>
      <c r="E370" s="4">
        <v>43</v>
      </c>
      <c r="F370" s="8">
        <v>4.72</v>
      </c>
      <c r="G370" s="4">
        <v>11</v>
      </c>
      <c r="H370" s="8">
        <v>1.67</v>
      </c>
      <c r="I370" s="4">
        <v>3</v>
      </c>
    </row>
    <row r="371" spans="1:9" x14ac:dyDescent="0.2">
      <c r="A371" s="2">
        <v>5</v>
      </c>
      <c r="B371" s="1" t="s">
        <v>136</v>
      </c>
      <c r="C371" s="4">
        <v>44</v>
      </c>
      <c r="D371" s="8">
        <v>2.75</v>
      </c>
      <c r="E371" s="4">
        <v>34</v>
      </c>
      <c r="F371" s="8">
        <v>3.73</v>
      </c>
      <c r="G371" s="4">
        <v>10</v>
      </c>
      <c r="H371" s="8">
        <v>1.52</v>
      </c>
      <c r="I371" s="4">
        <v>0</v>
      </c>
    </row>
    <row r="372" spans="1:9" x14ac:dyDescent="0.2">
      <c r="A372" s="2">
        <v>6</v>
      </c>
      <c r="B372" s="1" t="s">
        <v>134</v>
      </c>
      <c r="C372" s="4">
        <v>40</v>
      </c>
      <c r="D372" s="8">
        <v>2.5</v>
      </c>
      <c r="E372" s="4">
        <v>10</v>
      </c>
      <c r="F372" s="8">
        <v>1.1000000000000001</v>
      </c>
      <c r="G372" s="4">
        <v>30</v>
      </c>
      <c r="H372" s="8">
        <v>4.5599999999999996</v>
      </c>
      <c r="I372" s="4">
        <v>0</v>
      </c>
    </row>
    <row r="373" spans="1:9" x14ac:dyDescent="0.2">
      <c r="A373" s="2">
        <v>7</v>
      </c>
      <c r="B373" s="1" t="s">
        <v>152</v>
      </c>
      <c r="C373" s="4">
        <v>38</v>
      </c>
      <c r="D373" s="8">
        <v>2.38</v>
      </c>
      <c r="E373" s="4">
        <v>26</v>
      </c>
      <c r="F373" s="8">
        <v>2.85</v>
      </c>
      <c r="G373" s="4">
        <v>12</v>
      </c>
      <c r="H373" s="8">
        <v>1.82</v>
      </c>
      <c r="I373" s="4">
        <v>0</v>
      </c>
    </row>
    <row r="374" spans="1:9" x14ac:dyDescent="0.2">
      <c r="A374" s="2">
        <v>8</v>
      </c>
      <c r="B374" s="1" t="s">
        <v>139</v>
      </c>
      <c r="C374" s="4">
        <v>36</v>
      </c>
      <c r="D374" s="8">
        <v>2.25</v>
      </c>
      <c r="E374" s="4">
        <v>36</v>
      </c>
      <c r="F374" s="8">
        <v>3.95</v>
      </c>
      <c r="G374" s="4">
        <v>0</v>
      </c>
      <c r="H374" s="8">
        <v>0</v>
      </c>
      <c r="I374" s="4">
        <v>0</v>
      </c>
    </row>
    <row r="375" spans="1:9" x14ac:dyDescent="0.2">
      <c r="A375" s="2">
        <v>9</v>
      </c>
      <c r="B375" s="1" t="s">
        <v>127</v>
      </c>
      <c r="C375" s="4">
        <v>35</v>
      </c>
      <c r="D375" s="8">
        <v>2.19</v>
      </c>
      <c r="E375" s="4">
        <v>26</v>
      </c>
      <c r="F375" s="8">
        <v>2.85</v>
      </c>
      <c r="G375" s="4">
        <v>9</v>
      </c>
      <c r="H375" s="8">
        <v>1.37</v>
      </c>
      <c r="I375" s="4">
        <v>0</v>
      </c>
    </row>
    <row r="376" spans="1:9" x14ac:dyDescent="0.2">
      <c r="A376" s="2">
        <v>9</v>
      </c>
      <c r="B376" s="1" t="s">
        <v>133</v>
      </c>
      <c r="C376" s="4">
        <v>35</v>
      </c>
      <c r="D376" s="8">
        <v>2.19</v>
      </c>
      <c r="E376" s="4">
        <v>22</v>
      </c>
      <c r="F376" s="8">
        <v>2.41</v>
      </c>
      <c r="G376" s="4">
        <v>13</v>
      </c>
      <c r="H376" s="8">
        <v>1.98</v>
      </c>
      <c r="I376" s="4">
        <v>0</v>
      </c>
    </row>
    <row r="377" spans="1:9" x14ac:dyDescent="0.2">
      <c r="A377" s="2">
        <v>11</v>
      </c>
      <c r="B377" s="1" t="s">
        <v>135</v>
      </c>
      <c r="C377" s="4">
        <v>32</v>
      </c>
      <c r="D377" s="8">
        <v>2</v>
      </c>
      <c r="E377" s="4">
        <v>9</v>
      </c>
      <c r="F377" s="8">
        <v>0.99</v>
      </c>
      <c r="G377" s="4">
        <v>22</v>
      </c>
      <c r="H377" s="8">
        <v>3.34</v>
      </c>
      <c r="I377" s="4">
        <v>0</v>
      </c>
    </row>
    <row r="378" spans="1:9" x14ac:dyDescent="0.2">
      <c r="A378" s="2">
        <v>12</v>
      </c>
      <c r="B378" s="1" t="s">
        <v>130</v>
      </c>
      <c r="C378" s="4">
        <v>28</v>
      </c>
      <c r="D378" s="8">
        <v>1.75</v>
      </c>
      <c r="E378" s="4">
        <v>14</v>
      </c>
      <c r="F378" s="8">
        <v>1.54</v>
      </c>
      <c r="G378" s="4">
        <v>14</v>
      </c>
      <c r="H378" s="8">
        <v>2.13</v>
      </c>
      <c r="I378" s="4">
        <v>0</v>
      </c>
    </row>
    <row r="379" spans="1:9" x14ac:dyDescent="0.2">
      <c r="A379" s="2">
        <v>13</v>
      </c>
      <c r="B379" s="1" t="s">
        <v>131</v>
      </c>
      <c r="C379" s="4">
        <v>27</v>
      </c>
      <c r="D379" s="8">
        <v>1.69</v>
      </c>
      <c r="E379" s="4">
        <v>11</v>
      </c>
      <c r="F379" s="8">
        <v>1.21</v>
      </c>
      <c r="G379" s="4">
        <v>16</v>
      </c>
      <c r="H379" s="8">
        <v>2.4300000000000002</v>
      </c>
      <c r="I379" s="4">
        <v>0</v>
      </c>
    </row>
    <row r="380" spans="1:9" x14ac:dyDescent="0.2">
      <c r="A380" s="2">
        <v>13</v>
      </c>
      <c r="B380" s="1" t="s">
        <v>167</v>
      </c>
      <c r="C380" s="4">
        <v>27</v>
      </c>
      <c r="D380" s="8">
        <v>1.69</v>
      </c>
      <c r="E380" s="4">
        <v>24</v>
      </c>
      <c r="F380" s="8">
        <v>2.63</v>
      </c>
      <c r="G380" s="4">
        <v>3</v>
      </c>
      <c r="H380" s="8">
        <v>0.46</v>
      </c>
      <c r="I380" s="4">
        <v>0</v>
      </c>
    </row>
    <row r="381" spans="1:9" x14ac:dyDescent="0.2">
      <c r="A381" s="2">
        <v>15</v>
      </c>
      <c r="B381" s="1" t="s">
        <v>172</v>
      </c>
      <c r="C381" s="4">
        <v>24</v>
      </c>
      <c r="D381" s="8">
        <v>1.5</v>
      </c>
      <c r="E381" s="4">
        <v>14</v>
      </c>
      <c r="F381" s="8">
        <v>1.54</v>
      </c>
      <c r="G381" s="4">
        <v>10</v>
      </c>
      <c r="H381" s="8">
        <v>1.52</v>
      </c>
      <c r="I381" s="4">
        <v>0</v>
      </c>
    </row>
    <row r="382" spans="1:9" x14ac:dyDescent="0.2">
      <c r="A382" s="2">
        <v>15</v>
      </c>
      <c r="B382" s="1" t="s">
        <v>142</v>
      </c>
      <c r="C382" s="4">
        <v>24</v>
      </c>
      <c r="D382" s="8">
        <v>1.5</v>
      </c>
      <c r="E382" s="4">
        <v>19</v>
      </c>
      <c r="F382" s="8">
        <v>2.09</v>
      </c>
      <c r="G382" s="4">
        <v>5</v>
      </c>
      <c r="H382" s="8">
        <v>0.76</v>
      </c>
      <c r="I382" s="4">
        <v>0</v>
      </c>
    </row>
    <row r="383" spans="1:9" x14ac:dyDescent="0.2">
      <c r="A383" s="2">
        <v>17</v>
      </c>
      <c r="B383" s="1" t="s">
        <v>146</v>
      </c>
      <c r="C383" s="4">
        <v>22</v>
      </c>
      <c r="D383" s="8">
        <v>1.38</v>
      </c>
      <c r="E383" s="4">
        <v>15</v>
      </c>
      <c r="F383" s="8">
        <v>1.65</v>
      </c>
      <c r="G383" s="4">
        <v>7</v>
      </c>
      <c r="H383" s="8">
        <v>1.06</v>
      </c>
      <c r="I383" s="4">
        <v>0</v>
      </c>
    </row>
    <row r="384" spans="1:9" x14ac:dyDescent="0.2">
      <c r="A384" s="2">
        <v>18</v>
      </c>
      <c r="B384" s="1" t="s">
        <v>124</v>
      </c>
      <c r="C384" s="4">
        <v>20</v>
      </c>
      <c r="D384" s="8">
        <v>1.25</v>
      </c>
      <c r="E384" s="4">
        <v>2</v>
      </c>
      <c r="F384" s="8">
        <v>0.22</v>
      </c>
      <c r="G384" s="4">
        <v>18</v>
      </c>
      <c r="H384" s="8">
        <v>2.74</v>
      </c>
      <c r="I384" s="4">
        <v>0</v>
      </c>
    </row>
    <row r="385" spans="1:9" x14ac:dyDescent="0.2">
      <c r="A385" s="2">
        <v>18</v>
      </c>
      <c r="B385" s="1" t="s">
        <v>128</v>
      </c>
      <c r="C385" s="4">
        <v>20</v>
      </c>
      <c r="D385" s="8">
        <v>1.25</v>
      </c>
      <c r="E385" s="4">
        <v>13</v>
      </c>
      <c r="F385" s="8">
        <v>1.43</v>
      </c>
      <c r="G385" s="4">
        <v>7</v>
      </c>
      <c r="H385" s="8">
        <v>1.06</v>
      </c>
      <c r="I385" s="4">
        <v>0</v>
      </c>
    </row>
    <row r="386" spans="1:9" x14ac:dyDescent="0.2">
      <c r="A386" s="2">
        <v>20</v>
      </c>
      <c r="B386" s="1" t="s">
        <v>144</v>
      </c>
      <c r="C386" s="4">
        <v>19</v>
      </c>
      <c r="D386" s="8">
        <v>1.19</v>
      </c>
      <c r="E386" s="4">
        <v>9</v>
      </c>
      <c r="F386" s="8">
        <v>0.99</v>
      </c>
      <c r="G386" s="4">
        <v>10</v>
      </c>
      <c r="H386" s="8">
        <v>1.52</v>
      </c>
      <c r="I386" s="4">
        <v>0</v>
      </c>
    </row>
    <row r="387" spans="1:9" x14ac:dyDescent="0.2">
      <c r="A387" s="1"/>
      <c r="C387" s="4"/>
      <c r="D387" s="8"/>
      <c r="E387" s="4"/>
      <c r="F387" s="8"/>
      <c r="G387" s="4"/>
      <c r="H387" s="8"/>
      <c r="I387" s="4"/>
    </row>
    <row r="388" spans="1:9" x14ac:dyDescent="0.2">
      <c r="A388" s="1" t="s">
        <v>17</v>
      </c>
      <c r="C388" s="4"/>
      <c r="D388" s="8"/>
      <c r="E388" s="4"/>
      <c r="F388" s="8"/>
      <c r="G388" s="4"/>
      <c r="H388" s="8"/>
      <c r="I388" s="4"/>
    </row>
    <row r="389" spans="1:9" x14ac:dyDescent="0.2">
      <c r="A389" s="2">
        <v>1</v>
      </c>
      <c r="B389" s="1" t="s">
        <v>150</v>
      </c>
      <c r="C389" s="4">
        <v>62</v>
      </c>
      <c r="D389" s="8">
        <v>5.89</v>
      </c>
      <c r="E389" s="4">
        <v>18</v>
      </c>
      <c r="F389" s="8">
        <v>2.75</v>
      </c>
      <c r="G389" s="4">
        <v>44</v>
      </c>
      <c r="H389" s="8">
        <v>11.8</v>
      </c>
      <c r="I389" s="4">
        <v>0</v>
      </c>
    </row>
    <row r="390" spans="1:9" x14ac:dyDescent="0.2">
      <c r="A390" s="2">
        <v>2</v>
      </c>
      <c r="B390" s="1" t="s">
        <v>140</v>
      </c>
      <c r="C390" s="4">
        <v>53</v>
      </c>
      <c r="D390" s="8">
        <v>5.04</v>
      </c>
      <c r="E390" s="4">
        <v>53</v>
      </c>
      <c r="F390" s="8">
        <v>8.1</v>
      </c>
      <c r="G390" s="4">
        <v>0</v>
      </c>
      <c r="H390" s="8">
        <v>0</v>
      </c>
      <c r="I390" s="4">
        <v>0</v>
      </c>
    </row>
    <row r="391" spans="1:9" x14ac:dyDescent="0.2">
      <c r="A391" s="2">
        <v>3</v>
      </c>
      <c r="B391" s="1" t="s">
        <v>173</v>
      </c>
      <c r="C391" s="4">
        <v>46</v>
      </c>
      <c r="D391" s="8">
        <v>4.37</v>
      </c>
      <c r="E391" s="4">
        <v>31</v>
      </c>
      <c r="F391" s="8">
        <v>4.74</v>
      </c>
      <c r="G391" s="4">
        <v>15</v>
      </c>
      <c r="H391" s="8">
        <v>4.0199999999999996</v>
      </c>
      <c r="I391" s="4">
        <v>0</v>
      </c>
    </row>
    <row r="392" spans="1:9" x14ac:dyDescent="0.2">
      <c r="A392" s="2">
        <v>4</v>
      </c>
      <c r="B392" s="1" t="s">
        <v>139</v>
      </c>
      <c r="C392" s="4">
        <v>38</v>
      </c>
      <c r="D392" s="8">
        <v>3.61</v>
      </c>
      <c r="E392" s="4">
        <v>38</v>
      </c>
      <c r="F392" s="8">
        <v>5.81</v>
      </c>
      <c r="G392" s="4">
        <v>0</v>
      </c>
      <c r="H392" s="8">
        <v>0</v>
      </c>
      <c r="I392" s="4">
        <v>0</v>
      </c>
    </row>
    <row r="393" spans="1:9" x14ac:dyDescent="0.2">
      <c r="A393" s="2">
        <v>5</v>
      </c>
      <c r="B393" s="1" t="s">
        <v>129</v>
      </c>
      <c r="C393" s="4">
        <v>37</v>
      </c>
      <c r="D393" s="8">
        <v>3.52</v>
      </c>
      <c r="E393" s="4">
        <v>26</v>
      </c>
      <c r="F393" s="8">
        <v>3.98</v>
      </c>
      <c r="G393" s="4">
        <v>10</v>
      </c>
      <c r="H393" s="8">
        <v>2.68</v>
      </c>
      <c r="I393" s="4">
        <v>1</v>
      </c>
    </row>
    <row r="394" spans="1:9" x14ac:dyDescent="0.2">
      <c r="A394" s="2">
        <v>6</v>
      </c>
      <c r="B394" s="1" t="s">
        <v>143</v>
      </c>
      <c r="C394" s="4">
        <v>36</v>
      </c>
      <c r="D394" s="8">
        <v>3.42</v>
      </c>
      <c r="E394" s="4">
        <v>33</v>
      </c>
      <c r="F394" s="8">
        <v>5.05</v>
      </c>
      <c r="G394" s="4">
        <v>3</v>
      </c>
      <c r="H394" s="8">
        <v>0.8</v>
      </c>
      <c r="I394" s="4">
        <v>0</v>
      </c>
    </row>
    <row r="395" spans="1:9" x14ac:dyDescent="0.2">
      <c r="A395" s="2">
        <v>7</v>
      </c>
      <c r="B395" s="1" t="s">
        <v>132</v>
      </c>
      <c r="C395" s="4">
        <v>29</v>
      </c>
      <c r="D395" s="8">
        <v>2.76</v>
      </c>
      <c r="E395" s="4">
        <v>10</v>
      </c>
      <c r="F395" s="8">
        <v>1.53</v>
      </c>
      <c r="G395" s="4">
        <v>19</v>
      </c>
      <c r="H395" s="8">
        <v>5.09</v>
      </c>
      <c r="I395" s="4">
        <v>0</v>
      </c>
    </row>
    <row r="396" spans="1:9" x14ac:dyDescent="0.2">
      <c r="A396" s="2">
        <v>8</v>
      </c>
      <c r="B396" s="1" t="s">
        <v>142</v>
      </c>
      <c r="C396" s="4">
        <v>27</v>
      </c>
      <c r="D396" s="8">
        <v>2.57</v>
      </c>
      <c r="E396" s="4">
        <v>27</v>
      </c>
      <c r="F396" s="8">
        <v>4.13</v>
      </c>
      <c r="G396" s="4">
        <v>0</v>
      </c>
      <c r="H396" s="8">
        <v>0</v>
      </c>
      <c r="I396" s="4">
        <v>0</v>
      </c>
    </row>
    <row r="397" spans="1:9" x14ac:dyDescent="0.2">
      <c r="A397" s="2">
        <v>9</v>
      </c>
      <c r="B397" s="1" t="s">
        <v>124</v>
      </c>
      <c r="C397" s="4">
        <v>26</v>
      </c>
      <c r="D397" s="8">
        <v>2.4700000000000002</v>
      </c>
      <c r="E397" s="4">
        <v>2</v>
      </c>
      <c r="F397" s="8">
        <v>0.31</v>
      </c>
      <c r="G397" s="4">
        <v>24</v>
      </c>
      <c r="H397" s="8">
        <v>6.43</v>
      </c>
      <c r="I397" s="4">
        <v>0</v>
      </c>
    </row>
    <row r="398" spans="1:9" x14ac:dyDescent="0.2">
      <c r="A398" s="2">
        <v>10</v>
      </c>
      <c r="B398" s="1" t="s">
        <v>127</v>
      </c>
      <c r="C398" s="4">
        <v>23</v>
      </c>
      <c r="D398" s="8">
        <v>2.19</v>
      </c>
      <c r="E398" s="4">
        <v>21</v>
      </c>
      <c r="F398" s="8">
        <v>3.21</v>
      </c>
      <c r="G398" s="4">
        <v>2</v>
      </c>
      <c r="H398" s="8">
        <v>0.54</v>
      </c>
      <c r="I398" s="4">
        <v>0</v>
      </c>
    </row>
    <row r="399" spans="1:9" x14ac:dyDescent="0.2">
      <c r="A399" s="2">
        <v>11</v>
      </c>
      <c r="B399" s="1" t="s">
        <v>130</v>
      </c>
      <c r="C399" s="4">
        <v>22</v>
      </c>
      <c r="D399" s="8">
        <v>2.09</v>
      </c>
      <c r="E399" s="4">
        <v>18</v>
      </c>
      <c r="F399" s="8">
        <v>2.75</v>
      </c>
      <c r="G399" s="4">
        <v>4</v>
      </c>
      <c r="H399" s="8">
        <v>1.07</v>
      </c>
      <c r="I399" s="4">
        <v>0</v>
      </c>
    </row>
    <row r="400" spans="1:9" x14ac:dyDescent="0.2">
      <c r="A400" s="2">
        <v>12</v>
      </c>
      <c r="B400" s="1" t="s">
        <v>165</v>
      </c>
      <c r="C400" s="4">
        <v>21</v>
      </c>
      <c r="D400" s="8">
        <v>2</v>
      </c>
      <c r="E400" s="4">
        <v>0</v>
      </c>
      <c r="F400" s="8">
        <v>0</v>
      </c>
      <c r="G400" s="4">
        <v>0</v>
      </c>
      <c r="H400" s="8">
        <v>0</v>
      </c>
      <c r="I400" s="4">
        <v>0</v>
      </c>
    </row>
    <row r="401" spans="1:9" x14ac:dyDescent="0.2">
      <c r="A401" s="2">
        <v>13</v>
      </c>
      <c r="B401" s="1" t="s">
        <v>128</v>
      </c>
      <c r="C401" s="4">
        <v>17</v>
      </c>
      <c r="D401" s="8">
        <v>1.62</v>
      </c>
      <c r="E401" s="4">
        <v>12</v>
      </c>
      <c r="F401" s="8">
        <v>1.83</v>
      </c>
      <c r="G401" s="4">
        <v>5</v>
      </c>
      <c r="H401" s="8">
        <v>1.34</v>
      </c>
      <c r="I401" s="4">
        <v>0</v>
      </c>
    </row>
    <row r="402" spans="1:9" x14ac:dyDescent="0.2">
      <c r="A402" s="2">
        <v>13</v>
      </c>
      <c r="B402" s="1" t="s">
        <v>168</v>
      </c>
      <c r="C402" s="4">
        <v>17</v>
      </c>
      <c r="D402" s="8">
        <v>1.62</v>
      </c>
      <c r="E402" s="4">
        <v>5</v>
      </c>
      <c r="F402" s="8">
        <v>0.76</v>
      </c>
      <c r="G402" s="4">
        <v>12</v>
      </c>
      <c r="H402" s="8">
        <v>3.22</v>
      </c>
      <c r="I402" s="4">
        <v>0</v>
      </c>
    </row>
    <row r="403" spans="1:9" x14ac:dyDescent="0.2">
      <c r="A403" s="2">
        <v>15</v>
      </c>
      <c r="B403" s="1" t="s">
        <v>174</v>
      </c>
      <c r="C403" s="4">
        <v>16</v>
      </c>
      <c r="D403" s="8">
        <v>1.52</v>
      </c>
      <c r="E403" s="4">
        <v>14</v>
      </c>
      <c r="F403" s="8">
        <v>2.14</v>
      </c>
      <c r="G403" s="4">
        <v>2</v>
      </c>
      <c r="H403" s="8">
        <v>0.54</v>
      </c>
      <c r="I403" s="4">
        <v>0</v>
      </c>
    </row>
    <row r="404" spans="1:9" x14ac:dyDescent="0.2">
      <c r="A404" s="2">
        <v>15</v>
      </c>
      <c r="B404" s="1" t="s">
        <v>136</v>
      </c>
      <c r="C404" s="4">
        <v>16</v>
      </c>
      <c r="D404" s="8">
        <v>1.52</v>
      </c>
      <c r="E404" s="4">
        <v>14</v>
      </c>
      <c r="F404" s="8">
        <v>2.14</v>
      </c>
      <c r="G404" s="4">
        <v>2</v>
      </c>
      <c r="H404" s="8">
        <v>0.54</v>
      </c>
      <c r="I404" s="4">
        <v>0</v>
      </c>
    </row>
    <row r="405" spans="1:9" x14ac:dyDescent="0.2">
      <c r="A405" s="2">
        <v>15</v>
      </c>
      <c r="B405" s="1" t="s">
        <v>137</v>
      </c>
      <c r="C405" s="4">
        <v>16</v>
      </c>
      <c r="D405" s="8">
        <v>1.52</v>
      </c>
      <c r="E405" s="4">
        <v>14</v>
      </c>
      <c r="F405" s="8">
        <v>2.14</v>
      </c>
      <c r="G405" s="4">
        <v>2</v>
      </c>
      <c r="H405" s="8">
        <v>0.54</v>
      </c>
      <c r="I405" s="4">
        <v>0</v>
      </c>
    </row>
    <row r="406" spans="1:9" x14ac:dyDescent="0.2">
      <c r="A406" s="2">
        <v>18</v>
      </c>
      <c r="B406" s="1" t="s">
        <v>131</v>
      </c>
      <c r="C406" s="4">
        <v>15</v>
      </c>
      <c r="D406" s="8">
        <v>1.43</v>
      </c>
      <c r="E406" s="4">
        <v>5</v>
      </c>
      <c r="F406" s="8">
        <v>0.76</v>
      </c>
      <c r="G406" s="4">
        <v>10</v>
      </c>
      <c r="H406" s="8">
        <v>2.68</v>
      </c>
      <c r="I406" s="4">
        <v>0</v>
      </c>
    </row>
    <row r="407" spans="1:9" x14ac:dyDescent="0.2">
      <c r="A407" s="2">
        <v>19</v>
      </c>
      <c r="B407" s="1" t="s">
        <v>125</v>
      </c>
      <c r="C407" s="4">
        <v>14</v>
      </c>
      <c r="D407" s="8">
        <v>1.33</v>
      </c>
      <c r="E407" s="4">
        <v>1</v>
      </c>
      <c r="F407" s="8">
        <v>0.15</v>
      </c>
      <c r="G407" s="4">
        <v>13</v>
      </c>
      <c r="H407" s="8">
        <v>3.49</v>
      </c>
      <c r="I407" s="4">
        <v>0</v>
      </c>
    </row>
    <row r="408" spans="1:9" x14ac:dyDescent="0.2">
      <c r="A408" s="2">
        <v>20</v>
      </c>
      <c r="B408" s="1" t="s">
        <v>157</v>
      </c>
      <c r="C408" s="4">
        <v>13</v>
      </c>
      <c r="D408" s="8">
        <v>1.24</v>
      </c>
      <c r="E408" s="4">
        <v>5</v>
      </c>
      <c r="F408" s="8">
        <v>0.76</v>
      </c>
      <c r="G408" s="4">
        <v>8</v>
      </c>
      <c r="H408" s="8">
        <v>2.14</v>
      </c>
      <c r="I408" s="4">
        <v>0</v>
      </c>
    </row>
    <row r="409" spans="1:9" x14ac:dyDescent="0.2">
      <c r="A409" s="2">
        <v>20</v>
      </c>
      <c r="B409" s="1" t="s">
        <v>133</v>
      </c>
      <c r="C409" s="4">
        <v>13</v>
      </c>
      <c r="D409" s="8">
        <v>1.24</v>
      </c>
      <c r="E409" s="4">
        <v>7</v>
      </c>
      <c r="F409" s="8">
        <v>1.07</v>
      </c>
      <c r="G409" s="4">
        <v>6</v>
      </c>
      <c r="H409" s="8">
        <v>1.61</v>
      </c>
      <c r="I409" s="4">
        <v>0</v>
      </c>
    </row>
    <row r="410" spans="1:9" x14ac:dyDescent="0.2">
      <c r="A410" s="2">
        <v>20</v>
      </c>
      <c r="B410" s="1" t="s">
        <v>135</v>
      </c>
      <c r="C410" s="4">
        <v>13</v>
      </c>
      <c r="D410" s="8">
        <v>1.24</v>
      </c>
      <c r="E410" s="4">
        <v>6</v>
      </c>
      <c r="F410" s="8">
        <v>0.92</v>
      </c>
      <c r="G410" s="4">
        <v>7</v>
      </c>
      <c r="H410" s="8">
        <v>1.88</v>
      </c>
      <c r="I410" s="4">
        <v>0</v>
      </c>
    </row>
    <row r="411" spans="1:9" x14ac:dyDescent="0.2">
      <c r="A411" s="2">
        <v>20</v>
      </c>
      <c r="B411" s="1" t="s">
        <v>138</v>
      </c>
      <c r="C411" s="4">
        <v>13</v>
      </c>
      <c r="D411" s="8">
        <v>1.24</v>
      </c>
      <c r="E411" s="4">
        <v>13</v>
      </c>
      <c r="F411" s="8">
        <v>1.99</v>
      </c>
      <c r="G411" s="4">
        <v>0</v>
      </c>
      <c r="H411" s="8">
        <v>0</v>
      </c>
      <c r="I411" s="4">
        <v>0</v>
      </c>
    </row>
    <row r="412" spans="1:9" x14ac:dyDescent="0.2">
      <c r="A412" s="1"/>
      <c r="C412" s="4"/>
      <c r="D412" s="8"/>
      <c r="E412" s="4"/>
      <c r="F412" s="8"/>
      <c r="G412" s="4"/>
      <c r="H412" s="8"/>
      <c r="I412" s="4"/>
    </row>
    <row r="413" spans="1:9" x14ac:dyDescent="0.2">
      <c r="A413" s="1" t="s">
        <v>18</v>
      </c>
      <c r="C413" s="4"/>
      <c r="D413" s="8"/>
      <c r="E413" s="4"/>
      <c r="F413" s="8"/>
      <c r="G413" s="4"/>
      <c r="H413" s="8"/>
      <c r="I413" s="4"/>
    </row>
    <row r="414" spans="1:9" x14ac:dyDescent="0.2">
      <c r="A414" s="2">
        <v>1</v>
      </c>
      <c r="B414" s="1" t="s">
        <v>140</v>
      </c>
      <c r="C414" s="4">
        <v>43</v>
      </c>
      <c r="D414" s="8">
        <v>7.36</v>
      </c>
      <c r="E414" s="4">
        <v>42</v>
      </c>
      <c r="F414" s="8">
        <v>12.54</v>
      </c>
      <c r="G414" s="4">
        <v>1</v>
      </c>
      <c r="H414" s="8">
        <v>0.42</v>
      </c>
      <c r="I414" s="4">
        <v>0</v>
      </c>
    </row>
    <row r="415" spans="1:9" x14ac:dyDescent="0.2">
      <c r="A415" s="2">
        <v>2</v>
      </c>
      <c r="B415" s="1" t="s">
        <v>139</v>
      </c>
      <c r="C415" s="4">
        <v>28</v>
      </c>
      <c r="D415" s="8">
        <v>4.79</v>
      </c>
      <c r="E415" s="4">
        <v>28</v>
      </c>
      <c r="F415" s="8">
        <v>8.36</v>
      </c>
      <c r="G415" s="4">
        <v>0</v>
      </c>
      <c r="H415" s="8">
        <v>0</v>
      </c>
      <c r="I415" s="4">
        <v>0</v>
      </c>
    </row>
    <row r="416" spans="1:9" x14ac:dyDescent="0.2">
      <c r="A416" s="2">
        <v>3</v>
      </c>
      <c r="B416" s="1" t="s">
        <v>127</v>
      </c>
      <c r="C416" s="4">
        <v>26</v>
      </c>
      <c r="D416" s="8">
        <v>4.45</v>
      </c>
      <c r="E416" s="4">
        <v>13</v>
      </c>
      <c r="F416" s="8">
        <v>3.88</v>
      </c>
      <c r="G416" s="4">
        <v>13</v>
      </c>
      <c r="H416" s="8">
        <v>5.51</v>
      </c>
      <c r="I416" s="4">
        <v>0</v>
      </c>
    </row>
    <row r="417" spans="1:9" x14ac:dyDescent="0.2">
      <c r="A417" s="2">
        <v>4</v>
      </c>
      <c r="B417" s="1" t="s">
        <v>124</v>
      </c>
      <c r="C417" s="4">
        <v>20</v>
      </c>
      <c r="D417" s="8">
        <v>3.42</v>
      </c>
      <c r="E417" s="4">
        <v>0</v>
      </c>
      <c r="F417" s="8">
        <v>0</v>
      </c>
      <c r="G417" s="4">
        <v>20</v>
      </c>
      <c r="H417" s="8">
        <v>8.4700000000000006</v>
      </c>
      <c r="I417" s="4">
        <v>0</v>
      </c>
    </row>
    <row r="418" spans="1:9" x14ac:dyDescent="0.2">
      <c r="A418" s="2">
        <v>4</v>
      </c>
      <c r="B418" s="1" t="s">
        <v>130</v>
      </c>
      <c r="C418" s="4">
        <v>20</v>
      </c>
      <c r="D418" s="8">
        <v>3.42</v>
      </c>
      <c r="E418" s="4">
        <v>14</v>
      </c>
      <c r="F418" s="8">
        <v>4.18</v>
      </c>
      <c r="G418" s="4">
        <v>6</v>
      </c>
      <c r="H418" s="8">
        <v>2.54</v>
      </c>
      <c r="I418" s="4">
        <v>0</v>
      </c>
    </row>
    <row r="419" spans="1:9" x14ac:dyDescent="0.2">
      <c r="A419" s="2">
        <v>6</v>
      </c>
      <c r="B419" s="1" t="s">
        <v>129</v>
      </c>
      <c r="C419" s="4">
        <v>19</v>
      </c>
      <c r="D419" s="8">
        <v>3.25</v>
      </c>
      <c r="E419" s="4">
        <v>11</v>
      </c>
      <c r="F419" s="8">
        <v>3.28</v>
      </c>
      <c r="G419" s="4">
        <v>8</v>
      </c>
      <c r="H419" s="8">
        <v>3.39</v>
      </c>
      <c r="I419" s="4">
        <v>0</v>
      </c>
    </row>
    <row r="420" spans="1:9" x14ac:dyDescent="0.2">
      <c r="A420" s="2">
        <v>7</v>
      </c>
      <c r="B420" s="1" t="s">
        <v>136</v>
      </c>
      <c r="C420" s="4">
        <v>18</v>
      </c>
      <c r="D420" s="8">
        <v>3.08</v>
      </c>
      <c r="E420" s="4">
        <v>17</v>
      </c>
      <c r="F420" s="8">
        <v>5.07</v>
      </c>
      <c r="G420" s="4">
        <v>1</v>
      </c>
      <c r="H420" s="8">
        <v>0.42</v>
      </c>
      <c r="I420" s="4">
        <v>0</v>
      </c>
    </row>
    <row r="421" spans="1:9" x14ac:dyDescent="0.2">
      <c r="A421" s="2">
        <v>8</v>
      </c>
      <c r="B421" s="1" t="s">
        <v>143</v>
      </c>
      <c r="C421" s="4">
        <v>15</v>
      </c>
      <c r="D421" s="8">
        <v>2.57</v>
      </c>
      <c r="E421" s="4">
        <v>15</v>
      </c>
      <c r="F421" s="8">
        <v>4.4800000000000004</v>
      </c>
      <c r="G421" s="4">
        <v>0</v>
      </c>
      <c r="H421" s="8">
        <v>0</v>
      </c>
      <c r="I421" s="4">
        <v>0</v>
      </c>
    </row>
    <row r="422" spans="1:9" x14ac:dyDescent="0.2">
      <c r="A422" s="2">
        <v>9</v>
      </c>
      <c r="B422" s="1" t="s">
        <v>133</v>
      </c>
      <c r="C422" s="4">
        <v>14</v>
      </c>
      <c r="D422" s="8">
        <v>2.4</v>
      </c>
      <c r="E422" s="4">
        <v>8</v>
      </c>
      <c r="F422" s="8">
        <v>2.39</v>
      </c>
      <c r="G422" s="4">
        <v>6</v>
      </c>
      <c r="H422" s="8">
        <v>2.54</v>
      </c>
      <c r="I422" s="4">
        <v>0</v>
      </c>
    </row>
    <row r="423" spans="1:9" x14ac:dyDescent="0.2">
      <c r="A423" s="2">
        <v>9</v>
      </c>
      <c r="B423" s="1" t="s">
        <v>138</v>
      </c>
      <c r="C423" s="4">
        <v>14</v>
      </c>
      <c r="D423" s="8">
        <v>2.4</v>
      </c>
      <c r="E423" s="4">
        <v>12</v>
      </c>
      <c r="F423" s="8">
        <v>3.58</v>
      </c>
      <c r="G423" s="4">
        <v>2</v>
      </c>
      <c r="H423" s="8">
        <v>0.85</v>
      </c>
      <c r="I423" s="4">
        <v>0</v>
      </c>
    </row>
    <row r="424" spans="1:9" x14ac:dyDescent="0.2">
      <c r="A424" s="2">
        <v>11</v>
      </c>
      <c r="B424" s="1" t="s">
        <v>131</v>
      </c>
      <c r="C424" s="4">
        <v>11</v>
      </c>
      <c r="D424" s="8">
        <v>1.88</v>
      </c>
      <c r="E424" s="4">
        <v>5</v>
      </c>
      <c r="F424" s="8">
        <v>1.49</v>
      </c>
      <c r="G424" s="4">
        <v>6</v>
      </c>
      <c r="H424" s="8">
        <v>2.54</v>
      </c>
      <c r="I424" s="4">
        <v>0</v>
      </c>
    </row>
    <row r="425" spans="1:9" x14ac:dyDescent="0.2">
      <c r="A425" s="2">
        <v>11</v>
      </c>
      <c r="B425" s="1" t="s">
        <v>168</v>
      </c>
      <c r="C425" s="4">
        <v>11</v>
      </c>
      <c r="D425" s="8">
        <v>1.88</v>
      </c>
      <c r="E425" s="4">
        <v>4</v>
      </c>
      <c r="F425" s="8">
        <v>1.19</v>
      </c>
      <c r="G425" s="4">
        <v>7</v>
      </c>
      <c r="H425" s="8">
        <v>2.97</v>
      </c>
      <c r="I425" s="4">
        <v>0</v>
      </c>
    </row>
    <row r="426" spans="1:9" x14ac:dyDescent="0.2">
      <c r="A426" s="2">
        <v>13</v>
      </c>
      <c r="B426" s="1" t="s">
        <v>132</v>
      </c>
      <c r="C426" s="4">
        <v>10</v>
      </c>
      <c r="D426" s="8">
        <v>1.71</v>
      </c>
      <c r="E426" s="4">
        <v>1</v>
      </c>
      <c r="F426" s="8">
        <v>0.3</v>
      </c>
      <c r="G426" s="4">
        <v>9</v>
      </c>
      <c r="H426" s="8">
        <v>3.81</v>
      </c>
      <c r="I426" s="4">
        <v>0</v>
      </c>
    </row>
    <row r="427" spans="1:9" x14ac:dyDescent="0.2">
      <c r="A427" s="2">
        <v>13</v>
      </c>
      <c r="B427" s="1" t="s">
        <v>137</v>
      </c>
      <c r="C427" s="4">
        <v>10</v>
      </c>
      <c r="D427" s="8">
        <v>1.71</v>
      </c>
      <c r="E427" s="4">
        <v>9</v>
      </c>
      <c r="F427" s="8">
        <v>2.69</v>
      </c>
      <c r="G427" s="4">
        <v>1</v>
      </c>
      <c r="H427" s="8">
        <v>0.42</v>
      </c>
      <c r="I427" s="4">
        <v>0</v>
      </c>
    </row>
    <row r="428" spans="1:9" x14ac:dyDescent="0.2">
      <c r="A428" s="2">
        <v>13</v>
      </c>
      <c r="B428" s="1" t="s">
        <v>142</v>
      </c>
      <c r="C428" s="4">
        <v>10</v>
      </c>
      <c r="D428" s="8">
        <v>1.71</v>
      </c>
      <c r="E428" s="4">
        <v>10</v>
      </c>
      <c r="F428" s="8">
        <v>2.99</v>
      </c>
      <c r="G428" s="4">
        <v>0</v>
      </c>
      <c r="H428" s="8">
        <v>0</v>
      </c>
      <c r="I428" s="4">
        <v>0</v>
      </c>
    </row>
    <row r="429" spans="1:9" x14ac:dyDescent="0.2">
      <c r="A429" s="2">
        <v>16</v>
      </c>
      <c r="B429" s="1" t="s">
        <v>128</v>
      </c>
      <c r="C429" s="4">
        <v>9</v>
      </c>
      <c r="D429" s="8">
        <v>1.54</v>
      </c>
      <c r="E429" s="4">
        <v>8</v>
      </c>
      <c r="F429" s="8">
        <v>2.39</v>
      </c>
      <c r="G429" s="4">
        <v>1</v>
      </c>
      <c r="H429" s="8">
        <v>0.42</v>
      </c>
      <c r="I429" s="4">
        <v>0</v>
      </c>
    </row>
    <row r="430" spans="1:9" x14ac:dyDescent="0.2">
      <c r="A430" s="2">
        <v>16</v>
      </c>
      <c r="B430" s="1" t="s">
        <v>158</v>
      </c>
      <c r="C430" s="4">
        <v>9</v>
      </c>
      <c r="D430" s="8">
        <v>1.54</v>
      </c>
      <c r="E430" s="4">
        <v>7</v>
      </c>
      <c r="F430" s="8">
        <v>2.09</v>
      </c>
      <c r="G430" s="4">
        <v>2</v>
      </c>
      <c r="H430" s="8">
        <v>0.85</v>
      </c>
      <c r="I430" s="4">
        <v>0</v>
      </c>
    </row>
    <row r="431" spans="1:9" x14ac:dyDescent="0.2">
      <c r="A431" s="2">
        <v>16</v>
      </c>
      <c r="B431" s="1" t="s">
        <v>176</v>
      </c>
      <c r="C431" s="4">
        <v>9</v>
      </c>
      <c r="D431" s="8">
        <v>1.54</v>
      </c>
      <c r="E431" s="4">
        <v>0</v>
      </c>
      <c r="F431" s="8">
        <v>0</v>
      </c>
      <c r="G431" s="4">
        <v>9</v>
      </c>
      <c r="H431" s="8">
        <v>3.81</v>
      </c>
      <c r="I431" s="4">
        <v>0</v>
      </c>
    </row>
    <row r="432" spans="1:9" x14ac:dyDescent="0.2">
      <c r="A432" s="2">
        <v>19</v>
      </c>
      <c r="B432" s="1" t="s">
        <v>126</v>
      </c>
      <c r="C432" s="4">
        <v>8</v>
      </c>
      <c r="D432" s="8">
        <v>1.37</v>
      </c>
      <c r="E432" s="4">
        <v>4</v>
      </c>
      <c r="F432" s="8">
        <v>1.19</v>
      </c>
      <c r="G432" s="4">
        <v>4</v>
      </c>
      <c r="H432" s="8">
        <v>1.69</v>
      </c>
      <c r="I432" s="4">
        <v>0</v>
      </c>
    </row>
    <row r="433" spans="1:9" x14ac:dyDescent="0.2">
      <c r="A433" s="2">
        <v>19</v>
      </c>
      <c r="B433" s="1" t="s">
        <v>169</v>
      </c>
      <c r="C433" s="4">
        <v>8</v>
      </c>
      <c r="D433" s="8">
        <v>1.37</v>
      </c>
      <c r="E433" s="4">
        <v>2</v>
      </c>
      <c r="F433" s="8">
        <v>0.6</v>
      </c>
      <c r="G433" s="4">
        <v>6</v>
      </c>
      <c r="H433" s="8">
        <v>2.54</v>
      </c>
      <c r="I433" s="4">
        <v>0</v>
      </c>
    </row>
    <row r="434" spans="1:9" x14ac:dyDescent="0.2">
      <c r="A434" s="2">
        <v>19</v>
      </c>
      <c r="B434" s="1" t="s">
        <v>175</v>
      </c>
      <c r="C434" s="4">
        <v>8</v>
      </c>
      <c r="D434" s="8">
        <v>1.37</v>
      </c>
      <c r="E434" s="4">
        <v>1</v>
      </c>
      <c r="F434" s="8">
        <v>0.3</v>
      </c>
      <c r="G434" s="4">
        <v>7</v>
      </c>
      <c r="H434" s="8">
        <v>2.97</v>
      </c>
      <c r="I434" s="4">
        <v>0</v>
      </c>
    </row>
    <row r="435" spans="1:9" x14ac:dyDescent="0.2">
      <c r="A435" s="2">
        <v>19</v>
      </c>
      <c r="B435" s="1" t="s">
        <v>141</v>
      </c>
      <c r="C435" s="4">
        <v>8</v>
      </c>
      <c r="D435" s="8">
        <v>1.37</v>
      </c>
      <c r="E435" s="4">
        <v>7</v>
      </c>
      <c r="F435" s="8">
        <v>2.09</v>
      </c>
      <c r="G435" s="4">
        <v>1</v>
      </c>
      <c r="H435" s="8">
        <v>0.42</v>
      </c>
      <c r="I435" s="4">
        <v>0</v>
      </c>
    </row>
    <row r="436" spans="1:9" x14ac:dyDescent="0.2">
      <c r="A436" s="1"/>
      <c r="C436" s="4"/>
      <c r="D436" s="8"/>
      <c r="E436" s="4"/>
      <c r="F436" s="8"/>
      <c r="G436" s="4"/>
      <c r="H436" s="8"/>
      <c r="I436" s="4"/>
    </row>
    <row r="437" spans="1:9" x14ac:dyDescent="0.2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2">
      <c r="A438" s="2">
        <v>1</v>
      </c>
      <c r="B438" s="1" t="s">
        <v>140</v>
      </c>
      <c r="C438" s="4">
        <v>120</v>
      </c>
      <c r="D438" s="8">
        <v>7.65</v>
      </c>
      <c r="E438" s="4">
        <v>106</v>
      </c>
      <c r="F438" s="8">
        <v>12.86</v>
      </c>
      <c r="G438" s="4">
        <v>14</v>
      </c>
      <c r="H438" s="8">
        <v>1.95</v>
      </c>
      <c r="I438" s="4">
        <v>0</v>
      </c>
    </row>
    <row r="439" spans="1:9" x14ac:dyDescent="0.2">
      <c r="A439" s="2">
        <v>2</v>
      </c>
      <c r="B439" s="1" t="s">
        <v>142</v>
      </c>
      <c r="C439" s="4">
        <v>64</v>
      </c>
      <c r="D439" s="8">
        <v>4.08</v>
      </c>
      <c r="E439" s="4">
        <v>59</v>
      </c>
      <c r="F439" s="8">
        <v>7.16</v>
      </c>
      <c r="G439" s="4">
        <v>5</v>
      </c>
      <c r="H439" s="8">
        <v>0.7</v>
      </c>
      <c r="I439" s="4">
        <v>0</v>
      </c>
    </row>
    <row r="440" spans="1:9" x14ac:dyDescent="0.2">
      <c r="A440" s="2">
        <v>3</v>
      </c>
      <c r="B440" s="1" t="s">
        <v>139</v>
      </c>
      <c r="C440" s="4">
        <v>55</v>
      </c>
      <c r="D440" s="8">
        <v>3.51</v>
      </c>
      <c r="E440" s="4">
        <v>54</v>
      </c>
      <c r="F440" s="8">
        <v>6.55</v>
      </c>
      <c r="G440" s="4">
        <v>1</v>
      </c>
      <c r="H440" s="8">
        <v>0.14000000000000001</v>
      </c>
      <c r="I440" s="4">
        <v>0</v>
      </c>
    </row>
    <row r="441" spans="1:9" x14ac:dyDescent="0.2">
      <c r="A441" s="2">
        <v>4</v>
      </c>
      <c r="B441" s="1" t="s">
        <v>141</v>
      </c>
      <c r="C441" s="4">
        <v>50</v>
      </c>
      <c r="D441" s="8">
        <v>3.19</v>
      </c>
      <c r="E441" s="4">
        <v>39</v>
      </c>
      <c r="F441" s="8">
        <v>4.7300000000000004</v>
      </c>
      <c r="G441" s="4">
        <v>11</v>
      </c>
      <c r="H441" s="8">
        <v>1.53</v>
      </c>
      <c r="I441" s="4">
        <v>0</v>
      </c>
    </row>
    <row r="442" spans="1:9" x14ac:dyDescent="0.2">
      <c r="A442" s="2">
        <v>5</v>
      </c>
      <c r="B442" s="1" t="s">
        <v>130</v>
      </c>
      <c r="C442" s="4">
        <v>39</v>
      </c>
      <c r="D442" s="8">
        <v>2.4900000000000002</v>
      </c>
      <c r="E442" s="4">
        <v>22</v>
      </c>
      <c r="F442" s="8">
        <v>2.67</v>
      </c>
      <c r="G442" s="4">
        <v>17</v>
      </c>
      <c r="H442" s="8">
        <v>2.37</v>
      </c>
      <c r="I442" s="4">
        <v>0</v>
      </c>
    </row>
    <row r="443" spans="1:9" x14ac:dyDescent="0.2">
      <c r="A443" s="2">
        <v>6</v>
      </c>
      <c r="B443" s="1" t="s">
        <v>136</v>
      </c>
      <c r="C443" s="4">
        <v>36</v>
      </c>
      <c r="D443" s="8">
        <v>2.29</v>
      </c>
      <c r="E443" s="4">
        <v>30</v>
      </c>
      <c r="F443" s="8">
        <v>3.64</v>
      </c>
      <c r="G443" s="4">
        <v>6</v>
      </c>
      <c r="H443" s="8">
        <v>0.84</v>
      </c>
      <c r="I443" s="4">
        <v>0</v>
      </c>
    </row>
    <row r="444" spans="1:9" x14ac:dyDescent="0.2">
      <c r="A444" s="2">
        <v>7</v>
      </c>
      <c r="B444" s="1" t="s">
        <v>135</v>
      </c>
      <c r="C444" s="4">
        <v>34</v>
      </c>
      <c r="D444" s="8">
        <v>2.17</v>
      </c>
      <c r="E444" s="4">
        <v>8</v>
      </c>
      <c r="F444" s="8">
        <v>0.97</v>
      </c>
      <c r="G444" s="4">
        <v>26</v>
      </c>
      <c r="H444" s="8">
        <v>3.63</v>
      </c>
      <c r="I444" s="4">
        <v>0</v>
      </c>
    </row>
    <row r="445" spans="1:9" x14ac:dyDescent="0.2">
      <c r="A445" s="2">
        <v>8</v>
      </c>
      <c r="B445" s="1" t="s">
        <v>129</v>
      </c>
      <c r="C445" s="4">
        <v>32</v>
      </c>
      <c r="D445" s="8">
        <v>2.04</v>
      </c>
      <c r="E445" s="4">
        <v>21</v>
      </c>
      <c r="F445" s="8">
        <v>2.5499999999999998</v>
      </c>
      <c r="G445" s="4">
        <v>10</v>
      </c>
      <c r="H445" s="8">
        <v>1.39</v>
      </c>
      <c r="I445" s="4">
        <v>1</v>
      </c>
    </row>
    <row r="446" spans="1:9" x14ac:dyDescent="0.2">
      <c r="A446" s="2">
        <v>9</v>
      </c>
      <c r="B446" s="1" t="s">
        <v>133</v>
      </c>
      <c r="C446" s="4">
        <v>31</v>
      </c>
      <c r="D446" s="8">
        <v>1.98</v>
      </c>
      <c r="E446" s="4">
        <v>21</v>
      </c>
      <c r="F446" s="8">
        <v>2.5499999999999998</v>
      </c>
      <c r="G446" s="4">
        <v>10</v>
      </c>
      <c r="H446" s="8">
        <v>1.39</v>
      </c>
      <c r="I446" s="4">
        <v>0</v>
      </c>
    </row>
    <row r="447" spans="1:9" x14ac:dyDescent="0.2">
      <c r="A447" s="2">
        <v>10</v>
      </c>
      <c r="B447" s="1" t="s">
        <v>138</v>
      </c>
      <c r="C447" s="4">
        <v>30</v>
      </c>
      <c r="D447" s="8">
        <v>1.91</v>
      </c>
      <c r="E447" s="4">
        <v>30</v>
      </c>
      <c r="F447" s="8">
        <v>3.64</v>
      </c>
      <c r="G447" s="4">
        <v>0</v>
      </c>
      <c r="H447" s="8">
        <v>0</v>
      </c>
      <c r="I447" s="4">
        <v>0</v>
      </c>
    </row>
    <row r="448" spans="1:9" x14ac:dyDescent="0.2">
      <c r="A448" s="2">
        <v>11</v>
      </c>
      <c r="B448" s="1" t="s">
        <v>124</v>
      </c>
      <c r="C448" s="4">
        <v>28</v>
      </c>
      <c r="D448" s="8">
        <v>1.78</v>
      </c>
      <c r="E448" s="4">
        <v>4</v>
      </c>
      <c r="F448" s="8">
        <v>0.49</v>
      </c>
      <c r="G448" s="4">
        <v>24</v>
      </c>
      <c r="H448" s="8">
        <v>3.35</v>
      </c>
      <c r="I448" s="4">
        <v>0</v>
      </c>
    </row>
    <row r="449" spans="1:9" x14ac:dyDescent="0.2">
      <c r="A449" s="2">
        <v>12</v>
      </c>
      <c r="B449" s="1" t="s">
        <v>128</v>
      </c>
      <c r="C449" s="4">
        <v>27</v>
      </c>
      <c r="D449" s="8">
        <v>1.72</v>
      </c>
      <c r="E449" s="4">
        <v>12</v>
      </c>
      <c r="F449" s="8">
        <v>1.46</v>
      </c>
      <c r="G449" s="4">
        <v>15</v>
      </c>
      <c r="H449" s="8">
        <v>2.09</v>
      </c>
      <c r="I449" s="4">
        <v>0</v>
      </c>
    </row>
    <row r="450" spans="1:9" x14ac:dyDescent="0.2">
      <c r="A450" s="2">
        <v>13</v>
      </c>
      <c r="B450" s="1" t="s">
        <v>126</v>
      </c>
      <c r="C450" s="4">
        <v>26</v>
      </c>
      <c r="D450" s="8">
        <v>1.66</v>
      </c>
      <c r="E450" s="4">
        <v>7</v>
      </c>
      <c r="F450" s="8">
        <v>0.85</v>
      </c>
      <c r="G450" s="4">
        <v>19</v>
      </c>
      <c r="H450" s="8">
        <v>2.65</v>
      </c>
      <c r="I450" s="4">
        <v>0</v>
      </c>
    </row>
    <row r="451" spans="1:9" x14ac:dyDescent="0.2">
      <c r="A451" s="2">
        <v>14</v>
      </c>
      <c r="B451" s="1" t="s">
        <v>144</v>
      </c>
      <c r="C451" s="4">
        <v>25</v>
      </c>
      <c r="D451" s="8">
        <v>1.59</v>
      </c>
      <c r="E451" s="4">
        <v>9</v>
      </c>
      <c r="F451" s="8">
        <v>1.0900000000000001</v>
      </c>
      <c r="G451" s="4">
        <v>16</v>
      </c>
      <c r="H451" s="8">
        <v>2.23</v>
      </c>
      <c r="I451" s="4">
        <v>0</v>
      </c>
    </row>
    <row r="452" spans="1:9" x14ac:dyDescent="0.2">
      <c r="A452" s="2">
        <v>14</v>
      </c>
      <c r="B452" s="1" t="s">
        <v>137</v>
      </c>
      <c r="C452" s="4">
        <v>25</v>
      </c>
      <c r="D452" s="8">
        <v>1.59</v>
      </c>
      <c r="E452" s="4">
        <v>25</v>
      </c>
      <c r="F452" s="8">
        <v>3.03</v>
      </c>
      <c r="G452" s="4">
        <v>0</v>
      </c>
      <c r="H452" s="8">
        <v>0</v>
      </c>
      <c r="I452" s="4">
        <v>0</v>
      </c>
    </row>
    <row r="453" spans="1:9" x14ac:dyDescent="0.2">
      <c r="A453" s="2">
        <v>16</v>
      </c>
      <c r="B453" s="1" t="s">
        <v>131</v>
      </c>
      <c r="C453" s="4">
        <v>24</v>
      </c>
      <c r="D453" s="8">
        <v>1.53</v>
      </c>
      <c r="E453" s="4">
        <v>7</v>
      </c>
      <c r="F453" s="8">
        <v>0.85</v>
      </c>
      <c r="G453" s="4">
        <v>17</v>
      </c>
      <c r="H453" s="8">
        <v>2.37</v>
      </c>
      <c r="I453" s="4">
        <v>0</v>
      </c>
    </row>
    <row r="454" spans="1:9" x14ac:dyDescent="0.2">
      <c r="A454" s="2">
        <v>17</v>
      </c>
      <c r="B454" s="1" t="s">
        <v>156</v>
      </c>
      <c r="C454" s="4">
        <v>23</v>
      </c>
      <c r="D454" s="8">
        <v>1.47</v>
      </c>
      <c r="E454" s="4">
        <v>20</v>
      </c>
      <c r="F454" s="8">
        <v>2.4300000000000002</v>
      </c>
      <c r="G454" s="4">
        <v>3</v>
      </c>
      <c r="H454" s="8">
        <v>0.42</v>
      </c>
      <c r="I454" s="4">
        <v>0</v>
      </c>
    </row>
    <row r="455" spans="1:9" x14ac:dyDescent="0.2">
      <c r="A455" s="2">
        <v>17</v>
      </c>
      <c r="B455" s="1" t="s">
        <v>143</v>
      </c>
      <c r="C455" s="4">
        <v>23</v>
      </c>
      <c r="D455" s="8">
        <v>1.47</v>
      </c>
      <c r="E455" s="4">
        <v>17</v>
      </c>
      <c r="F455" s="8">
        <v>2.06</v>
      </c>
      <c r="G455" s="4">
        <v>6</v>
      </c>
      <c r="H455" s="8">
        <v>0.84</v>
      </c>
      <c r="I455" s="4">
        <v>0</v>
      </c>
    </row>
    <row r="456" spans="1:9" x14ac:dyDescent="0.2">
      <c r="A456" s="2">
        <v>19</v>
      </c>
      <c r="B456" s="1" t="s">
        <v>147</v>
      </c>
      <c r="C456" s="4">
        <v>21</v>
      </c>
      <c r="D456" s="8">
        <v>1.34</v>
      </c>
      <c r="E456" s="4">
        <v>11</v>
      </c>
      <c r="F456" s="8">
        <v>1.33</v>
      </c>
      <c r="G456" s="4">
        <v>10</v>
      </c>
      <c r="H456" s="8">
        <v>1.39</v>
      </c>
      <c r="I456" s="4">
        <v>0</v>
      </c>
    </row>
    <row r="457" spans="1:9" x14ac:dyDescent="0.2">
      <c r="A457" s="2">
        <v>19</v>
      </c>
      <c r="B457" s="1" t="s">
        <v>132</v>
      </c>
      <c r="C457" s="4">
        <v>21</v>
      </c>
      <c r="D457" s="8">
        <v>1.34</v>
      </c>
      <c r="E457" s="4">
        <v>2</v>
      </c>
      <c r="F457" s="8">
        <v>0.24</v>
      </c>
      <c r="G457" s="4">
        <v>19</v>
      </c>
      <c r="H457" s="8">
        <v>2.65</v>
      </c>
      <c r="I457" s="4">
        <v>0</v>
      </c>
    </row>
    <row r="458" spans="1:9" x14ac:dyDescent="0.2">
      <c r="A458" s="2">
        <v>19</v>
      </c>
      <c r="B458" s="1" t="s">
        <v>134</v>
      </c>
      <c r="C458" s="4">
        <v>21</v>
      </c>
      <c r="D458" s="8">
        <v>1.34</v>
      </c>
      <c r="E458" s="4">
        <v>4</v>
      </c>
      <c r="F458" s="8">
        <v>0.49</v>
      </c>
      <c r="G458" s="4">
        <v>17</v>
      </c>
      <c r="H458" s="8">
        <v>2.37</v>
      </c>
      <c r="I458" s="4">
        <v>0</v>
      </c>
    </row>
    <row r="459" spans="1:9" x14ac:dyDescent="0.2">
      <c r="A459" s="1"/>
      <c r="C459" s="4"/>
      <c r="D459" s="8"/>
      <c r="E459" s="4"/>
      <c r="F459" s="8"/>
      <c r="G459" s="4"/>
      <c r="H459" s="8"/>
      <c r="I459" s="4"/>
    </row>
    <row r="460" spans="1:9" x14ac:dyDescent="0.2">
      <c r="A460" s="1" t="s">
        <v>20</v>
      </c>
      <c r="C460" s="4"/>
      <c r="D460" s="8"/>
      <c r="E460" s="4"/>
      <c r="F460" s="8"/>
      <c r="G460" s="4"/>
      <c r="H460" s="8"/>
      <c r="I460" s="4"/>
    </row>
    <row r="461" spans="1:9" x14ac:dyDescent="0.2">
      <c r="A461" s="2">
        <v>1</v>
      </c>
      <c r="B461" s="1" t="s">
        <v>158</v>
      </c>
      <c r="C461" s="4">
        <v>10</v>
      </c>
      <c r="D461" s="8">
        <v>34.479999999999997</v>
      </c>
      <c r="E461" s="4">
        <v>10</v>
      </c>
      <c r="F461" s="8">
        <v>58.82</v>
      </c>
      <c r="G461" s="4">
        <v>0</v>
      </c>
      <c r="H461" s="8">
        <v>0</v>
      </c>
      <c r="I461" s="4">
        <v>0</v>
      </c>
    </row>
    <row r="462" spans="1:9" x14ac:dyDescent="0.2">
      <c r="A462" s="2">
        <v>2</v>
      </c>
      <c r="B462" s="1" t="s">
        <v>127</v>
      </c>
      <c r="C462" s="4">
        <v>4</v>
      </c>
      <c r="D462" s="8">
        <v>13.79</v>
      </c>
      <c r="E462" s="4">
        <v>4</v>
      </c>
      <c r="F462" s="8">
        <v>23.53</v>
      </c>
      <c r="G462" s="4">
        <v>0</v>
      </c>
      <c r="H462" s="8">
        <v>0</v>
      </c>
      <c r="I462" s="4">
        <v>0</v>
      </c>
    </row>
    <row r="463" spans="1:9" x14ac:dyDescent="0.2">
      <c r="A463" s="2">
        <v>2</v>
      </c>
      <c r="B463" s="1" t="s">
        <v>184</v>
      </c>
      <c r="C463" s="4">
        <v>4</v>
      </c>
      <c r="D463" s="8">
        <v>13.79</v>
      </c>
      <c r="E463" s="4">
        <v>0</v>
      </c>
      <c r="F463" s="8">
        <v>0</v>
      </c>
      <c r="G463" s="4">
        <v>0</v>
      </c>
      <c r="H463" s="8">
        <v>0</v>
      </c>
      <c r="I463" s="4">
        <v>0</v>
      </c>
    </row>
    <row r="464" spans="1:9" x14ac:dyDescent="0.2">
      <c r="A464" s="2">
        <v>4</v>
      </c>
      <c r="B464" s="1" t="s">
        <v>177</v>
      </c>
      <c r="C464" s="4">
        <v>1</v>
      </c>
      <c r="D464" s="8">
        <v>3.45</v>
      </c>
      <c r="E464" s="4">
        <v>0</v>
      </c>
      <c r="F464" s="8">
        <v>0</v>
      </c>
      <c r="G464" s="4">
        <v>0</v>
      </c>
      <c r="H464" s="8">
        <v>0</v>
      </c>
      <c r="I464" s="4">
        <v>1</v>
      </c>
    </row>
    <row r="465" spans="1:9" x14ac:dyDescent="0.2">
      <c r="A465" s="2">
        <v>4</v>
      </c>
      <c r="B465" s="1" t="s">
        <v>178</v>
      </c>
      <c r="C465" s="4">
        <v>1</v>
      </c>
      <c r="D465" s="8">
        <v>3.45</v>
      </c>
      <c r="E465" s="4">
        <v>0</v>
      </c>
      <c r="F465" s="8">
        <v>0</v>
      </c>
      <c r="G465" s="4">
        <v>1</v>
      </c>
      <c r="H465" s="8">
        <v>33.33</v>
      </c>
      <c r="I465" s="4">
        <v>0</v>
      </c>
    </row>
    <row r="466" spans="1:9" x14ac:dyDescent="0.2">
      <c r="A466" s="2">
        <v>4</v>
      </c>
      <c r="B466" s="1" t="s">
        <v>179</v>
      </c>
      <c r="C466" s="4">
        <v>1</v>
      </c>
      <c r="D466" s="8">
        <v>3.45</v>
      </c>
      <c r="E466" s="4">
        <v>0</v>
      </c>
      <c r="F466" s="8">
        <v>0</v>
      </c>
      <c r="G466" s="4">
        <v>0</v>
      </c>
      <c r="H466" s="8">
        <v>0</v>
      </c>
      <c r="I466" s="4">
        <v>0</v>
      </c>
    </row>
    <row r="467" spans="1:9" x14ac:dyDescent="0.2">
      <c r="A467" s="2">
        <v>4</v>
      </c>
      <c r="B467" s="1" t="s">
        <v>180</v>
      </c>
      <c r="C467" s="4">
        <v>1</v>
      </c>
      <c r="D467" s="8">
        <v>3.45</v>
      </c>
      <c r="E467" s="4">
        <v>0</v>
      </c>
      <c r="F467" s="8">
        <v>0</v>
      </c>
      <c r="G467" s="4">
        <v>0</v>
      </c>
      <c r="H467" s="8">
        <v>0</v>
      </c>
      <c r="I467" s="4">
        <v>0</v>
      </c>
    </row>
    <row r="468" spans="1:9" x14ac:dyDescent="0.2">
      <c r="A468" s="2">
        <v>4</v>
      </c>
      <c r="B468" s="1" t="s">
        <v>181</v>
      </c>
      <c r="C468" s="4">
        <v>1</v>
      </c>
      <c r="D468" s="8">
        <v>3.45</v>
      </c>
      <c r="E468" s="4">
        <v>0</v>
      </c>
      <c r="F468" s="8">
        <v>0</v>
      </c>
      <c r="G468" s="4">
        <v>0</v>
      </c>
      <c r="H468" s="8">
        <v>0</v>
      </c>
      <c r="I468" s="4">
        <v>0</v>
      </c>
    </row>
    <row r="469" spans="1:9" x14ac:dyDescent="0.2">
      <c r="A469" s="2">
        <v>4</v>
      </c>
      <c r="B469" s="1" t="s">
        <v>160</v>
      </c>
      <c r="C469" s="4">
        <v>1</v>
      </c>
      <c r="D469" s="8">
        <v>3.45</v>
      </c>
      <c r="E469" s="4">
        <v>1</v>
      </c>
      <c r="F469" s="8">
        <v>5.88</v>
      </c>
      <c r="G469" s="4">
        <v>0</v>
      </c>
      <c r="H469" s="8">
        <v>0</v>
      </c>
      <c r="I469" s="4">
        <v>0</v>
      </c>
    </row>
    <row r="470" spans="1:9" x14ac:dyDescent="0.2">
      <c r="A470" s="2">
        <v>4</v>
      </c>
      <c r="B470" s="1" t="s">
        <v>128</v>
      </c>
      <c r="C470" s="4">
        <v>1</v>
      </c>
      <c r="D470" s="8">
        <v>3.45</v>
      </c>
      <c r="E470" s="4">
        <v>0</v>
      </c>
      <c r="F470" s="8">
        <v>0</v>
      </c>
      <c r="G470" s="4">
        <v>0</v>
      </c>
      <c r="H470" s="8">
        <v>0</v>
      </c>
      <c r="I470" s="4">
        <v>1</v>
      </c>
    </row>
    <row r="471" spans="1:9" x14ac:dyDescent="0.2">
      <c r="A471" s="2">
        <v>4</v>
      </c>
      <c r="B471" s="1" t="s">
        <v>129</v>
      </c>
      <c r="C471" s="4">
        <v>1</v>
      </c>
      <c r="D471" s="8">
        <v>3.45</v>
      </c>
      <c r="E471" s="4">
        <v>1</v>
      </c>
      <c r="F471" s="8">
        <v>5.88</v>
      </c>
      <c r="G471" s="4">
        <v>0</v>
      </c>
      <c r="H471" s="8">
        <v>0</v>
      </c>
      <c r="I471" s="4">
        <v>0</v>
      </c>
    </row>
    <row r="472" spans="1:9" x14ac:dyDescent="0.2">
      <c r="A472" s="2">
        <v>4</v>
      </c>
      <c r="B472" s="1" t="s">
        <v>133</v>
      </c>
      <c r="C472" s="4">
        <v>1</v>
      </c>
      <c r="D472" s="8">
        <v>3.45</v>
      </c>
      <c r="E472" s="4">
        <v>0</v>
      </c>
      <c r="F472" s="8">
        <v>0</v>
      </c>
      <c r="G472" s="4">
        <v>1</v>
      </c>
      <c r="H472" s="8">
        <v>33.33</v>
      </c>
      <c r="I472" s="4">
        <v>0</v>
      </c>
    </row>
    <row r="473" spans="1:9" x14ac:dyDescent="0.2">
      <c r="A473" s="2">
        <v>4</v>
      </c>
      <c r="B473" s="1" t="s">
        <v>182</v>
      </c>
      <c r="C473" s="4">
        <v>1</v>
      </c>
      <c r="D473" s="8">
        <v>3.45</v>
      </c>
      <c r="E473" s="4">
        <v>0</v>
      </c>
      <c r="F473" s="8">
        <v>0</v>
      </c>
      <c r="G473" s="4">
        <v>1</v>
      </c>
      <c r="H473" s="8">
        <v>33.33</v>
      </c>
      <c r="I473" s="4">
        <v>0</v>
      </c>
    </row>
    <row r="474" spans="1:9" x14ac:dyDescent="0.2">
      <c r="A474" s="2">
        <v>4</v>
      </c>
      <c r="B474" s="1" t="s">
        <v>183</v>
      </c>
      <c r="C474" s="4">
        <v>1</v>
      </c>
      <c r="D474" s="8">
        <v>3.45</v>
      </c>
      <c r="E474" s="4">
        <v>1</v>
      </c>
      <c r="F474" s="8">
        <v>5.88</v>
      </c>
      <c r="G474" s="4">
        <v>0</v>
      </c>
      <c r="H474" s="8">
        <v>0</v>
      </c>
      <c r="I474" s="4">
        <v>0</v>
      </c>
    </row>
    <row r="475" spans="1:9" x14ac:dyDescent="0.2">
      <c r="A475" s="1"/>
      <c r="C475" s="4"/>
      <c r="D475" s="8"/>
      <c r="E475" s="4"/>
      <c r="F475" s="8"/>
      <c r="G475" s="4"/>
      <c r="H475" s="8"/>
      <c r="I475" s="4"/>
    </row>
    <row r="476" spans="1:9" x14ac:dyDescent="0.2">
      <c r="A476" s="1" t="s">
        <v>21</v>
      </c>
      <c r="C476" s="4"/>
      <c r="D476" s="8"/>
      <c r="E476" s="4"/>
      <c r="F476" s="8"/>
      <c r="G476" s="4"/>
      <c r="H476" s="8"/>
      <c r="I476" s="4"/>
    </row>
    <row r="477" spans="1:9" x14ac:dyDescent="0.2">
      <c r="A477" s="2">
        <v>1</v>
      </c>
      <c r="B477" s="1" t="s">
        <v>183</v>
      </c>
      <c r="C477" s="4">
        <v>21</v>
      </c>
      <c r="D477" s="8">
        <v>43.75</v>
      </c>
      <c r="E477" s="4">
        <v>21</v>
      </c>
      <c r="F477" s="8">
        <v>65.63</v>
      </c>
      <c r="G477" s="4">
        <v>0</v>
      </c>
      <c r="H477" s="8">
        <v>0</v>
      </c>
      <c r="I477" s="4">
        <v>0</v>
      </c>
    </row>
    <row r="478" spans="1:9" x14ac:dyDescent="0.2">
      <c r="A478" s="2">
        <v>2</v>
      </c>
      <c r="B478" s="1" t="s">
        <v>158</v>
      </c>
      <c r="C478" s="4">
        <v>6</v>
      </c>
      <c r="D478" s="8">
        <v>12.5</v>
      </c>
      <c r="E478" s="4">
        <v>6</v>
      </c>
      <c r="F478" s="8">
        <v>18.75</v>
      </c>
      <c r="G478" s="4">
        <v>0</v>
      </c>
      <c r="H478" s="8">
        <v>0</v>
      </c>
      <c r="I478" s="4">
        <v>0</v>
      </c>
    </row>
    <row r="479" spans="1:9" x14ac:dyDescent="0.2">
      <c r="A479" s="2">
        <v>2</v>
      </c>
      <c r="B479" s="1" t="s">
        <v>187</v>
      </c>
      <c r="C479" s="4">
        <v>6</v>
      </c>
      <c r="D479" s="8">
        <v>12.5</v>
      </c>
      <c r="E479" s="4">
        <v>0</v>
      </c>
      <c r="F479" s="8">
        <v>0</v>
      </c>
      <c r="G479" s="4">
        <v>0</v>
      </c>
      <c r="H479" s="8">
        <v>0</v>
      </c>
      <c r="I479" s="4">
        <v>0</v>
      </c>
    </row>
    <row r="480" spans="1:9" x14ac:dyDescent="0.2">
      <c r="A480" s="2">
        <v>4</v>
      </c>
      <c r="B480" s="1" t="s">
        <v>188</v>
      </c>
      <c r="C480" s="4">
        <v>5</v>
      </c>
      <c r="D480" s="8">
        <v>10.42</v>
      </c>
      <c r="E480" s="4">
        <v>0</v>
      </c>
      <c r="F480" s="8">
        <v>0</v>
      </c>
      <c r="G480" s="4">
        <v>1</v>
      </c>
      <c r="H480" s="8">
        <v>16.670000000000002</v>
      </c>
      <c r="I480" s="4">
        <v>0</v>
      </c>
    </row>
    <row r="481" spans="1:9" x14ac:dyDescent="0.2">
      <c r="A481" s="2">
        <v>5</v>
      </c>
      <c r="B481" s="1" t="s">
        <v>149</v>
      </c>
      <c r="C481" s="4">
        <v>3</v>
      </c>
      <c r="D481" s="8">
        <v>6.25</v>
      </c>
      <c r="E481" s="4">
        <v>0</v>
      </c>
      <c r="F481" s="8">
        <v>0</v>
      </c>
      <c r="G481" s="4">
        <v>3</v>
      </c>
      <c r="H481" s="8">
        <v>50</v>
      </c>
      <c r="I481" s="4">
        <v>0</v>
      </c>
    </row>
    <row r="482" spans="1:9" x14ac:dyDescent="0.2">
      <c r="A482" s="2">
        <v>5</v>
      </c>
      <c r="B482" s="1" t="s">
        <v>132</v>
      </c>
      <c r="C482" s="4">
        <v>3</v>
      </c>
      <c r="D482" s="8">
        <v>6.25</v>
      </c>
      <c r="E482" s="4">
        <v>3</v>
      </c>
      <c r="F482" s="8">
        <v>9.3800000000000008</v>
      </c>
      <c r="G482" s="4">
        <v>0</v>
      </c>
      <c r="H482" s="8">
        <v>0</v>
      </c>
      <c r="I482" s="4">
        <v>0</v>
      </c>
    </row>
    <row r="483" spans="1:9" x14ac:dyDescent="0.2">
      <c r="A483" s="2">
        <v>7</v>
      </c>
      <c r="B483" s="1" t="s">
        <v>177</v>
      </c>
      <c r="C483" s="4">
        <v>1</v>
      </c>
      <c r="D483" s="8">
        <v>2.08</v>
      </c>
      <c r="E483" s="4">
        <v>1</v>
      </c>
      <c r="F483" s="8">
        <v>3.13</v>
      </c>
      <c r="G483" s="4">
        <v>0</v>
      </c>
      <c r="H483" s="8">
        <v>0</v>
      </c>
      <c r="I483" s="4">
        <v>0</v>
      </c>
    </row>
    <row r="484" spans="1:9" x14ac:dyDescent="0.2">
      <c r="A484" s="2">
        <v>7</v>
      </c>
      <c r="B484" s="1" t="s">
        <v>185</v>
      </c>
      <c r="C484" s="4">
        <v>1</v>
      </c>
      <c r="D484" s="8">
        <v>2.08</v>
      </c>
      <c r="E484" s="4">
        <v>1</v>
      </c>
      <c r="F484" s="8">
        <v>3.13</v>
      </c>
      <c r="G484" s="4">
        <v>0</v>
      </c>
      <c r="H484" s="8">
        <v>0</v>
      </c>
      <c r="I484" s="4">
        <v>0</v>
      </c>
    </row>
    <row r="485" spans="1:9" x14ac:dyDescent="0.2">
      <c r="A485" s="2">
        <v>7</v>
      </c>
      <c r="B485" s="1" t="s">
        <v>186</v>
      </c>
      <c r="C485" s="4">
        <v>1</v>
      </c>
      <c r="D485" s="8">
        <v>2.08</v>
      </c>
      <c r="E485" s="4">
        <v>0</v>
      </c>
      <c r="F485" s="8">
        <v>0</v>
      </c>
      <c r="G485" s="4">
        <v>1</v>
      </c>
      <c r="H485" s="8">
        <v>16.670000000000002</v>
      </c>
      <c r="I485" s="4">
        <v>0</v>
      </c>
    </row>
    <row r="486" spans="1:9" x14ac:dyDescent="0.2">
      <c r="A486" s="2">
        <v>7</v>
      </c>
      <c r="B486" s="1" t="s">
        <v>129</v>
      </c>
      <c r="C486" s="4">
        <v>1</v>
      </c>
      <c r="D486" s="8">
        <v>2.08</v>
      </c>
      <c r="E486" s="4">
        <v>0</v>
      </c>
      <c r="F486" s="8">
        <v>0</v>
      </c>
      <c r="G486" s="4">
        <v>1</v>
      </c>
      <c r="H486" s="8">
        <v>16.670000000000002</v>
      </c>
      <c r="I486" s="4">
        <v>0</v>
      </c>
    </row>
    <row r="487" spans="1:9" x14ac:dyDescent="0.2">
      <c r="A487" s="1"/>
      <c r="C487" s="4"/>
      <c r="D487" s="8"/>
      <c r="E487" s="4"/>
      <c r="F487" s="8"/>
      <c r="G487" s="4"/>
      <c r="H487" s="8"/>
      <c r="I487" s="4"/>
    </row>
    <row r="488" spans="1:9" x14ac:dyDescent="0.2">
      <c r="A488" s="1" t="s">
        <v>22</v>
      </c>
      <c r="C488" s="4"/>
      <c r="D488" s="8"/>
      <c r="E488" s="4"/>
      <c r="F488" s="8"/>
      <c r="G488" s="4"/>
      <c r="H488" s="8"/>
      <c r="I488" s="4"/>
    </row>
    <row r="489" spans="1:9" x14ac:dyDescent="0.2">
      <c r="A489" s="2">
        <v>1</v>
      </c>
      <c r="B489" s="1" t="s">
        <v>140</v>
      </c>
      <c r="C489" s="4">
        <v>36</v>
      </c>
      <c r="D489" s="8">
        <v>5.37</v>
      </c>
      <c r="E489" s="4">
        <v>35</v>
      </c>
      <c r="F489" s="8">
        <v>7.99</v>
      </c>
      <c r="G489" s="4">
        <v>1</v>
      </c>
      <c r="H489" s="8">
        <v>0.47</v>
      </c>
      <c r="I489" s="4">
        <v>0</v>
      </c>
    </row>
    <row r="490" spans="1:9" x14ac:dyDescent="0.2">
      <c r="A490" s="2">
        <v>2</v>
      </c>
      <c r="B490" s="1" t="s">
        <v>139</v>
      </c>
      <c r="C490" s="4">
        <v>29</v>
      </c>
      <c r="D490" s="8">
        <v>4.33</v>
      </c>
      <c r="E490" s="4">
        <v>29</v>
      </c>
      <c r="F490" s="8">
        <v>6.62</v>
      </c>
      <c r="G490" s="4">
        <v>0</v>
      </c>
      <c r="H490" s="8">
        <v>0</v>
      </c>
      <c r="I490" s="4">
        <v>0</v>
      </c>
    </row>
    <row r="491" spans="1:9" x14ac:dyDescent="0.2">
      <c r="A491" s="2">
        <v>3</v>
      </c>
      <c r="B491" s="1" t="s">
        <v>129</v>
      </c>
      <c r="C491" s="4">
        <v>23</v>
      </c>
      <c r="D491" s="8">
        <v>3.43</v>
      </c>
      <c r="E491" s="4">
        <v>17</v>
      </c>
      <c r="F491" s="8">
        <v>3.88</v>
      </c>
      <c r="G491" s="4">
        <v>6</v>
      </c>
      <c r="H491" s="8">
        <v>2.79</v>
      </c>
      <c r="I491" s="4">
        <v>0</v>
      </c>
    </row>
    <row r="492" spans="1:9" x14ac:dyDescent="0.2">
      <c r="A492" s="2">
        <v>3</v>
      </c>
      <c r="B492" s="1" t="s">
        <v>130</v>
      </c>
      <c r="C492" s="4">
        <v>23</v>
      </c>
      <c r="D492" s="8">
        <v>3.43</v>
      </c>
      <c r="E492" s="4">
        <v>19</v>
      </c>
      <c r="F492" s="8">
        <v>4.34</v>
      </c>
      <c r="G492" s="4">
        <v>4</v>
      </c>
      <c r="H492" s="8">
        <v>1.86</v>
      </c>
      <c r="I492" s="4">
        <v>0</v>
      </c>
    </row>
    <row r="493" spans="1:9" x14ac:dyDescent="0.2">
      <c r="A493" s="2">
        <v>5</v>
      </c>
      <c r="B493" s="1" t="s">
        <v>137</v>
      </c>
      <c r="C493" s="4">
        <v>20</v>
      </c>
      <c r="D493" s="8">
        <v>2.99</v>
      </c>
      <c r="E493" s="4">
        <v>19</v>
      </c>
      <c r="F493" s="8">
        <v>4.34</v>
      </c>
      <c r="G493" s="4">
        <v>1</v>
      </c>
      <c r="H493" s="8">
        <v>0.47</v>
      </c>
      <c r="I493" s="4">
        <v>0</v>
      </c>
    </row>
    <row r="494" spans="1:9" x14ac:dyDescent="0.2">
      <c r="A494" s="2">
        <v>5</v>
      </c>
      <c r="B494" s="1" t="s">
        <v>143</v>
      </c>
      <c r="C494" s="4">
        <v>20</v>
      </c>
      <c r="D494" s="8">
        <v>2.99</v>
      </c>
      <c r="E494" s="4">
        <v>16</v>
      </c>
      <c r="F494" s="8">
        <v>3.65</v>
      </c>
      <c r="G494" s="4">
        <v>4</v>
      </c>
      <c r="H494" s="8">
        <v>1.86</v>
      </c>
      <c r="I494" s="4">
        <v>0</v>
      </c>
    </row>
    <row r="495" spans="1:9" x14ac:dyDescent="0.2">
      <c r="A495" s="2">
        <v>7</v>
      </c>
      <c r="B495" s="1" t="s">
        <v>134</v>
      </c>
      <c r="C495" s="4">
        <v>19</v>
      </c>
      <c r="D495" s="8">
        <v>2.84</v>
      </c>
      <c r="E495" s="4">
        <v>14</v>
      </c>
      <c r="F495" s="8">
        <v>3.2</v>
      </c>
      <c r="G495" s="4">
        <v>5</v>
      </c>
      <c r="H495" s="8">
        <v>2.33</v>
      </c>
      <c r="I495" s="4">
        <v>0</v>
      </c>
    </row>
    <row r="496" spans="1:9" x14ac:dyDescent="0.2">
      <c r="A496" s="2">
        <v>8</v>
      </c>
      <c r="B496" s="1" t="s">
        <v>150</v>
      </c>
      <c r="C496" s="4">
        <v>17</v>
      </c>
      <c r="D496" s="8">
        <v>2.54</v>
      </c>
      <c r="E496" s="4">
        <v>11</v>
      </c>
      <c r="F496" s="8">
        <v>2.5099999999999998</v>
      </c>
      <c r="G496" s="4">
        <v>6</v>
      </c>
      <c r="H496" s="8">
        <v>2.79</v>
      </c>
      <c r="I496" s="4">
        <v>0</v>
      </c>
    </row>
    <row r="497" spans="1:9" x14ac:dyDescent="0.2">
      <c r="A497" s="2">
        <v>9</v>
      </c>
      <c r="B497" s="1" t="s">
        <v>132</v>
      </c>
      <c r="C497" s="4">
        <v>15</v>
      </c>
      <c r="D497" s="8">
        <v>2.2400000000000002</v>
      </c>
      <c r="E497" s="4">
        <v>5</v>
      </c>
      <c r="F497" s="8">
        <v>1.1399999999999999</v>
      </c>
      <c r="G497" s="4">
        <v>10</v>
      </c>
      <c r="H497" s="8">
        <v>4.6500000000000004</v>
      </c>
      <c r="I497" s="4">
        <v>0</v>
      </c>
    </row>
    <row r="498" spans="1:9" x14ac:dyDescent="0.2">
      <c r="A498" s="2">
        <v>10</v>
      </c>
      <c r="B498" s="1" t="s">
        <v>157</v>
      </c>
      <c r="C498" s="4">
        <v>14</v>
      </c>
      <c r="D498" s="8">
        <v>2.09</v>
      </c>
      <c r="E498" s="4">
        <v>9</v>
      </c>
      <c r="F498" s="8">
        <v>2.0499999999999998</v>
      </c>
      <c r="G498" s="4">
        <v>5</v>
      </c>
      <c r="H498" s="8">
        <v>2.33</v>
      </c>
      <c r="I498" s="4">
        <v>0</v>
      </c>
    </row>
    <row r="499" spans="1:9" x14ac:dyDescent="0.2">
      <c r="A499" s="2">
        <v>11</v>
      </c>
      <c r="B499" s="1" t="s">
        <v>136</v>
      </c>
      <c r="C499" s="4">
        <v>13</v>
      </c>
      <c r="D499" s="8">
        <v>1.94</v>
      </c>
      <c r="E499" s="4">
        <v>13</v>
      </c>
      <c r="F499" s="8">
        <v>2.97</v>
      </c>
      <c r="G499" s="4">
        <v>0</v>
      </c>
      <c r="H499" s="8">
        <v>0</v>
      </c>
      <c r="I499" s="4">
        <v>0</v>
      </c>
    </row>
    <row r="500" spans="1:9" x14ac:dyDescent="0.2">
      <c r="A500" s="2">
        <v>11</v>
      </c>
      <c r="B500" s="1" t="s">
        <v>141</v>
      </c>
      <c r="C500" s="4">
        <v>13</v>
      </c>
      <c r="D500" s="8">
        <v>1.94</v>
      </c>
      <c r="E500" s="4">
        <v>12</v>
      </c>
      <c r="F500" s="8">
        <v>2.74</v>
      </c>
      <c r="G500" s="4">
        <v>1</v>
      </c>
      <c r="H500" s="8">
        <v>0.47</v>
      </c>
      <c r="I500" s="4">
        <v>0</v>
      </c>
    </row>
    <row r="501" spans="1:9" x14ac:dyDescent="0.2">
      <c r="A501" s="2">
        <v>13</v>
      </c>
      <c r="B501" s="1" t="s">
        <v>133</v>
      </c>
      <c r="C501" s="4">
        <v>12</v>
      </c>
      <c r="D501" s="8">
        <v>1.79</v>
      </c>
      <c r="E501" s="4">
        <v>8</v>
      </c>
      <c r="F501" s="8">
        <v>1.83</v>
      </c>
      <c r="G501" s="4">
        <v>3</v>
      </c>
      <c r="H501" s="8">
        <v>1.4</v>
      </c>
      <c r="I501" s="4">
        <v>1</v>
      </c>
    </row>
    <row r="502" spans="1:9" x14ac:dyDescent="0.2">
      <c r="A502" s="2">
        <v>13</v>
      </c>
      <c r="B502" s="1" t="s">
        <v>138</v>
      </c>
      <c r="C502" s="4">
        <v>12</v>
      </c>
      <c r="D502" s="8">
        <v>1.79</v>
      </c>
      <c r="E502" s="4">
        <v>12</v>
      </c>
      <c r="F502" s="8">
        <v>2.74</v>
      </c>
      <c r="G502" s="4">
        <v>0</v>
      </c>
      <c r="H502" s="8">
        <v>0</v>
      </c>
      <c r="I502" s="4">
        <v>0</v>
      </c>
    </row>
    <row r="503" spans="1:9" x14ac:dyDescent="0.2">
      <c r="A503" s="2">
        <v>15</v>
      </c>
      <c r="B503" s="1" t="s">
        <v>124</v>
      </c>
      <c r="C503" s="4">
        <v>11</v>
      </c>
      <c r="D503" s="8">
        <v>1.64</v>
      </c>
      <c r="E503" s="4">
        <v>0</v>
      </c>
      <c r="F503" s="8">
        <v>0</v>
      </c>
      <c r="G503" s="4">
        <v>11</v>
      </c>
      <c r="H503" s="8">
        <v>5.12</v>
      </c>
      <c r="I503" s="4">
        <v>0</v>
      </c>
    </row>
    <row r="504" spans="1:9" x14ac:dyDescent="0.2">
      <c r="A504" s="2">
        <v>15</v>
      </c>
      <c r="B504" s="1" t="s">
        <v>135</v>
      </c>
      <c r="C504" s="4">
        <v>11</v>
      </c>
      <c r="D504" s="8">
        <v>1.64</v>
      </c>
      <c r="E504" s="4">
        <v>3</v>
      </c>
      <c r="F504" s="8">
        <v>0.68</v>
      </c>
      <c r="G504" s="4">
        <v>7</v>
      </c>
      <c r="H504" s="8">
        <v>3.26</v>
      </c>
      <c r="I504" s="4">
        <v>0</v>
      </c>
    </row>
    <row r="505" spans="1:9" x14ac:dyDescent="0.2">
      <c r="A505" s="2">
        <v>15</v>
      </c>
      <c r="B505" s="1" t="s">
        <v>156</v>
      </c>
      <c r="C505" s="4">
        <v>11</v>
      </c>
      <c r="D505" s="8">
        <v>1.64</v>
      </c>
      <c r="E505" s="4">
        <v>10</v>
      </c>
      <c r="F505" s="8">
        <v>2.2799999999999998</v>
      </c>
      <c r="G505" s="4">
        <v>1</v>
      </c>
      <c r="H505" s="8">
        <v>0.47</v>
      </c>
      <c r="I505" s="4">
        <v>0</v>
      </c>
    </row>
    <row r="506" spans="1:9" x14ac:dyDescent="0.2">
      <c r="A506" s="2">
        <v>15</v>
      </c>
      <c r="B506" s="1" t="s">
        <v>148</v>
      </c>
      <c r="C506" s="4">
        <v>11</v>
      </c>
      <c r="D506" s="8">
        <v>1.64</v>
      </c>
      <c r="E506" s="4">
        <v>11</v>
      </c>
      <c r="F506" s="8">
        <v>2.5099999999999998</v>
      </c>
      <c r="G506" s="4">
        <v>0</v>
      </c>
      <c r="H506" s="8">
        <v>0</v>
      </c>
      <c r="I506" s="4">
        <v>0</v>
      </c>
    </row>
    <row r="507" spans="1:9" x14ac:dyDescent="0.2">
      <c r="A507" s="2">
        <v>19</v>
      </c>
      <c r="B507" s="1" t="s">
        <v>126</v>
      </c>
      <c r="C507" s="4">
        <v>10</v>
      </c>
      <c r="D507" s="8">
        <v>1.49</v>
      </c>
      <c r="E507" s="4">
        <v>6</v>
      </c>
      <c r="F507" s="8">
        <v>1.37</v>
      </c>
      <c r="G507" s="4">
        <v>4</v>
      </c>
      <c r="H507" s="8">
        <v>1.86</v>
      </c>
      <c r="I507" s="4">
        <v>0</v>
      </c>
    </row>
    <row r="508" spans="1:9" x14ac:dyDescent="0.2">
      <c r="A508" s="2">
        <v>19</v>
      </c>
      <c r="B508" s="1" t="s">
        <v>142</v>
      </c>
      <c r="C508" s="4">
        <v>10</v>
      </c>
      <c r="D508" s="8">
        <v>1.49</v>
      </c>
      <c r="E508" s="4">
        <v>10</v>
      </c>
      <c r="F508" s="8">
        <v>2.2799999999999998</v>
      </c>
      <c r="G508" s="4">
        <v>0</v>
      </c>
      <c r="H508" s="8">
        <v>0</v>
      </c>
      <c r="I508" s="4">
        <v>0</v>
      </c>
    </row>
    <row r="509" spans="1:9" x14ac:dyDescent="0.2">
      <c r="A509" s="1"/>
      <c r="C509" s="4"/>
      <c r="D509" s="8"/>
      <c r="E509" s="4"/>
      <c r="F509" s="8"/>
      <c r="G509" s="4"/>
      <c r="H509" s="8"/>
      <c r="I509" s="4"/>
    </row>
    <row r="510" spans="1:9" x14ac:dyDescent="0.2">
      <c r="A510" s="1" t="s">
        <v>23</v>
      </c>
      <c r="C510" s="4"/>
      <c r="D510" s="8"/>
      <c r="E510" s="4"/>
      <c r="F510" s="8"/>
      <c r="G510" s="4"/>
      <c r="H510" s="8"/>
      <c r="I510" s="4"/>
    </row>
    <row r="511" spans="1:9" x14ac:dyDescent="0.2">
      <c r="A511" s="2">
        <v>1</v>
      </c>
      <c r="B511" s="1" t="s">
        <v>124</v>
      </c>
      <c r="C511" s="4">
        <v>14</v>
      </c>
      <c r="D511" s="8">
        <v>5.3</v>
      </c>
      <c r="E511" s="4">
        <v>1</v>
      </c>
      <c r="F511" s="8">
        <v>0.65</v>
      </c>
      <c r="G511" s="4">
        <v>13</v>
      </c>
      <c r="H511" s="8">
        <v>12.62</v>
      </c>
      <c r="I511" s="4">
        <v>0</v>
      </c>
    </row>
    <row r="512" spans="1:9" x14ac:dyDescent="0.2">
      <c r="A512" s="2">
        <v>1</v>
      </c>
      <c r="B512" s="1" t="s">
        <v>127</v>
      </c>
      <c r="C512" s="4">
        <v>14</v>
      </c>
      <c r="D512" s="8">
        <v>5.3</v>
      </c>
      <c r="E512" s="4">
        <v>12</v>
      </c>
      <c r="F512" s="8">
        <v>7.79</v>
      </c>
      <c r="G512" s="4">
        <v>2</v>
      </c>
      <c r="H512" s="8">
        <v>1.94</v>
      </c>
      <c r="I512" s="4">
        <v>0</v>
      </c>
    </row>
    <row r="513" spans="1:9" x14ac:dyDescent="0.2">
      <c r="A513" s="2">
        <v>3</v>
      </c>
      <c r="B513" s="1" t="s">
        <v>140</v>
      </c>
      <c r="C513" s="4">
        <v>13</v>
      </c>
      <c r="D513" s="8">
        <v>4.92</v>
      </c>
      <c r="E513" s="4">
        <v>13</v>
      </c>
      <c r="F513" s="8">
        <v>8.44</v>
      </c>
      <c r="G513" s="4">
        <v>0</v>
      </c>
      <c r="H513" s="8">
        <v>0</v>
      </c>
      <c r="I513" s="4">
        <v>0</v>
      </c>
    </row>
    <row r="514" spans="1:9" x14ac:dyDescent="0.2">
      <c r="A514" s="2">
        <v>4</v>
      </c>
      <c r="B514" s="1" t="s">
        <v>129</v>
      </c>
      <c r="C514" s="4">
        <v>9</v>
      </c>
      <c r="D514" s="8">
        <v>3.41</v>
      </c>
      <c r="E514" s="4">
        <v>8</v>
      </c>
      <c r="F514" s="8">
        <v>5.19</v>
      </c>
      <c r="G514" s="4">
        <v>1</v>
      </c>
      <c r="H514" s="8">
        <v>0.97</v>
      </c>
      <c r="I514" s="4">
        <v>0</v>
      </c>
    </row>
    <row r="515" spans="1:9" x14ac:dyDescent="0.2">
      <c r="A515" s="2">
        <v>4</v>
      </c>
      <c r="B515" s="1" t="s">
        <v>132</v>
      </c>
      <c r="C515" s="4">
        <v>9</v>
      </c>
      <c r="D515" s="8">
        <v>3.41</v>
      </c>
      <c r="E515" s="4">
        <v>5</v>
      </c>
      <c r="F515" s="8">
        <v>3.25</v>
      </c>
      <c r="G515" s="4">
        <v>4</v>
      </c>
      <c r="H515" s="8">
        <v>3.88</v>
      </c>
      <c r="I515" s="4">
        <v>0</v>
      </c>
    </row>
    <row r="516" spans="1:9" x14ac:dyDescent="0.2">
      <c r="A516" s="2">
        <v>4</v>
      </c>
      <c r="B516" s="1" t="s">
        <v>139</v>
      </c>
      <c r="C516" s="4">
        <v>9</v>
      </c>
      <c r="D516" s="8">
        <v>3.41</v>
      </c>
      <c r="E516" s="4">
        <v>9</v>
      </c>
      <c r="F516" s="8">
        <v>5.84</v>
      </c>
      <c r="G516" s="4">
        <v>0</v>
      </c>
      <c r="H516" s="8">
        <v>0</v>
      </c>
      <c r="I516" s="4">
        <v>0</v>
      </c>
    </row>
    <row r="517" spans="1:9" x14ac:dyDescent="0.2">
      <c r="A517" s="2">
        <v>7</v>
      </c>
      <c r="B517" s="1" t="s">
        <v>157</v>
      </c>
      <c r="C517" s="4">
        <v>7</v>
      </c>
      <c r="D517" s="8">
        <v>2.65</v>
      </c>
      <c r="E517" s="4">
        <v>4</v>
      </c>
      <c r="F517" s="8">
        <v>2.6</v>
      </c>
      <c r="G517" s="4">
        <v>3</v>
      </c>
      <c r="H517" s="8">
        <v>2.91</v>
      </c>
      <c r="I517" s="4">
        <v>0</v>
      </c>
    </row>
    <row r="518" spans="1:9" x14ac:dyDescent="0.2">
      <c r="A518" s="2">
        <v>7</v>
      </c>
      <c r="B518" s="1" t="s">
        <v>158</v>
      </c>
      <c r="C518" s="4">
        <v>7</v>
      </c>
      <c r="D518" s="8">
        <v>2.65</v>
      </c>
      <c r="E518" s="4">
        <v>7</v>
      </c>
      <c r="F518" s="8">
        <v>4.55</v>
      </c>
      <c r="G518" s="4">
        <v>0</v>
      </c>
      <c r="H518" s="8">
        <v>0</v>
      </c>
      <c r="I518" s="4">
        <v>0</v>
      </c>
    </row>
    <row r="519" spans="1:9" x14ac:dyDescent="0.2">
      <c r="A519" s="2">
        <v>7</v>
      </c>
      <c r="B519" s="1" t="s">
        <v>143</v>
      </c>
      <c r="C519" s="4">
        <v>7</v>
      </c>
      <c r="D519" s="8">
        <v>2.65</v>
      </c>
      <c r="E519" s="4">
        <v>6</v>
      </c>
      <c r="F519" s="8">
        <v>3.9</v>
      </c>
      <c r="G519" s="4">
        <v>1</v>
      </c>
      <c r="H519" s="8">
        <v>0.97</v>
      </c>
      <c r="I519" s="4">
        <v>0</v>
      </c>
    </row>
    <row r="520" spans="1:9" x14ac:dyDescent="0.2">
      <c r="A520" s="2">
        <v>10</v>
      </c>
      <c r="B520" s="1" t="s">
        <v>125</v>
      </c>
      <c r="C520" s="4">
        <v>6</v>
      </c>
      <c r="D520" s="8">
        <v>2.27</v>
      </c>
      <c r="E520" s="4">
        <v>1</v>
      </c>
      <c r="F520" s="8">
        <v>0.65</v>
      </c>
      <c r="G520" s="4">
        <v>5</v>
      </c>
      <c r="H520" s="8">
        <v>4.8499999999999996</v>
      </c>
      <c r="I520" s="4">
        <v>0</v>
      </c>
    </row>
    <row r="521" spans="1:9" x14ac:dyDescent="0.2">
      <c r="A521" s="2">
        <v>10</v>
      </c>
      <c r="B521" s="1" t="s">
        <v>130</v>
      </c>
      <c r="C521" s="4">
        <v>6</v>
      </c>
      <c r="D521" s="8">
        <v>2.27</v>
      </c>
      <c r="E521" s="4">
        <v>5</v>
      </c>
      <c r="F521" s="8">
        <v>3.25</v>
      </c>
      <c r="G521" s="4">
        <v>1</v>
      </c>
      <c r="H521" s="8">
        <v>0.97</v>
      </c>
      <c r="I521" s="4">
        <v>0</v>
      </c>
    </row>
    <row r="522" spans="1:9" x14ac:dyDescent="0.2">
      <c r="A522" s="2">
        <v>10</v>
      </c>
      <c r="B522" s="1" t="s">
        <v>136</v>
      </c>
      <c r="C522" s="4">
        <v>6</v>
      </c>
      <c r="D522" s="8">
        <v>2.27</v>
      </c>
      <c r="E522" s="4">
        <v>5</v>
      </c>
      <c r="F522" s="8">
        <v>3.25</v>
      </c>
      <c r="G522" s="4">
        <v>1</v>
      </c>
      <c r="H522" s="8">
        <v>0.97</v>
      </c>
      <c r="I522" s="4">
        <v>0</v>
      </c>
    </row>
    <row r="523" spans="1:9" x14ac:dyDescent="0.2">
      <c r="A523" s="2">
        <v>13</v>
      </c>
      <c r="B523" s="1" t="s">
        <v>192</v>
      </c>
      <c r="C523" s="4">
        <v>5</v>
      </c>
      <c r="D523" s="8">
        <v>1.89</v>
      </c>
      <c r="E523" s="4">
        <v>2</v>
      </c>
      <c r="F523" s="8">
        <v>1.3</v>
      </c>
      <c r="G523" s="4">
        <v>3</v>
      </c>
      <c r="H523" s="8">
        <v>2.91</v>
      </c>
      <c r="I523" s="4">
        <v>0</v>
      </c>
    </row>
    <row r="524" spans="1:9" x14ac:dyDescent="0.2">
      <c r="A524" s="2">
        <v>13</v>
      </c>
      <c r="B524" s="1" t="s">
        <v>160</v>
      </c>
      <c r="C524" s="4">
        <v>5</v>
      </c>
      <c r="D524" s="8">
        <v>1.89</v>
      </c>
      <c r="E524" s="4">
        <v>5</v>
      </c>
      <c r="F524" s="8">
        <v>3.25</v>
      </c>
      <c r="G524" s="4">
        <v>0</v>
      </c>
      <c r="H524" s="8">
        <v>0</v>
      </c>
      <c r="I524" s="4">
        <v>0</v>
      </c>
    </row>
    <row r="525" spans="1:9" x14ac:dyDescent="0.2">
      <c r="A525" s="2">
        <v>15</v>
      </c>
      <c r="B525" s="1" t="s">
        <v>189</v>
      </c>
      <c r="C525" s="4">
        <v>4</v>
      </c>
      <c r="D525" s="8">
        <v>1.52</v>
      </c>
      <c r="E525" s="4">
        <v>3</v>
      </c>
      <c r="F525" s="8">
        <v>1.95</v>
      </c>
      <c r="G525" s="4">
        <v>1</v>
      </c>
      <c r="H525" s="8">
        <v>0.97</v>
      </c>
      <c r="I525" s="4">
        <v>0</v>
      </c>
    </row>
    <row r="526" spans="1:9" x14ac:dyDescent="0.2">
      <c r="A526" s="2">
        <v>15</v>
      </c>
      <c r="B526" s="1" t="s">
        <v>126</v>
      </c>
      <c r="C526" s="4">
        <v>4</v>
      </c>
      <c r="D526" s="8">
        <v>1.52</v>
      </c>
      <c r="E526" s="4">
        <v>2</v>
      </c>
      <c r="F526" s="8">
        <v>1.3</v>
      </c>
      <c r="G526" s="4">
        <v>2</v>
      </c>
      <c r="H526" s="8">
        <v>1.94</v>
      </c>
      <c r="I526" s="4">
        <v>0</v>
      </c>
    </row>
    <row r="527" spans="1:9" x14ac:dyDescent="0.2">
      <c r="A527" s="2">
        <v>15</v>
      </c>
      <c r="B527" s="1" t="s">
        <v>149</v>
      </c>
      <c r="C527" s="4">
        <v>4</v>
      </c>
      <c r="D527" s="8">
        <v>1.52</v>
      </c>
      <c r="E527" s="4">
        <v>1</v>
      </c>
      <c r="F527" s="8">
        <v>0.65</v>
      </c>
      <c r="G527" s="4">
        <v>2</v>
      </c>
      <c r="H527" s="8">
        <v>1.94</v>
      </c>
      <c r="I527" s="4">
        <v>1</v>
      </c>
    </row>
    <row r="528" spans="1:9" x14ac:dyDescent="0.2">
      <c r="A528" s="2">
        <v>15</v>
      </c>
      <c r="B528" s="1" t="s">
        <v>190</v>
      </c>
      <c r="C528" s="4">
        <v>4</v>
      </c>
      <c r="D528" s="8">
        <v>1.52</v>
      </c>
      <c r="E528" s="4">
        <v>4</v>
      </c>
      <c r="F528" s="8">
        <v>2.6</v>
      </c>
      <c r="G528" s="4">
        <v>0</v>
      </c>
      <c r="H528" s="8">
        <v>0</v>
      </c>
      <c r="I528" s="4">
        <v>0</v>
      </c>
    </row>
    <row r="529" spans="1:9" x14ac:dyDescent="0.2">
      <c r="A529" s="2">
        <v>15</v>
      </c>
      <c r="B529" s="1" t="s">
        <v>179</v>
      </c>
      <c r="C529" s="4">
        <v>4</v>
      </c>
      <c r="D529" s="8">
        <v>1.52</v>
      </c>
      <c r="E529" s="4">
        <v>0</v>
      </c>
      <c r="F529" s="8">
        <v>0</v>
      </c>
      <c r="G529" s="4">
        <v>4</v>
      </c>
      <c r="H529" s="8">
        <v>3.88</v>
      </c>
      <c r="I529" s="4">
        <v>0</v>
      </c>
    </row>
    <row r="530" spans="1:9" x14ac:dyDescent="0.2">
      <c r="A530" s="2">
        <v>15</v>
      </c>
      <c r="B530" s="1" t="s">
        <v>191</v>
      </c>
      <c r="C530" s="4">
        <v>4</v>
      </c>
      <c r="D530" s="8">
        <v>1.52</v>
      </c>
      <c r="E530" s="4">
        <v>0</v>
      </c>
      <c r="F530" s="8">
        <v>0</v>
      </c>
      <c r="G530" s="4">
        <v>4</v>
      </c>
      <c r="H530" s="8">
        <v>3.88</v>
      </c>
      <c r="I530" s="4">
        <v>0</v>
      </c>
    </row>
    <row r="531" spans="1:9" x14ac:dyDescent="0.2">
      <c r="A531" s="2">
        <v>15</v>
      </c>
      <c r="B531" s="1" t="s">
        <v>133</v>
      </c>
      <c r="C531" s="4">
        <v>4</v>
      </c>
      <c r="D531" s="8">
        <v>1.52</v>
      </c>
      <c r="E531" s="4">
        <v>2</v>
      </c>
      <c r="F531" s="8">
        <v>1.3</v>
      </c>
      <c r="G531" s="4">
        <v>2</v>
      </c>
      <c r="H531" s="8">
        <v>1.94</v>
      </c>
      <c r="I531" s="4">
        <v>0</v>
      </c>
    </row>
    <row r="532" spans="1:9" x14ac:dyDescent="0.2">
      <c r="A532" s="1"/>
      <c r="C532" s="4"/>
      <c r="D532" s="8"/>
      <c r="E532" s="4"/>
      <c r="F532" s="8"/>
      <c r="G532" s="4"/>
      <c r="H532" s="8"/>
      <c r="I532" s="4"/>
    </row>
    <row r="533" spans="1:9" x14ac:dyDescent="0.2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2">
      <c r="A534" s="2">
        <v>1</v>
      </c>
      <c r="B534" s="1" t="s">
        <v>130</v>
      </c>
      <c r="C534" s="4">
        <v>11</v>
      </c>
      <c r="D534" s="8">
        <v>3.85</v>
      </c>
      <c r="E534" s="4">
        <v>7</v>
      </c>
      <c r="F534" s="8">
        <v>3.95</v>
      </c>
      <c r="G534" s="4">
        <v>4</v>
      </c>
      <c r="H534" s="8">
        <v>3.81</v>
      </c>
      <c r="I534" s="4">
        <v>0</v>
      </c>
    </row>
    <row r="535" spans="1:9" x14ac:dyDescent="0.2">
      <c r="A535" s="2">
        <v>1</v>
      </c>
      <c r="B535" s="1" t="s">
        <v>140</v>
      </c>
      <c r="C535" s="4">
        <v>11</v>
      </c>
      <c r="D535" s="8">
        <v>3.85</v>
      </c>
      <c r="E535" s="4">
        <v>11</v>
      </c>
      <c r="F535" s="8">
        <v>6.21</v>
      </c>
      <c r="G535" s="4">
        <v>0</v>
      </c>
      <c r="H535" s="8">
        <v>0</v>
      </c>
      <c r="I535" s="4">
        <v>0</v>
      </c>
    </row>
    <row r="536" spans="1:9" x14ac:dyDescent="0.2">
      <c r="A536" s="2">
        <v>3</v>
      </c>
      <c r="B536" s="1" t="s">
        <v>129</v>
      </c>
      <c r="C536" s="4">
        <v>10</v>
      </c>
      <c r="D536" s="8">
        <v>3.5</v>
      </c>
      <c r="E536" s="4">
        <v>9</v>
      </c>
      <c r="F536" s="8">
        <v>5.08</v>
      </c>
      <c r="G536" s="4">
        <v>1</v>
      </c>
      <c r="H536" s="8">
        <v>0.95</v>
      </c>
      <c r="I536" s="4">
        <v>0</v>
      </c>
    </row>
    <row r="537" spans="1:9" x14ac:dyDescent="0.2">
      <c r="A537" s="2">
        <v>4</v>
      </c>
      <c r="B537" s="1" t="s">
        <v>124</v>
      </c>
      <c r="C537" s="4">
        <v>9</v>
      </c>
      <c r="D537" s="8">
        <v>3.15</v>
      </c>
      <c r="E537" s="4">
        <v>0</v>
      </c>
      <c r="F537" s="8">
        <v>0</v>
      </c>
      <c r="G537" s="4">
        <v>9</v>
      </c>
      <c r="H537" s="8">
        <v>8.57</v>
      </c>
      <c r="I537" s="4">
        <v>0</v>
      </c>
    </row>
    <row r="538" spans="1:9" x14ac:dyDescent="0.2">
      <c r="A538" s="2">
        <v>4</v>
      </c>
      <c r="B538" s="1" t="s">
        <v>132</v>
      </c>
      <c r="C538" s="4">
        <v>9</v>
      </c>
      <c r="D538" s="8">
        <v>3.15</v>
      </c>
      <c r="E538" s="4">
        <v>2</v>
      </c>
      <c r="F538" s="8">
        <v>1.1299999999999999</v>
      </c>
      <c r="G538" s="4">
        <v>7</v>
      </c>
      <c r="H538" s="8">
        <v>6.67</v>
      </c>
      <c r="I538" s="4">
        <v>0</v>
      </c>
    </row>
    <row r="539" spans="1:9" x14ac:dyDescent="0.2">
      <c r="A539" s="2">
        <v>4</v>
      </c>
      <c r="B539" s="1" t="s">
        <v>141</v>
      </c>
      <c r="C539" s="4">
        <v>9</v>
      </c>
      <c r="D539" s="8">
        <v>3.15</v>
      </c>
      <c r="E539" s="4">
        <v>9</v>
      </c>
      <c r="F539" s="8">
        <v>5.08</v>
      </c>
      <c r="G539" s="4">
        <v>0</v>
      </c>
      <c r="H539" s="8">
        <v>0</v>
      </c>
      <c r="I539" s="4">
        <v>0</v>
      </c>
    </row>
    <row r="540" spans="1:9" x14ac:dyDescent="0.2">
      <c r="A540" s="2">
        <v>7</v>
      </c>
      <c r="B540" s="1" t="s">
        <v>133</v>
      </c>
      <c r="C540" s="4">
        <v>8</v>
      </c>
      <c r="D540" s="8">
        <v>2.8</v>
      </c>
      <c r="E540" s="4">
        <v>6</v>
      </c>
      <c r="F540" s="8">
        <v>3.39</v>
      </c>
      <c r="G540" s="4">
        <v>2</v>
      </c>
      <c r="H540" s="8">
        <v>1.9</v>
      </c>
      <c r="I540" s="4">
        <v>0</v>
      </c>
    </row>
    <row r="541" spans="1:9" x14ac:dyDescent="0.2">
      <c r="A541" s="2">
        <v>7</v>
      </c>
      <c r="B541" s="1" t="s">
        <v>136</v>
      </c>
      <c r="C541" s="4">
        <v>8</v>
      </c>
      <c r="D541" s="8">
        <v>2.8</v>
      </c>
      <c r="E541" s="4">
        <v>6</v>
      </c>
      <c r="F541" s="8">
        <v>3.39</v>
      </c>
      <c r="G541" s="4">
        <v>2</v>
      </c>
      <c r="H541" s="8">
        <v>1.9</v>
      </c>
      <c r="I541" s="4">
        <v>0</v>
      </c>
    </row>
    <row r="542" spans="1:9" x14ac:dyDescent="0.2">
      <c r="A542" s="2">
        <v>7</v>
      </c>
      <c r="B542" s="1" t="s">
        <v>196</v>
      </c>
      <c r="C542" s="4">
        <v>8</v>
      </c>
      <c r="D542" s="8">
        <v>2.8</v>
      </c>
      <c r="E542" s="4">
        <v>7</v>
      </c>
      <c r="F542" s="8">
        <v>3.95</v>
      </c>
      <c r="G542" s="4">
        <v>1</v>
      </c>
      <c r="H542" s="8">
        <v>0.95</v>
      </c>
      <c r="I542" s="4">
        <v>0</v>
      </c>
    </row>
    <row r="543" spans="1:9" x14ac:dyDescent="0.2">
      <c r="A543" s="2">
        <v>10</v>
      </c>
      <c r="B543" s="1" t="s">
        <v>125</v>
      </c>
      <c r="C543" s="4">
        <v>7</v>
      </c>
      <c r="D543" s="8">
        <v>2.4500000000000002</v>
      </c>
      <c r="E543" s="4">
        <v>0</v>
      </c>
      <c r="F543" s="8">
        <v>0</v>
      </c>
      <c r="G543" s="4">
        <v>7</v>
      </c>
      <c r="H543" s="8">
        <v>6.67</v>
      </c>
      <c r="I543" s="4">
        <v>0</v>
      </c>
    </row>
    <row r="544" spans="1:9" x14ac:dyDescent="0.2">
      <c r="A544" s="2">
        <v>10</v>
      </c>
      <c r="B544" s="1" t="s">
        <v>131</v>
      </c>
      <c r="C544" s="4">
        <v>7</v>
      </c>
      <c r="D544" s="8">
        <v>2.4500000000000002</v>
      </c>
      <c r="E544" s="4">
        <v>3</v>
      </c>
      <c r="F544" s="8">
        <v>1.69</v>
      </c>
      <c r="G544" s="4">
        <v>4</v>
      </c>
      <c r="H544" s="8">
        <v>3.81</v>
      </c>
      <c r="I544" s="4">
        <v>0</v>
      </c>
    </row>
    <row r="545" spans="1:9" x14ac:dyDescent="0.2">
      <c r="A545" s="2">
        <v>10</v>
      </c>
      <c r="B545" s="1" t="s">
        <v>139</v>
      </c>
      <c r="C545" s="4">
        <v>7</v>
      </c>
      <c r="D545" s="8">
        <v>2.4500000000000002</v>
      </c>
      <c r="E545" s="4">
        <v>7</v>
      </c>
      <c r="F545" s="8">
        <v>3.95</v>
      </c>
      <c r="G545" s="4">
        <v>0</v>
      </c>
      <c r="H545" s="8">
        <v>0</v>
      </c>
      <c r="I545" s="4">
        <v>0</v>
      </c>
    </row>
    <row r="546" spans="1:9" x14ac:dyDescent="0.2">
      <c r="A546" s="2">
        <v>13</v>
      </c>
      <c r="B546" s="1" t="s">
        <v>193</v>
      </c>
      <c r="C546" s="4">
        <v>6</v>
      </c>
      <c r="D546" s="8">
        <v>2.1</v>
      </c>
      <c r="E546" s="4">
        <v>3</v>
      </c>
      <c r="F546" s="8">
        <v>1.69</v>
      </c>
      <c r="G546" s="4">
        <v>3</v>
      </c>
      <c r="H546" s="8">
        <v>2.86</v>
      </c>
      <c r="I546" s="4">
        <v>0</v>
      </c>
    </row>
    <row r="547" spans="1:9" x14ac:dyDescent="0.2">
      <c r="A547" s="2">
        <v>13</v>
      </c>
      <c r="B547" s="1" t="s">
        <v>142</v>
      </c>
      <c r="C547" s="4">
        <v>6</v>
      </c>
      <c r="D547" s="8">
        <v>2.1</v>
      </c>
      <c r="E547" s="4">
        <v>6</v>
      </c>
      <c r="F547" s="8">
        <v>3.39</v>
      </c>
      <c r="G547" s="4">
        <v>0</v>
      </c>
      <c r="H547" s="8">
        <v>0</v>
      </c>
      <c r="I547" s="4">
        <v>0</v>
      </c>
    </row>
    <row r="548" spans="1:9" x14ac:dyDescent="0.2">
      <c r="A548" s="2">
        <v>15</v>
      </c>
      <c r="B548" s="1" t="s">
        <v>128</v>
      </c>
      <c r="C548" s="4">
        <v>5</v>
      </c>
      <c r="D548" s="8">
        <v>1.75</v>
      </c>
      <c r="E548" s="4">
        <v>4</v>
      </c>
      <c r="F548" s="8">
        <v>2.2599999999999998</v>
      </c>
      <c r="G548" s="4">
        <v>1</v>
      </c>
      <c r="H548" s="8">
        <v>0.95</v>
      </c>
      <c r="I548" s="4">
        <v>0</v>
      </c>
    </row>
    <row r="549" spans="1:9" x14ac:dyDescent="0.2">
      <c r="A549" s="2">
        <v>16</v>
      </c>
      <c r="B549" s="1" t="s">
        <v>194</v>
      </c>
      <c r="C549" s="4">
        <v>4</v>
      </c>
      <c r="D549" s="8">
        <v>1.4</v>
      </c>
      <c r="E549" s="4">
        <v>1</v>
      </c>
      <c r="F549" s="8">
        <v>0.56000000000000005</v>
      </c>
      <c r="G549" s="4">
        <v>3</v>
      </c>
      <c r="H549" s="8">
        <v>2.86</v>
      </c>
      <c r="I549" s="4">
        <v>0</v>
      </c>
    </row>
    <row r="550" spans="1:9" x14ac:dyDescent="0.2">
      <c r="A550" s="2">
        <v>16</v>
      </c>
      <c r="B550" s="1" t="s">
        <v>150</v>
      </c>
      <c r="C550" s="4">
        <v>4</v>
      </c>
      <c r="D550" s="8">
        <v>1.4</v>
      </c>
      <c r="E550" s="4">
        <v>2</v>
      </c>
      <c r="F550" s="8">
        <v>1.1299999999999999</v>
      </c>
      <c r="G550" s="4">
        <v>2</v>
      </c>
      <c r="H550" s="8">
        <v>1.9</v>
      </c>
      <c r="I550" s="4">
        <v>0</v>
      </c>
    </row>
    <row r="551" spans="1:9" x14ac:dyDescent="0.2">
      <c r="A551" s="2">
        <v>16</v>
      </c>
      <c r="B551" s="1" t="s">
        <v>175</v>
      </c>
      <c r="C551" s="4">
        <v>4</v>
      </c>
      <c r="D551" s="8">
        <v>1.4</v>
      </c>
      <c r="E551" s="4">
        <v>1</v>
      </c>
      <c r="F551" s="8">
        <v>0.56000000000000005</v>
      </c>
      <c r="G551" s="4">
        <v>3</v>
      </c>
      <c r="H551" s="8">
        <v>2.86</v>
      </c>
      <c r="I551" s="4">
        <v>0</v>
      </c>
    </row>
    <row r="552" spans="1:9" x14ac:dyDescent="0.2">
      <c r="A552" s="2">
        <v>16</v>
      </c>
      <c r="B552" s="1" t="s">
        <v>195</v>
      </c>
      <c r="C552" s="4">
        <v>4</v>
      </c>
      <c r="D552" s="8">
        <v>1.4</v>
      </c>
      <c r="E552" s="4">
        <v>4</v>
      </c>
      <c r="F552" s="8">
        <v>2.2599999999999998</v>
      </c>
      <c r="G552" s="4">
        <v>0</v>
      </c>
      <c r="H552" s="8">
        <v>0</v>
      </c>
      <c r="I552" s="4">
        <v>0</v>
      </c>
    </row>
    <row r="553" spans="1:9" x14ac:dyDescent="0.2">
      <c r="A553" s="2">
        <v>16</v>
      </c>
      <c r="B553" s="1" t="s">
        <v>127</v>
      </c>
      <c r="C553" s="4">
        <v>4</v>
      </c>
      <c r="D553" s="8">
        <v>1.4</v>
      </c>
      <c r="E553" s="4">
        <v>3</v>
      </c>
      <c r="F553" s="8">
        <v>1.69</v>
      </c>
      <c r="G553" s="4">
        <v>1</v>
      </c>
      <c r="H553" s="8">
        <v>0.95</v>
      </c>
      <c r="I553" s="4">
        <v>0</v>
      </c>
    </row>
    <row r="554" spans="1:9" x14ac:dyDescent="0.2">
      <c r="A554" s="2">
        <v>16</v>
      </c>
      <c r="B554" s="1" t="s">
        <v>147</v>
      </c>
      <c r="C554" s="4">
        <v>4</v>
      </c>
      <c r="D554" s="8">
        <v>1.4</v>
      </c>
      <c r="E554" s="4">
        <v>2</v>
      </c>
      <c r="F554" s="8">
        <v>1.1299999999999999</v>
      </c>
      <c r="G554" s="4">
        <v>2</v>
      </c>
      <c r="H554" s="8">
        <v>1.9</v>
      </c>
      <c r="I554" s="4">
        <v>0</v>
      </c>
    </row>
    <row r="555" spans="1:9" x14ac:dyDescent="0.2">
      <c r="A555" s="2">
        <v>16</v>
      </c>
      <c r="B555" s="1" t="s">
        <v>168</v>
      </c>
      <c r="C555" s="4">
        <v>4</v>
      </c>
      <c r="D555" s="8">
        <v>1.4</v>
      </c>
      <c r="E555" s="4">
        <v>3</v>
      </c>
      <c r="F555" s="8">
        <v>1.69</v>
      </c>
      <c r="G555" s="4">
        <v>1</v>
      </c>
      <c r="H555" s="8">
        <v>0.95</v>
      </c>
      <c r="I555" s="4">
        <v>0</v>
      </c>
    </row>
    <row r="556" spans="1:9" x14ac:dyDescent="0.2">
      <c r="A556" s="2">
        <v>16</v>
      </c>
      <c r="B556" s="1" t="s">
        <v>134</v>
      </c>
      <c r="C556" s="4">
        <v>4</v>
      </c>
      <c r="D556" s="8">
        <v>1.4</v>
      </c>
      <c r="E556" s="4">
        <v>3</v>
      </c>
      <c r="F556" s="8">
        <v>1.69</v>
      </c>
      <c r="G556" s="4">
        <v>1</v>
      </c>
      <c r="H556" s="8">
        <v>0.95</v>
      </c>
      <c r="I556" s="4">
        <v>0</v>
      </c>
    </row>
    <row r="557" spans="1:9" x14ac:dyDescent="0.2">
      <c r="A557" s="2">
        <v>16</v>
      </c>
      <c r="B557" s="1" t="s">
        <v>158</v>
      </c>
      <c r="C557" s="4">
        <v>4</v>
      </c>
      <c r="D557" s="8">
        <v>1.4</v>
      </c>
      <c r="E557" s="4">
        <v>2</v>
      </c>
      <c r="F557" s="8">
        <v>1.1299999999999999</v>
      </c>
      <c r="G557" s="4">
        <v>2</v>
      </c>
      <c r="H557" s="8">
        <v>1.9</v>
      </c>
      <c r="I557" s="4">
        <v>0</v>
      </c>
    </row>
    <row r="558" spans="1:9" x14ac:dyDescent="0.2">
      <c r="A558" s="2">
        <v>16</v>
      </c>
      <c r="B558" s="1" t="s">
        <v>156</v>
      </c>
      <c r="C558" s="4">
        <v>4</v>
      </c>
      <c r="D558" s="8">
        <v>1.4</v>
      </c>
      <c r="E558" s="4">
        <v>3</v>
      </c>
      <c r="F558" s="8">
        <v>1.69</v>
      </c>
      <c r="G558" s="4">
        <v>1</v>
      </c>
      <c r="H558" s="8">
        <v>0.95</v>
      </c>
      <c r="I558" s="4">
        <v>0</v>
      </c>
    </row>
    <row r="559" spans="1:9" x14ac:dyDescent="0.2">
      <c r="A559" s="2">
        <v>16</v>
      </c>
      <c r="B559" s="1" t="s">
        <v>167</v>
      </c>
      <c r="C559" s="4">
        <v>4</v>
      </c>
      <c r="D559" s="8">
        <v>1.4</v>
      </c>
      <c r="E559" s="4">
        <v>4</v>
      </c>
      <c r="F559" s="8">
        <v>2.2599999999999998</v>
      </c>
      <c r="G559" s="4">
        <v>0</v>
      </c>
      <c r="H559" s="8">
        <v>0</v>
      </c>
      <c r="I559" s="4">
        <v>0</v>
      </c>
    </row>
    <row r="560" spans="1:9" x14ac:dyDescent="0.2">
      <c r="A560" s="2">
        <v>16</v>
      </c>
      <c r="B560" s="1" t="s">
        <v>166</v>
      </c>
      <c r="C560" s="4">
        <v>4</v>
      </c>
      <c r="D560" s="8">
        <v>1.4</v>
      </c>
      <c r="E560" s="4">
        <v>4</v>
      </c>
      <c r="F560" s="8">
        <v>2.2599999999999998</v>
      </c>
      <c r="G560" s="4">
        <v>0</v>
      </c>
      <c r="H560" s="8">
        <v>0</v>
      </c>
      <c r="I560" s="4">
        <v>0</v>
      </c>
    </row>
    <row r="561" spans="1:9" x14ac:dyDescent="0.2">
      <c r="A561" s="1"/>
      <c r="C561" s="4"/>
      <c r="D561" s="8"/>
      <c r="E561" s="4"/>
      <c r="F561" s="8"/>
      <c r="G561" s="4"/>
      <c r="H561" s="8"/>
      <c r="I561" s="4"/>
    </row>
    <row r="562" spans="1:9" x14ac:dyDescent="0.2">
      <c r="A562" s="1" t="s">
        <v>25</v>
      </c>
      <c r="C562" s="4"/>
      <c r="D562" s="8"/>
      <c r="E562" s="4"/>
      <c r="F562" s="8"/>
      <c r="G562" s="4"/>
      <c r="H562" s="8"/>
      <c r="I562" s="4"/>
    </row>
    <row r="563" spans="1:9" x14ac:dyDescent="0.2">
      <c r="A563" s="2">
        <v>1</v>
      </c>
      <c r="B563" s="1" t="s">
        <v>140</v>
      </c>
      <c r="C563" s="4">
        <v>18</v>
      </c>
      <c r="D563" s="8">
        <v>5.42</v>
      </c>
      <c r="E563" s="4">
        <v>18</v>
      </c>
      <c r="F563" s="8">
        <v>9.18</v>
      </c>
      <c r="G563" s="4">
        <v>0</v>
      </c>
      <c r="H563" s="8">
        <v>0</v>
      </c>
      <c r="I563" s="4">
        <v>0</v>
      </c>
    </row>
    <row r="564" spans="1:9" x14ac:dyDescent="0.2">
      <c r="A564" s="2">
        <v>2</v>
      </c>
      <c r="B564" s="1" t="s">
        <v>130</v>
      </c>
      <c r="C564" s="4">
        <v>14</v>
      </c>
      <c r="D564" s="8">
        <v>4.22</v>
      </c>
      <c r="E564" s="4">
        <v>8</v>
      </c>
      <c r="F564" s="8">
        <v>4.08</v>
      </c>
      <c r="G564" s="4">
        <v>6</v>
      </c>
      <c r="H564" s="8">
        <v>4.6900000000000004</v>
      </c>
      <c r="I564" s="4">
        <v>0</v>
      </c>
    </row>
    <row r="565" spans="1:9" x14ac:dyDescent="0.2">
      <c r="A565" s="2">
        <v>3</v>
      </c>
      <c r="B565" s="1" t="s">
        <v>139</v>
      </c>
      <c r="C565" s="4">
        <v>12</v>
      </c>
      <c r="D565" s="8">
        <v>3.61</v>
      </c>
      <c r="E565" s="4">
        <v>12</v>
      </c>
      <c r="F565" s="8">
        <v>6.12</v>
      </c>
      <c r="G565" s="4">
        <v>0</v>
      </c>
      <c r="H565" s="8">
        <v>0</v>
      </c>
      <c r="I565" s="4">
        <v>0</v>
      </c>
    </row>
    <row r="566" spans="1:9" x14ac:dyDescent="0.2">
      <c r="A566" s="2">
        <v>3</v>
      </c>
      <c r="B566" s="1" t="s">
        <v>143</v>
      </c>
      <c r="C566" s="4">
        <v>12</v>
      </c>
      <c r="D566" s="8">
        <v>3.61</v>
      </c>
      <c r="E566" s="4">
        <v>12</v>
      </c>
      <c r="F566" s="8">
        <v>6.12</v>
      </c>
      <c r="G566" s="4">
        <v>0</v>
      </c>
      <c r="H566" s="8">
        <v>0</v>
      </c>
      <c r="I566" s="4">
        <v>0</v>
      </c>
    </row>
    <row r="567" spans="1:9" x14ac:dyDescent="0.2">
      <c r="A567" s="2">
        <v>5</v>
      </c>
      <c r="B567" s="1" t="s">
        <v>132</v>
      </c>
      <c r="C567" s="4">
        <v>11</v>
      </c>
      <c r="D567" s="8">
        <v>3.31</v>
      </c>
      <c r="E567" s="4">
        <v>5</v>
      </c>
      <c r="F567" s="8">
        <v>2.5499999999999998</v>
      </c>
      <c r="G567" s="4">
        <v>6</v>
      </c>
      <c r="H567" s="8">
        <v>4.6900000000000004</v>
      </c>
      <c r="I567" s="4">
        <v>0</v>
      </c>
    </row>
    <row r="568" spans="1:9" x14ac:dyDescent="0.2">
      <c r="A568" s="2">
        <v>5</v>
      </c>
      <c r="B568" s="1" t="s">
        <v>136</v>
      </c>
      <c r="C568" s="4">
        <v>11</v>
      </c>
      <c r="D568" s="8">
        <v>3.31</v>
      </c>
      <c r="E568" s="4">
        <v>10</v>
      </c>
      <c r="F568" s="8">
        <v>5.0999999999999996</v>
      </c>
      <c r="G568" s="4">
        <v>1</v>
      </c>
      <c r="H568" s="8">
        <v>0.78</v>
      </c>
      <c r="I568" s="4">
        <v>0</v>
      </c>
    </row>
    <row r="569" spans="1:9" x14ac:dyDescent="0.2">
      <c r="A569" s="2">
        <v>7</v>
      </c>
      <c r="B569" s="1" t="s">
        <v>129</v>
      </c>
      <c r="C569" s="4">
        <v>9</v>
      </c>
      <c r="D569" s="8">
        <v>2.71</v>
      </c>
      <c r="E569" s="4">
        <v>8</v>
      </c>
      <c r="F569" s="8">
        <v>4.08</v>
      </c>
      <c r="G569" s="4">
        <v>1</v>
      </c>
      <c r="H569" s="8">
        <v>0.78</v>
      </c>
      <c r="I569" s="4">
        <v>0</v>
      </c>
    </row>
    <row r="570" spans="1:9" x14ac:dyDescent="0.2">
      <c r="A570" s="2">
        <v>8</v>
      </c>
      <c r="B570" s="1" t="s">
        <v>126</v>
      </c>
      <c r="C570" s="4">
        <v>8</v>
      </c>
      <c r="D570" s="8">
        <v>2.41</v>
      </c>
      <c r="E570" s="4">
        <v>4</v>
      </c>
      <c r="F570" s="8">
        <v>2.04</v>
      </c>
      <c r="G570" s="4">
        <v>4</v>
      </c>
      <c r="H570" s="8">
        <v>3.13</v>
      </c>
      <c r="I570" s="4">
        <v>0</v>
      </c>
    </row>
    <row r="571" spans="1:9" x14ac:dyDescent="0.2">
      <c r="A571" s="2">
        <v>8</v>
      </c>
      <c r="B571" s="1" t="s">
        <v>142</v>
      </c>
      <c r="C571" s="4">
        <v>8</v>
      </c>
      <c r="D571" s="8">
        <v>2.41</v>
      </c>
      <c r="E571" s="4">
        <v>8</v>
      </c>
      <c r="F571" s="8">
        <v>4.08</v>
      </c>
      <c r="G571" s="4">
        <v>0</v>
      </c>
      <c r="H571" s="8">
        <v>0</v>
      </c>
      <c r="I571" s="4">
        <v>0</v>
      </c>
    </row>
    <row r="572" spans="1:9" x14ac:dyDescent="0.2">
      <c r="A572" s="2">
        <v>10</v>
      </c>
      <c r="B572" s="1" t="s">
        <v>168</v>
      </c>
      <c r="C572" s="4">
        <v>7</v>
      </c>
      <c r="D572" s="8">
        <v>2.11</v>
      </c>
      <c r="E572" s="4">
        <v>2</v>
      </c>
      <c r="F572" s="8">
        <v>1.02</v>
      </c>
      <c r="G572" s="4">
        <v>5</v>
      </c>
      <c r="H572" s="8">
        <v>3.91</v>
      </c>
      <c r="I572" s="4">
        <v>0</v>
      </c>
    </row>
    <row r="573" spans="1:9" x14ac:dyDescent="0.2">
      <c r="A573" s="2">
        <v>10</v>
      </c>
      <c r="B573" s="1" t="s">
        <v>133</v>
      </c>
      <c r="C573" s="4">
        <v>7</v>
      </c>
      <c r="D573" s="8">
        <v>2.11</v>
      </c>
      <c r="E573" s="4">
        <v>4</v>
      </c>
      <c r="F573" s="8">
        <v>2.04</v>
      </c>
      <c r="G573" s="4">
        <v>3</v>
      </c>
      <c r="H573" s="8">
        <v>2.34</v>
      </c>
      <c r="I573" s="4">
        <v>0</v>
      </c>
    </row>
    <row r="574" spans="1:9" x14ac:dyDescent="0.2">
      <c r="A574" s="2">
        <v>12</v>
      </c>
      <c r="B574" s="1" t="s">
        <v>154</v>
      </c>
      <c r="C574" s="4">
        <v>6</v>
      </c>
      <c r="D574" s="8">
        <v>1.81</v>
      </c>
      <c r="E574" s="4">
        <v>0</v>
      </c>
      <c r="F574" s="8">
        <v>0</v>
      </c>
      <c r="G574" s="4">
        <v>6</v>
      </c>
      <c r="H574" s="8">
        <v>4.6900000000000004</v>
      </c>
      <c r="I574" s="4">
        <v>0</v>
      </c>
    </row>
    <row r="575" spans="1:9" x14ac:dyDescent="0.2">
      <c r="A575" s="2">
        <v>13</v>
      </c>
      <c r="B575" s="1" t="s">
        <v>197</v>
      </c>
      <c r="C575" s="4">
        <v>5</v>
      </c>
      <c r="D575" s="8">
        <v>1.51</v>
      </c>
      <c r="E575" s="4">
        <v>0</v>
      </c>
      <c r="F575" s="8">
        <v>0</v>
      </c>
      <c r="G575" s="4">
        <v>5</v>
      </c>
      <c r="H575" s="8">
        <v>3.91</v>
      </c>
      <c r="I575" s="4">
        <v>0</v>
      </c>
    </row>
    <row r="576" spans="1:9" x14ac:dyDescent="0.2">
      <c r="A576" s="2">
        <v>13</v>
      </c>
      <c r="B576" s="1" t="s">
        <v>125</v>
      </c>
      <c r="C576" s="4">
        <v>5</v>
      </c>
      <c r="D576" s="8">
        <v>1.51</v>
      </c>
      <c r="E576" s="4">
        <v>1</v>
      </c>
      <c r="F576" s="8">
        <v>0.51</v>
      </c>
      <c r="G576" s="4">
        <v>4</v>
      </c>
      <c r="H576" s="8">
        <v>3.13</v>
      </c>
      <c r="I576" s="4">
        <v>0</v>
      </c>
    </row>
    <row r="577" spans="1:9" x14ac:dyDescent="0.2">
      <c r="A577" s="2">
        <v>13</v>
      </c>
      <c r="B577" s="1" t="s">
        <v>194</v>
      </c>
      <c r="C577" s="4">
        <v>5</v>
      </c>
      <c r="D577" s="8">
        <v>1.51</v>
      </c>
      <c r="E577" s="4">
        <v>1</v>
      </c>
      <c r="F577" s="8">
        <v>0.51</v>
      </c>
      <c r="G577" s="4">
        <v>4</v>
      </c>
      <c r="H577" s="8">
        <v>3.13</v>
      </c>
      <c r="I577" s="4">
        <v>0</v>
      </c>
    </row>
    <row r="578" spans="1:9" x14ac:dyDescent="0.2">
      <c r="A578" s="2">
        <v>13</v>
      </c>
      <c r="B578" s="1" t="s">
        <v>127</v>
      </c>
      <c r="C578" s="4">
        <v>5</v>
      </c>
      <c r="D578" s="8">
        <v>1.51</v>
      </c>
      <c r="E578" s="4">
        <v>5</v>
      </c>
      <c r="F578" s="8">
        <v>2.5499999999999998</v>
      </c>
      <c r="G578" s="4">
        <v>0</v>
      </c>
      <c r="H578" s="8">
        <v>0</v>
      </c>
      <c r="I578" s="4">
        <v>0</v>
      </c>
    </row>
    <row r="579" spans="1:9" x14ac:dyDescent="0.2">
      <c r="A579" s="2">
        <v>13</v>
      </c>
      <c r="B579" s="1" t="s">
        <v>147</v>
      </c>
      <c r="C579" s="4">
        <v>5</v>
      </c>
      <c r="D579" s="8">
        <v>1.51</v>
      </c>
      <c r="E579" s="4">
        <v>3</v>
      </c>
      <c r="F579" s="8">
        <v>1.53</v>
      </c>
      <c r="G579" s="4">
        <v>2</v>
      </c>
      <c r="H579" s="8">
        <v>1.56</v>
      </c>
      <c r="I579" s="4">
        <v>0</v>
      </c>
    </row>
    <row r="580" spans="1:9" x14ac:dyDescent="0.2">
      <c r="A580" s="2">
        <v>13</v>
      </c>
      <c r="B580" s="1" t="s">
        <v>184</v>
      </c>
      <c r="C580" s="4">
        <v>5</v>
      </c>
      <c r="D580" s="8">
        <v>1.51</v>
      </c>
      <c r="E580" s="4">
        <v>0</v>
      </c>
      <c r="F580" s="8">
        <v>0</v>
      </c>
      <c r="G580" s="4">
        <v>0</v>
      </c>
      <c r="H580" s="8">
        <v>0</v>
      </c>
      <c r="I580" s="4">
        <v>0</v>
      </c>
    </row>
    <row r="581" spans="1:9" x14ac:dyDescent="0.2">
      <c r="A581" s="2">
        <v>19</v>
      </c>
      <c r="B581" s="1" t="s">
        <v>124</v>
      </c>
      <c r="C581" s="4">
        <v>4</v>
      </c>
      <c r="D581" s="8">
        <v>1.2</v>
      </c>
      <c r="E581" s="4">
        <v>0</v>
      </c>
      <c r="F581" s="8">
        <v>0</v>
      </c>
      <c r="G581" s="4">
        <v>4</v>
      </c>
      <c r="H581" s="8">
        <v>3.13</v>
      </c>
      <c r="I581" s="4">
        <v>0</v>
      </c>
    </row>
    <row r="582" spans="1:9" x14ac:dyDescent="0.2">
      <c r="A582" s="2">
        <v>19</v>
      </c>
      <c r="B582" s="1" t="s">
        <v>149</v>
      </c>
      <c r="C582" s="4">
        <v>4</v>
      </c>
      <c r="D582" s="8">
        <v>1.2</v>
      </c>
      <c r="E582" s="4">
        <v>1</v>
      </c>
      <c r="F582" s="8">
        <v>0.51</v>
      </c>
      <c r="G582" s="4">
        <v>3</v>
      </c>
      <c r="H582" s="8">
        <v>2.34</v>
      </c>
      <c r="I582" s="4">
        <v>0</v>
      </c>
    </row>
    <row r="583" spans="1:9" x14ac:dyDescent="0.2">
      <c r="A583" s="2">
        <v>19</v>
      </c>
      <c r="B583" s="1" t="s">
        <v>151</v>
      </c>
      <c r="C583" s="4">
        <v>4</v>
      </c>
      <c r="D583" s="8">
        <v>1.2</v>
      </c>
      <c r="E583" s="4">
        <v>0</v>
      </c>
      <c r="F583" s="8">
        <v>0</v>
      </c>
      <c r="G583" s="4">
        <v>4</v>
      </c>
      <c r="H583" s="8">
        <v>3.13</v>
      </c>
      <c r="I583" s="4">
        <v>0</v>
      </c>
    </row>
    <row r="584" spans="1:9" x14ac:dyDescent="0.2">
      <c r="A584" s="2">
        <v>19</v>
      </c>
      <c r="B584" s="1" t="s">
        <v>198</v>
      </c>
      <c r="C584" s="4">
        <v>4</v>
      </c>
      <c r="D584" s="8">
        <v>1.2</v>
      </c>
      <c r="E584" s="4">
        <v>4</v>
      </c>
      <c r="F584" s="8">
        <v>2.04</v>
      </c>
      <c r="G584" s="4">
        <v>0</v>
      </c>
      <c r="H584" s="8">
        <v>0</v>
      </c>
      <c r="I584" s="4">
        <v>0</v>
      </c>
    </row>
    <row r="585" spans="1:9" x14ac:dyDescent="0.2">
      <c r="A585" s="2">
        <v>19</v>
      </c>
      <c r="B585" s="1" t="s">
        <v>182</v>
      </c>
      <c r="C585" s="4">
        <v>4</v>
      </c>
      <c r="D585" s="8">
        <v>1.2</v>
      </c>
      <c r="E585" s="4">
        <v>3</v>
      </c>
      <c r="F585" s="8">
        <v>1.53</v>
      </c>
      <c r="G585" s="4">
        <v>1</v>
      </c>
      <c r="H585" s="8">
        <v>0.78</v>
      </c>
      <c r="I585" s="4">
        <v>0</v>
      </c>
    </row>
    <row r="586" spans="1:9" x14ac:dyDescent="0.2">
      <c r="A586" s="2">
        <v>19</v>
      </c>
      <c r="B586" s="1" t="s">
        <v>156</v>
      </c>
      <c r="C586" s="4">
        <v>4</v>
      </c>
      <c r="D586" s="8">
        <v>1.2</v>
      </c>
      <c r="E586" s="4">
        <v>3</v>
      </c>
      <c r="F586" s="8">
        <v>1.53</v>
      </c>
      <c r="G586" s="4">
        <v>1</v>
      </c>
      <c r="H586" s="8">
        <v>0.78</v>
      </c>
      <c r="I586" s="4">
        <v>0</v>
      </c>
    </row>
    <row r="587" spans="1:9" x14ac:dyDescent="0.2">
      <c r="A587" s="2">
        <v>19</v>
      </c>
      <c r="B587" s="1" t="s">
        <v>138</v>
      </c>
      <c r="C587" s="4">
        <v>4</v>
      </c>
      <c r="D587" s="8">
        <v>1.2</v>
      </c>
      <c r="E587" s="4">
        <v>4</v>
      </c>
      <c r="F587" s="8">
        <v>2.04</v>
      </c>
      <c r="G587" s="4">
        <v>0</v>
      </c>
      <c r="H587" s="8">
        <v>0</v>
      </c>
      <c r="I587" s="4">
        <v>0</v>
      </c>
    </row>
    <row r="588" spans="1:9" x14ac:dyDescent="0.2">
      <c r="A588" s="2">
        <v>19</v>
      </c>
      <c r="B588" s="1" t="s">
        <v>199</v>
      </c>
      <c r="C588" s="4">
        <v>4</v>
      </c>
      <c r="D588" s="8">
        <v>1.2</v>
      </c>
      <c r="E588" s="4">
        <v>3</v>
      </c>
      <c r="F588" s="8">
        <v>1.53</v>
      </c>
      <c r="G588" s="4">
        <v>1</v>
      </c>
      <c r="H588" s="8">
        <v>0.78</v>
      </c>
      <c r="I588" s="4">
        <v>0</v>
      </c>
    </row>
    <row r="589" spans="1:9" x14ac:dyDescent="0.2">
      <c r="A589" s="2">
        <v>19</v>
      </c>
      <c r="B589" s="1" t="s">
        <v>141</v>
      </c>
      <c r="C589" s="4">
        <v>4</v>
      </c>
      <c r="D589" s="8">
        <v>1.2</v>
      </c>
      <c r="E589" s="4">
        <v>3</v>
      </c>
      <c r="F589" s="8">
        <v>1.53</v>
      </c>
      <c r="G589" s="4">
        <v>1</v>
      </c>
      <c r="H589" s="8">
        <v>0.78</v>
      </c>
      <c r="I589" s="4">
        <v>0</v>
      </c>
    </row>
    <row r="590" spans="1:9" x14ac:dyDescent="0.2">
      <c r="A590" s="2">
        <v>19</v>
      </c>
      <c r="B590" s="1" t="s">
        <v>176</v>
      </c>
      <c r="C590" s="4">
        <v>4</v>
      </c>
      <c r="D590" s="8">
        <v>1.2</v>
      </c>
      <c r="E590" s="4">
        <v>0</v>
      </c>
      <c r="F590" s="8">
        <v>0</v>
      </c>
      <c r="G590" s="4">
        <v>4</v>
      </c>
      <c r="H590" s="8">
        <v>3.13</v>
      </c>
      <c r="I590" s="4">
        <v>0</v>
      </c>
    </row>
    <row r="591" spans="1:9" x14ac:dyDescent="0.2">
      <c r="A591" s="2">
        <v>19</v>
      </c>
      <c r="B591" s="1" t="s">
        <v>200</v>
      </c>
      <c r="C591" s="4">
        <v>4</v>
      </c>
      <c r="D591" s="8">
        <v>1.2</v>
      </c>
      <c r="E591" s="4">
        <v>4</v>
      </c>
      <c r="F591" s="8">
        <v>2.04</v>
      </c>
      <c r="G591" s="4">
        <v>0</v>
      </c>
      <c r="H591" s="8">
        <v>0</v>
      </c>
      <c r="I591" s="4">
        <v>0</v>
      </c>
    </row>
    <row r="592" spans="1:9" x14ac:dyDescent="0.2">
      <c r="A592" s="2">
        <v>19</v>
      </c>
      <c r="B592" s="1" t="s">
        <v>201</v>
      </c>
      <c r="C592" s="4">
        <v>4</v>
      </c>
      <c r="D592" s="8">
        <v>1.2</v>
      </c>
      <c r="E592" s="4">
        <v>3</v>
      </c>
      <c r="F592" s="8">
        <v>1.53</v>
      </c>
      <c r="G592" s="4">
        <v>1</v>
      </c>
      <c r="H592" s="8">
        <v>0.78</v>
      </c>
      <c r="I592" s="4">
        <v>0</v>
      </c>
    </row>
    <row r="593" spans="1:9" x14ac:dyDescent="0.2">
      <c r="A593" s="1"/>
      <c r="C593" s="4"/>
      <c r="D593" s="8"/>
      <c r="E593" s="4"/>
      <c r="F593" s="8"/>
      <c r="G593" s="4"/>
      <c r="H593" s="8"/>
      <c r="I593" s="4"/>
    </row>
    <row r="594" spans="1:9" x14ac:dyDescent="0.2">
      <c r="A594" s="1" t="s">
        <v>26</v>
      </c>
      <c r="C594" s="4"/>
      <c r="D594" s="8"/>
      <c r="E594" s="4"/>
      <c r="F594" s="8"/>
      <c r="G594" s="4"/>
      <c r="H594" s="8"/>
      <c r="I594" s="4"/>
    </row>
    <row r="595" spans="1:9" x14ac:dyDescent="0.2">
      <c r="A595" s="2">
        <v>1</v>
      </c>
      <c r="B595" s="1" t="s">
        <v>140</v>
      </c>
      <c r="C595" s="4">
        <v>13</v>
      </c>
      <c r="D595" s="8">
        <v>6.4</v>
      </c>
      <c r="E595" s="4">
        <v>13</v>
      </c>
      <c r="F595" s="8">
        <v>9.85</v>
      </c>
      <c r="G595" s="4">
        <v>0</v>
      </c>
      <c r="H595" s="8">
        <v>0</v>
      </c>
      <c r="I595" s="4">
        <v>0</v>
      </c>
    </row>
    <row r="596" spans="1:9" x14ac:dyDescent="0.2">
      <c r="A596" s="2">
        <v>2</v>
      </c>
      <c r="B596" s="1" t="s">
        <v>129</v>
      </c>
      <c r="C596" s="4">
        <v>12</v>
      </c>
      <c r="D596" s="8">
        <v>5.91</v>
      </c>
      <c r="E596" s="4">
        <v>11</v>
      </c>
      <c r="F596" s="8">
        <v>8.33</v>
      </c>
      <c r="G596" s="4">
        <v>1</v>
      </c>
      <c r="H596" s="8">
        <v>1.54</v>
      </c>
      <c r="I596" s="4">
        <v>0</v>
      </c>
    </row>
    <row r="597" spans="1:9" x14ac:dyDescent="0.2">
      <c r="A597" s="2">
        <v>3</v>
      </c>
      <c r="B597" s="1" t="s">
        <v>143</v>
      </c>
      <c r="C597" s="4">
        <v>9</v>
      </c>
      <c r="D597" s="8">
        <v>4.43</v>
      </c>
      <c r="E597" s="4">
        <v>9</v>
      </c>
      <c r="F597" s="8">
        <v>6.82</v>
      </c>
      <c r="G597" s="4">
        <v>0</v>
      </c>
      <c r="H597" s="8">
        <v>0</v>
      </c>
      <c r="I597" s="4">
        <v>0</v>
      </c>
    </row>
    <row r="598" spans="1:9" x14ac:dyDescent="0.2">
      <c r="A598" s="2">
        <v>4</v>
      </c>
      <c r="B598" s="1" t="s">
        <v>131</v>
      </c>
      <c r="C598" s="4">
        <v>7</v>
      </c>
      <c r="D598" s="8">
        <v>3.45</v>
      </c>
      <c r="E598" s="4">
        <v>3</v>
      </c>
      <c r="F598" s="8">
        <v>2.27</v>
      </c>
      <c r="G598" s="4">
        <v>4</v>
      </c>
      <c r="H598" s="8">
        <v>6.15</v>
      </c>
      <c r="I598" s="4">
        <v>0</v>
      </c>
    </row>
    <row r="599" spans="1:9" x14ac:dyDescent="0.2">
      <c r="A599" s="2">
        <v>4</v>
      </c>
      <c r="B599" s="1" t="s">
        <v>139</v>
      </c>
      <c r="C599" s="4">
        <v>7</v>
      </c>
      <c r="D599" s="8">
        <v>3.45</v>
      </c>
      <c r="E599" s="4">
        <v>7</v>
      </c>
      <c r="F599" s="8">
        <v>5.3</v>
      </c>
      <c r="G599" s="4">
        <v>0</v>
      </c>
      <c r="H599" s="8">
        <v>0</v>
      </c>
      <c r="I599" s="4">
        <v>0</v>
      </c>
    </row>
    <row r="600" spans="1:9" x14ac:dyDescent="0.2">
      <c r="A600" s="2">
        <v>6</v>
      </c>
      <c r="B600" s="1" t="s">
        <v>124</v>
      </c>
      <c r="C600" s="4">
        <v>6</v>
      </c>
      <c r="D600" s="8">
        <v>2.96</v>
      </c>
      <c r="E600" s="4">
        <v>0</v>
      </c>
      <c r="F600" s="8">
        <v>0</v>
      </c>
      <c r="G600" s="4">
        <v>6</v>
      </c>
      <c r="H600" s="8">
        <v>9.23</v>
      </c>
      <c r="I600" s="4">
        <v>0</v>
      </c>
    </row>
    <row r="601" spans="1:9" x14ac:dyDescent="0.2">
      <c r="A601" s="2">
        <v>6</v>
      </c>
      <c r="B601" s="1" t="s">
        <v>188</v>
      </c>
      <c r="C601" s="4">
        <v>6</v>
      </c>
      <c r="D601" s="8">
        <v>2.96</v>
      </c>
      <c r="E601" s="4">
        <v>0</v>
      </c>
      <c r="F601" s="8">
        <v>0</v>
      </c>
      <c r="G601" s="4">
        <v>6</v>
      </c>
      <c r="H601" s="8">
        <v>9.23</v>
      </c>
      <c r="I601" s="4">
        <v>0</v>
      </c>
    </row>
    <row r="602" spans="1:9" x14ac:dyDescent="0.2">
      <c r="A602" s="2">
        <v>8</v>
      </c>
      <c r="B602" s="1" t="s">
        <v>130</v>
      </c>
      <c r="C602" s="4">
        <v>5</v>
      </c>
      <c r="D602" s="8">
        <v>2.46</v>
      </c>
      <c r="E602" s="4">
        <v>4</v>
      </c>
      <c r="F602" s="8">
        <v>3.03</v>
      </c>
      <c r="G602" s="4">
        <v>1</v>
      </c>
      <c r="H602" s="8">
        <v>1.54</v>
      </c>
      <c r="I602" s="4">
        <v>0</v>
      </c>
    </row>
    <row r="603" spans="1:9" x14ac:dyDescent="0.2">
      <c r="A603" s="2">
        <v>9</v>
      </c>
      <c r="B603" s="1" t="s">
        <v>125</v>
      </c>
      <c r="C603" s="4">
        <v>4</v>
      </c>
      <c r="D603" s="8">
        <v>1.97</v>
      </c>
      <c r="E603" s="4">
        <v>0</v>
      </c>
      <c r="F603" s="8">
        <v>0</v>
      </c>
      <c r="G603" s="4">
        <v>4</v>
      </c>
      <c r="H603" s="8">
        <v>6.15</v>
      </c>
      <c r="I603" s="4">
        <v>0</v>
      </c>
    </row>
    <row r="604" spans="1:9" x14ac:dyDescent="0.2">
      <c r="A604" s="2">
        <v>9</v>
      </c>
      <c r="B604" s="1" t="s">
        <v>193</v>
      </c>
      <c r="C604" s="4">
        <v>4</v>
      </c>
      <c r="D604" s="8">
        <v>1.97</v>
      </c>
      <c r="E604" s="4">
        <v>3</v>
      </c>
      <c r="F604" s="8">
        <v>2.27</v>
      </c>
      <c r="G604" s="4">
        <v>1</v>
      </c>
      <c r="H604" s="8">
        <v>1.54</v>
      </c>
      <c r="I604" s="4">
        <v>0</v>
      </c>
    </row>
    <row r="605" spans="1:9" x14ac:dyDescent="0.2">
      <c r="A605" s="2">
        <v>9</v>
      </c>
      <c r="B605" s="1" t="s">
        <v>203</v>
      </c>
      <c r="C605" s="4">
        <v>4</v>
      </c>
      <c r="D605" s="8">
        <v>1.97</v>
      </c>
      <c r="E605" s="4">
        <v>0</v>
      </c>
      <c r="F605" s="8">
        <v>0</v>
      </c>
      <c r="G605" s="4">
        <v>2</v>
      </c>
      <c r="H605" s="8">
        <v>3.08</v>
      </c>
      <c r="I605" s="4">
        <v>1</v>
      </c>
    </row>
    <row r="606" spans="1:9" x14ac:dyDescent="0.2">
      <c r="A606" s="2">
        <v>9</v>
      </c>
      <c r="B606" s="1" t="s">
        <v>127</v>
      </c>
      <c r="C606" s="4">
        <v>4</v>
      </c>
      <c r="D606" s="8">
        <v>1.97</v>
      </c>
      <c r="E606" s="4">
        <v>4</v>
      </c>
      <c r="F606" s="8">
        <v>3.03</v>
      </c>
      <c r="G606" s="4">
        <v>0</v>
      </c>
      <c r="H606" s="8">
        <v>0</v>
      </c>
      <c r="I606" s="4">
        <v>0</v>
      </c>
    </row>
    <row r="607" spans="1:9" x14ac:dyDescent="0.2">
      <c r="A607" s="2">
        <v>9</v>
      </c>
      <c r="B607" s="1" t="s">
        <v>132</v>
      </c>
      <c r="C607" s="4">
        <v>4</v>
      </c>
      <c r="D607" s="8">
        <v>1.97</v>
      </c>
      <c r="E607" s="4">
        <v>1</v>
      </c>
      <c r="F607" s="8">
        <v>0.76</v>
      </c>
      <c r="G607" s="4">
        <v>3</v>
      </c>
      <c r="H607" s="8">
        <v>4.62</v>
      </c>
      <c r="I607" s="4">
        <v>0</v>
      </c>
    </row>
    <row r="608" spans="1:9" x14ac:dyDescent="0.2">
      <c r="A608" s="2">
        <v>9</v>
      </c>
      <c r="B608" s="1" t="s">
        <v>133</v>
      </c>
      <c r="C608" s="4">
        <v>4</v>
      </c>
      <c r="D608" s="8">
        <v>1.97</v>
      </c>
      <c r="E608" s="4">
        <v>4</v>
      </c>
      <c r="F608" s="8">
        <v>3.03</v>
      </c>
      <c r="G608" s="4">
        <v>0</v>
      </c>
      <c r="H608" s="8">
        <v>0</v>
      </c>
      <c r="I608" s="4">
        <v>0</v>
      </c>
    </row>
    <row r="609" spans="1:9" x14ac:dyDescent="0.2">
      <c r="A609" s="2">
        <v>9</v>
      </c>
      <c r="B609" s="1" t="s">
        <v>136</v>
      </c>
      <c r="C609" s="4">
        <v>4</v>
      </c>
      <c r="D609" s="8">
        <v>1.97</v>
      </c>
      <c r="E609" s="4">
        <v>3</v>
      </c>
      <c r="F609" s="8">
        <v>2.27</v>
      </c>
      <c r="G609" s="4">
        <v>1</v>
      </c>
      <c r="H609" s="8">
        <v>1.54</v>
      </c>
      <c r="I609" s="4">
        <v>0</v>
      </c>
    </row>
    <row r="610" spans="1:9" x14ac:dyDescent="0.2">
      <c r="A610" s="2">
        <v>16</v>
      </c>
      <c r="B610" s="1" t="s">
        <v>157</v>
      </c>
      <c r="C610" s="4">
        <v>3</v>
      </c>
      <c r="D610" s="8">
        <v>1.48</v>
      </c>
      <c r="E610" s="4">
        <v>3</v>
      </c>
      <c r="F610" s="8">
        <v>2.27</v>
      </c>
      <c r="G610" s="4">
        <v>0</v>
      </c>
      <c r="H610" s="8">
        <v>0</v>
      </c>
      <c r="I610" s="4">
        <v>0</v>
      </c>
    </row>
    <row r="611" spans="1:9" x14ac:dyDescent="0.2">
      <c r="A611" s="2">
        <v>16</v>
      </c>
      <c r="B611" s="1" t="s">
        <v>202</v>
      </c>
      <c r="C611" s="4">
        <v>3</v>
      </c>
      <c r="D611" s="8">
        <v>1.48</v>
      </c>
      <c r="E611" s="4">
        <v>3</v>
      </c>
      <c r="F611" s="8">
        <v>2.27</v>
      </c>
      <c r="G611" s="4">
        <v>0</v>
      </c>
      <c r="H611" s="8">
        <v>0</v>
      </c>
      <c r="I611" s="4">
        <v>0</v>
      </c>
    </row>
    <row r="612" spans="1:9" x14ac:dyDescent="0.2">
      <c r="A612" s="2">
        <v>16</v>
      </c>
      <c r="B612" s="1" t="s">
        <v>126</v>
      </c>
      <c r="C612" s="4">
        <v>3</v>
      </c>
      <c r="D612" s="8">
        <v>1.48</v>
      </c>
      <c r="E612" s="4">
        <v>2</v>
      </c>
      <c r="F612" s="8">
        <v>1.52</v>
      </c>
      <c r="G612" s="4">
        <v>1</v>
      </c>
      <c r="H612" s="8">
        <v>1.54</v>
      </c>
      <c r="I612" s="4">
        <v>0</v>
      </c>
    </row>
    <row r="613" spans="1:9" x14ac:dyDescent="0.2">
      <c r="A613" s="2">
        <v>16</v>
      </c>
      <c r="B613" s="1" t="s">
        <v>151</v>
      </c>
      <c r="C613" s="4">
        <v>3</v>
      </c>
      <c r="D613" s="8">
        <v>1.48</v>
      </c>
      <c r="E613" s="4">
        <v>0</v>
      </c>
      <c r="F613" s="8">
        <v>0</v>
      </c>
      <c r="G613" s="4">
        <v>3</v>
      </c>
      <c r="H613" s="8">
        <v>4.62</v>
      </c>
      <c r="I613" s="4">
        <v>0</v>
      </c>
    </row>
    <row r="614" spans="1:9" x14ac:dyDescent="0.2">
      <c r="A614" s="2">
        <v>16</v>
      </c>
      <c r="B614" s="1" t="s">
        <v>128</v>
      </c>
      <c r="C614" s="4">
        <v>3</v>
      </c>
      <c r="D614" s="8">
        <v>1.48</v>
      </c>
      <c r="E614" s="4">
        <v>3</v>
      </c>
      <c r="F614" s="8">
        <v>2.27</v>
      </c>
      <c r="G614" s="4">
        <v>0</v>
      </c>
      <c r="H614" s="8">
        <v>0</v>
      </c>
      <c r="I614" s="4">
        <v>0</v>
      </c>
    </row>
    <row r="615" spans="1:9" x14ac:dyDescent="0.2">
      <c r="A615" s="2">
        <v>16</v>
      </c>
      <c r="B615" s="1" t="s">
        <v>135</v>
      </c>
      <c r="C615" s="4">
        <v>3</v>
      </c>
      <c r="D615" s="8">
        <v>1.48</v>
      </c>
      <c r="E615" s="4">
        <v>3</v>
      </c>
      <c r="F615" s="8">
        <v>2.27</v>
      </c>
      <c r="G615" s="4">
        <v>0</v>
      </c>
      <c r="H615" s="8">
        <v>0</v>
      </c>
      <c r="I615" s="4">
        <v>0</v>
      </c>
    </row>
    <row r="616" spans="1:9" x14ac:dyDescent="0.2">
      <c r="A616" s="2">
        <v>16</v>
      </c>
      <c r="B616" s="1" t="s">
        <v>141</v>
      </c>
      <c r="C616" s="4">
        <v>3</v>
      </c>
      <c r="D616" s="8">
        <v>1.48</v>
      </c>
      <c r="E616" s="4">
        <v>3</v>
      </c>
      <c r="F616" s="8">
        <v>2.27</v>
      </c>
      <c r="G616" s="4">
        <v>0</v>
      </c>
      <c r="H616" s="8">
        <v>0</v>
      </c>
      <c r="I616" s="4">
        <v>0</v>
      </c>
    </row>
    <row r="617" spans="1:9" x14ac:dyDescent="0.2">
      <c r="A617" s="2">
        <v>16</v>
      </c>
      <c r="B617" s="1" t="s">
        <v>142</v>
      </c>
      <c r="C617" s="4">
        <v>3</v>
      </c>
      <c r="D617" s="8">
        <v>1.48</v>
      </c>
      <c r="E617" s="4">
        <v>3</v>
      </c>
      <c r="F617" s="8">
        <v>2.27</v>
      </c>
      <c r="G617" s="4">
        <v>0</v>
      </c>
      <c r="H617" s="8">
        <v>0</v>
      </c>
      <c r="I617" s="4">
        <v>0</v>
      </c>
    </row>
    <row r="618" spans="1:9" x14ac:dyDescent="0.2">
      <c r="A618" s="2">
        <v>16</v>
      </c>
      <c r="B618" s="1" t="s">
        <v>201</v>
      </c>
      <c r="C618" s="4">
        <v>3</v>
      </c>
      <c r="D618" s="8">
        <v>1.48</v>
      </c>
      <c r="E618" s="4">
        <v>1</v>
      </c>
      <c r="F618" s="8">
        <v>0.76</v>
      </c>
      <c r="G618" s="4">
        <v>2</v>
      </c>
      <c r="H618" s="8">
        <v>3.08</v>
      </c>
      <c r="I618" s="4">
        <v>0</v>
      </c>
    </row>
    <row r="619" spans="1:9" x14ac:dyDescent="0.2">
      <c r="A619" s="1"/>
      <c r="C619" s="4"/>
      <c r="D619" s="8"/>
      <c r="E619" s="4"/>
      <c r="F619" s="8"/>
      <c r="G619" s="4"/>
      <c r="H619" s="8"/>
      <c r="I619" s="4"/>
    </row>
    <row r="620" spans="1:9" x14ac:dyDescent="0.2">
      <c r="A620" s="1" t="s">
        <v>27</v>
      </c>
      <c r="C620" s="4"/>
      <c r="D620" s="8"/>
      <c r="E620" s="4"/>
      <c r="F620" s="8"/>
      <c r="G620" s="4"/>
      <c r="H620" s="8"/>
      <c r="I620" s="4"/>
    </row>
    <row r="621" spans="1:9" x14ac:dyDescent="0.2">
      <c r="A621" s="2">
        <v>1</v>
      </c>
      <c r="B621" s="1" t="s">
        <v>140</v>
      </c>
      <c r="C621" s="4">
        <v>11</v>
      </c>
      <c r="D621" s="8">
        <v>5.95</v>
      </c>
      <c r="E621" s="4">
        <v>11</v>
      </c>
      <c r="F621" s="8">
        <v>9.09</v>
      </c>
      <c r="G621" s="4">
        <v>0</v>
      </c>
      <c r="H621" s="8">
        <v>0</v>
      </c>
      <c r="I621" s="4">
        <v>0</v>
      </c>
    </row>
    <row r="622" spans="1:9" x14ac:dyDescent="0.2">
      <c r="A622" s="2">
        <v>2</v>
      </c>
      <c r="B622" s="1" t="s">
        <v>132</v>
      </c>
      <c r="C622" s="4">
        <v>9</v>
      </c>
      <c r="D622" s="8">
        <v>4.8600000000000003</v>
      </c>
      <c r="E622" s="4">
        <v>2</v>
      </c>
      <c r="F622" s="8">
        <v>1.65</v>
      </c>
      <c r="G622" s="4">
        <v>7</v>
      </c>
      <c r="H622" s="8">
        <v>11.67</v>
      </c>
      <c r="I622" s="4">
        <v>0</v>
      </c>
    </row>
    <row r="623" spans="1:9" x14ac:dyDescent="0.2">
      <c r="A623" s="2">
        <v>2</v>
      </c>
      <c r="B623" s="1" t="s">
        <v>143</v>
      </c>
      <c r="C623" s="4">
        <v>9</v>
      </c>
      <c r="D623" s="8">
        <v>4.8600000000000003</v>
      </c>
      <c r="E623" s="4">
        <v>9</v>
      </c>
      <c r="F623" s="8">
        <v>7.44</v>
      </c>
      <c r="G623" s="4">
        <v>0</v>
      </c>
      <c r="H623" s="8">
        <v>0</v>
      </c>
      <c r="I623" s="4">
        <v>0</v>
      </c>
    </row>
    <row r="624" spans="1:9" x14ac:dyDescent="0.2">
      <c r="A624" s="2">
        <v>4</v>
      </c>
      <c r="B624" s="1" t="s">
        <v>127</v>
      </c>
      <c r="C624" s="4">
        <v>8</v>
      </c>
      <c r="D624" s="8">
        <v>4.32</v>
      </c>
      <c r="E624" s="4">
        <v>8</v>
      </c>
      <c r="F624" s="8">
        <v>6.61</v>
      </c>
      <c r="G624" s="4">
        <v>0</v>
      </c>
      <c r="H624" s="8">
        <v>0</v>
      </c>
      <c r="I624" s="4">
        <v>0</v>
      </c>
    </row>
    <row r="625" spans="1:9" x14ac:dyDescent="0.2">
      <c r="A625" s="2">
        <v>5</v>
      </c>
      <c r="B625" s="1" t="s">
        <v>133</v>
      </c>
      <c r="C625" s="4">
        <v>7</v>
      </c>
      <c r="D625" s="8">
        <v>3.78</v>
      </c>
      <c r="E625" s="4">
        <v>5</v>
      </c>
      <c r="F625" s="8">
        <v>4.13</v>
      </c>
      <c r="G625" s="4">
        <v>2</v>
      </c>
      <c r="H625" s="8">
        <v>3.33</v>
      </c>
      <c r="I625" s="4">
        <v>0</v>
      </c>
    </row>
    <row r="626" spans="1:9" x14ac:dyDescent="0.2">
      <c r="A626" s="2">
        <v>6</v>
      </c>
      <c r="B626" s="1" t="s">
        <v>124</v>
      </c>
      <c r="C626" s="4">
        <v>6</v>
      </c>
      <c r="D626" s="8">
        <v>3.24</v>
      </c>
      <c r="E626" s="4">
        <v>0</v>
      </c>
      <c r="F626" s="8">
        <v>0</v>
      </c>
      <c r="G626" s="4">
        <v>6</v>
      </c>
      <c r="H626" s="8">
        <v>10</v>
      </c>
      <c r="I626" s="4">
        <v>0</v>
      </c>
    </row>
    <row r="627" spans="1:9" x14ac:dyDescent="0.2">
      <c r="A627" s="2">
        <v>6</v>
      </c>
      <c r="B627" s="1" t="s">
        <v>129</v>
      </c>
      <c r="C627" s="4">
        <v>6</v>
      </c>
      <c r="D627" s="8">
        <v>3.24</v>
      </c>
      <c r="E627" s="4">
        <v>5</v>
      </c>
      <c r="F627" s="8">
        <v>4.13</v>
      </c>
      <c r="G627" s="4">
        <v>1</v>
      </c>
      <c r="H627" s="8">
        <v>1.67</v>
      </c>
      <c r="I627" s="4">
        <v>0</v>
      </c>
    </row>
    <row r="628" spans="1:9" x14ac:dyDescent="0.2">
      <c r="A628" s="2">
        <v>6</v>
      </c>
      <c r="B628" s="1" t="s">
        <v>139</v>
      </c>
      <c r="C628" s="4">
        <v>6</v>
      </c>
      <c r="D628" s="8">
        <v>3.24</v>
      </c>
      <c r="E628" s="4">
        <v>6</v>
      </c>
      <c r="F628" s="8">
        <v>4.96</v>
      </c>
      <c r="G628" s="4">
        <v>0</v>
      </c>
      <c r="H628" s="8">
        <v>0</v>
      </c>
      <c r="I628" s="4">
        <v>0</v>
      </c>
    </row>
    <row r="629" spans="1:9" x14ac:dyDescent="0.2">
      <c r="A629" s="2">
        <v>9</v>
      </c>
      <c r="B629" s="1" t="s">
        <v>126</v>
      </c>
      <c r="C629" s="4">
        <v>5</v>
      </c>
      <c r="D629" s="8">
        <v>2.7</v>
      </c>
      <c r="E629" s="4">
        <v>3</v>
      </c>
      <c r="F629" s="8">
        <v>2.48</v>
      </c>
      <c r="G629" s="4">
        <v>2</v>
      </c>
      <c r="H629" s="8">
        <v>3.33</v>
      </c>
      <c r="I629" s="4">
        <v>0</v>
      </c>
    </row>
    <row r="630" spans="1:9" x14ac:dyDescent="0.2">
      <c r="A630" s="2">
        <v>9</v>
      </c>
      <c r="B630" s="1" t="s">
        <v>152</v>
      </c>
      <c r="C630" s="4">
        <v>5</v>
      </c>
      <c r="D630" s="8">
        <v>2.7</v>
      </c>
      <c r="E630" s="4">
        <v>4</v>
      </c>
      <c r="F630" s="8">
        <v>3.31</v>
      </c>
      <c r="G630" s="4">
        <v>1</v>
      </c>
      <c r="H630" s="8">
        <v>1.67</v>
      </c>
      <c r="I630" s="4">
        <v>0</v>
      </c>
    </row>
    <row r="631" spans="1:9" x14ac:dyDescent="0.2">
      <c r="A631" s="2">
        <v>9</v>
      </c>
      <c r="B631" s="1" t="s">
        <v>130</v>
      </c>
      <c r="C631" s="4">
        <v>5</v>
      </c>
      <c r="D631" s="8">
        <v>2.7</v>
      </c>
      <c r="E631" s="4">
        <v>5</v>
      </c>
      <c r="F631" s="8">
        <v>4.13</v>
      </c>
      <c r="G631" s="4">
        <v>0</v>
      </c>
      <c r="H631" s="8">
        <v>0</v>
      </c>
      <c r="I631" s="4">
        <v>0</v>
      </c>
    </row>
    <row r="632" spans="1:9" x14ac:dyDescent="0.2">
      <c r="A632" s="2">
        <v>9</v>
      </c>
      <c r="B632" s="1" t="s">
        <v>147</v>
      </c>
      <c r="C632" s="4">
        <v>5</v>
      </c>
      <c r="D632" s="8">
        <v>2.7</v>
      </c>
      <c r="E632" s="4">
        <v>4</v>
      </c>
      <c r="F632" s="8">
        <v>3.31</v>
      </c>
      <c r="G632" s="4">
        <v>1</v>
      </c>
      <c r="H632" s="8">
        <v>1.67</v>
      </c>
      <c r="I632" s="4">
        <v>0</v>
      </c>
    </row>
    <row r="633" spans="1:9" x14ac:dyDescent="0.2">
      <c r="A633" s="2">
        <v>9</v>
      </c>
      <c r="B633" s="1" t="s">
        <v>142</v>
      </c>
      <c r="C633" s="4">
        <v>5</v>
      </c>
      <c r="D633" s="8">
        <v>2.7</v>
      </c>
      <c r="E633" s="4">
        <v>5</v>
      </c>
      <c r="F633" s="8">
        <v>4.13</v>
      </c>
      <c r="G633" s="4">
        <v>0</v>
      </c>
      <c r="H633" s="8">
        <v>0</v>
      </c>
      <c r="I633" s="4">
        <v>0</v>
      </c>
    </row>
    <row r="634" spans="1:9" x14ac:dyDescent="0.2">
      <c r="A634" s="2">
        <v>14</v>
      </c>
      <c r="B634" s="1" t="s">
        <v>154</v>
      </c>
      <c r="C634" s="4">
        <v>4</v>
      </c>
      <c r="D634" s="8">
        <v>2.16</v>
      </c>
      <c r="E634" s="4">
        <v>2</v>
      </c>
      <c r="F634" s="8">
        <v>1.65</v>
      </c>
      <c r="G634" s="4">
        <v>2</v>
      </c>
      <c r="H634" s="8">
        <v>3.33</v>
      </c>
      <c r="I634" s="4">
        <v>0</v>
      </c>
    </row>
    <row r="635" spans="1:9" x14ac:dyDescent="0.2">
      <c r="A635" s="2">
        <v>14</v>
      </c>
      <c r="B635" s="1" t="s">
        <v>128</v>
      </c>
      <c r="C635" s="4">
        <v>4</v>
      </c>
      <c r="D635" s="8">
        <v>2.16</v>
      </c>
      <c r="E635" s="4">
        <v>3</v>
      </c>
      <c r="F635" s="8">
        <v>2.48</v>
      </c>
      <c r="G635" s="4">
        <v>1</v>
      </c>
      <c r="H635" s="8">
        <v>1.67</v>
      </c>
      <c r="I635" s="4">
        <v>0</v>
      </c>
    </row>
    <row r="636" spans="1:9" x14ac:dyDescent="0.2">
      <c r="A636" s="2">
        <v>14</v>
      </c>
      <c r="B636" s="1" t="s">
        <v>137</v>
      </c>
      <c r="C636" s="4">
        <v>4</v>
      </c>
      <c r="D636" s="8">
        <v>2.16</v>
      </c>
      <c r="E636" s="4">
        <v>3</v>
      </c>
      <c r="F636" s="8">
        <v>2.48</v>
      </c>
      <c r="G636" s="4">
        <v>1</v>
      </c>
      <c r="H636" s="8">
        <v>1.67</v>
      </c>
      <c r="I636" s="4">
        <v>0</v>
      </c>
    </row>
    <row r="637" spans="1:9" x14ac:dyDescent="0.2">
      <c r="A637" s="2">
        <v>14</v>
      </c>
      <c r="B637" s="1" t="s">
        <v>138</v>
      </c>
      <c r="C637" s="4">
        <v>4</v>
      </c>
      <c r="D637" s="8">
        <v>2.16</v>
      </c>
      <c r="E637" s="4">
        <v>4</v>
      </c>
      <c r="F637" s="8">
        <v>3.31</v>
      </c>
      <c r="G637" s="4">
        <v>0</v>
      </c>
      <c r="H637" s="8">
        <v>0</v>
      </c>
      <c r="I637" s="4">
        <v>0</v>
      </c>
    </row>
    <row r="638" spans="1:9" x14ac:dyDescent="0.2">
      <c r="A638" s="2">
        <v>18</v>
      </c>
      <c r="B638" s="1" t="s">
        <v>150</v>
      </c>
      <c r="C638" s="4">
        <v>3</v>
      </c>
      <c r="D638" s="8">
        <v>1.62</v>
      </c>
      <c r="E638" s="4">
        <v>0</v>
      </c>
      <c r="F638" s="8">
        <v>0</v>
      </c>
      <c r="G638" s="4">
        <v>3</v>
      </c>
      <c r="H638" s="8">
        <v>5</v>
      </c>
      <c r="I638" s="4">
        <v>0</v>
      </c>
    </row>
    <row r="639" spans="1:9" x14ac:dyDescent="0.2">
      <c r="A639" s="2">
        <v>18</v>
      </c>
      <c r="B639" s="1" t="s">
        <v>156</v>
      </c>
      <c r="C639" s="4">
        <v>3</v>
      </c>
      <c r="D639" s="8">
        <v>1.62</v>
      </c>
      <c r="E639" s="4">
        <v>2</v>
      </c>
      <c r="F639" s="8">
        <v>1.65</v>
      </c>
      <c r="G639" s="4">
        <v>1</v>
      </c>
      <c r="H639" s="8">
        <v>1.67</v>
      </c>
      <c r="I639" s="4">
        <v>0</v>
      </c>
    </row>
    <row r="640" spans="1:9" x14ac:dyDescent="0.2">
      <c r="A640" s="2">
        <v>18</v>
      </c>
      <c r="B640" s="1" t="s">
        <v>141</v>
      </c>
      <c r="C640" s="4">
        <v>3</v>
      </c>
      <c r="D640" s="8">
        <v>1.62</v>
      </c>
      <c r="E640" s="4">
        <v>3</v>
      </c>
      <c r="F640" s="8">
        <v>2.48</v>
      </c>
      <c r="G640" s="4">
        <v>0</v>
      </c>
      <c r="H640" s="8">
        <v>0</v>
      </c>
      <c r="I640" s="4">
        <v>0</v>
      </c>
    </row>
    <row r="641" spans="1:9" x14ac:dyDescent="0.2">
      <c r="A641" s="2">
        <v>18</v>
      </c>
      <c r="B641" s="1" t="s">
        <v>188</v>
      </c>
      <c r="C641" s="4">
        <v>3</v>
      </c>
      <c r="D641" s="8">
        <v>1.62</v>
      </c>
      <c r="E641" s="4">
        <v>0</v>
      </c>
      <c r="F641" s="8">
        <v>0</v>
      </c>
      <c r="G641" s="4">
        <v>3</v>
      </c>
      <c r="H641" s="8">
        <v>5</v>
      </c>
      <c r="I641" s="4">
        <v>0</v>
      </c>
    </row>
    <row r="642" spans="1:9" x14ac:dyDescent="0.2">
      <c r="A642" s="1"/>
      <c r="C642" s="4"/>
      <c r="D642" s="8"/>
      <c r="E642" s="4"/>
      <c r="F642" s="8"/>
      <c r="G642" s="4"/>
      <c r="H642" s="8"/>
      <c r="I642" s="4"/>
    </row>
    <row r="643" spans="1:9" x14ac:dyDescent="0.2">
      <c r="A643" s="1" t="s">
        <v>28</v>
      </c>
      <c r="C643" s="4"/>
      <c r="D643" s="8"/>
      <c r="E643" s="4"/>
      <c r="F643" s="8"/>
      <c r="G643" s="4"/>
      <c r="H643" s="8"/>
      <c r="I643" s="4"/>
    </row>
    <row r="644" spans="1:9" x14ac:dyDescent="0.2">
      <c r="A644" s="2">
        <v>1</v>
      </c>
      <c r="B644" s="1" t="s">
        <v>139</v>
      </c>
      <c r="C644" s="4">
        <v>13</v>
      </c>
      <c r="D644" s="8">
        <v>6.53</v>
      </c>
      <c r="E644" s="4">
        <v>13</v>
      </c>
      <c r="F644" s="8">
        <v>9.85</v>
      </c>
      <c r="G644" s="4">
        <v>0</v>
      </c>
      <c r="H644" s="8">
        <v>0</v>
      </c>
      <c r="I644" s="4">
        <v>0</v>
      </c>
    </row>
    <row r="645" spans="1:9" x14ac:dyDescent="0.2">
      <c r="A645" s="2">
        <v>2</v>
      </c>
      <c r="B645" s="1" t="s">
        <v>127</v>
      </c>
      <c r="C645" s="4">
        <v>9</v>
      </c>
      <c r="D645" s="8">
        <v>4.5199999999999996</v>
      </c>
      <c r="E645" s="4">
        <v>7</v>
      </c>
      <c r="F645" s="8">
        <v>5.3</v>
      </c>
      <c r="G645" s="4">
        <v>2</v>
      </c>
      <c r="H645" s="8">
        <v>3.28</v>
      </c>
      <c r="I645" s="4">
        <v>0</v>
      </c>
    </row>
    <row r="646" spans="1:9" x14ac:dyDescent="0.2">
      <c r="A646" s="2">
        <v>3</v>
      </c>
      <c r="B646" s="1" t="s">
        <v>129</v>
      </c>
      <c r="C646" s="4">
        <v>8</v>
      </c>
      <c r="D646" s="8">
        <v>4.0199999999999996</v>
      </c>
      <c r="E646" s="4">
        <v>8</v>
      </c>
      <c r="F646" s="8">
        <v>6.06</v>
      </c>
      <c r="G646" s="4">
        <v>0</v>
      </c>
      <c r="H646" s="8">
        <v>0</v>
      </c>
      <c r="I646" s="4">
        <v>0</v>
      </c>
    </row>
    <row r="647" spans="1:9" x14ac:dyDescent="0.2">
      <c r="A647" s="2">
        <v>3</v>
      </c>
      <c r="B647" s="1" t="s">
        <v>205</v>
      </c>
      <c r="C647" s="4">
        <v>8</v>
      </c>
      <c r="D647" s="8">
        <v>4.0199999999999996</v>
      </c>
      <c r="E647" s="4">
        <v>8</v>
      </c>
      <c r="F647" s="8">
        <v>6.06</v>
      </c>
      <c r="G647" s="4">
        <v>0</v>
      </c>
      <c r="H647" s="8">
        <v>0</v>
      </c>
      <c r="I647" s="4">
        <v>0</v>
      </c>
    </row>
    <row r="648" spans="1:9" x14ac:dyDescent="0.2">
      <c r="A648" s="2">
        <v>5</v>
      </c>
      <c r="B648" s="1" t="s">
        <v>124</v>
      </c>
      <c r="C648" s="4">
        <v>7</v>
      </c>
      <c r="D648" s="8">
        <v>3.52</v>
      </c>
      <c r="E648" s="4">
        <v>0</v>
      </c>
      <c r="F648" s="8">
        <v>0</v>
      </c>
      <c r="G648" s="4">
        <v>7</v>
      </c>
      <c r="H648" s="8">
        <v>11.48</v>
      </c>
      <c r="I648" s="4">
        <v>0</v>
      </c>
    </row>
    <row r="649" spans="1:9" x14ac:dyDescent="0.2">
      <c r="A649" s="2">
        <v>6</v>
      </c>
      <c r="B649" s="1" t="s">
        <v>136</v>
      </c>
      <c r="C649" s="4">
        <v>6</v>
      </c>
      <c r="D649" s="8">
        <v>3.02</v>
      </c>
      <c r="E649" s="4">
        <v>6</v>
      </c>
      <c r="F649" s="8">
        <v>4.55</v>
      </c>
      <c r="G649" s="4">
        <v>0</v>
      </c>
      <c r="H649" s="8">
        <v>0</v>
      </c>
      <c r="I649" s="4">
        <v>0</v>
      </c>
    </row>
    <row r="650" spans="1:9" x14ac:dyDescent="0.2">
      <c r="A650" s="2">
        <v>7</v>
      </c>
      <c r="B650" s="1" t="s">
        <v>134</v>
      </c>
      <c r="C650" s="4">
        <v>5</v>
      </c>
      <c r="D650" s="8">
        <v>2.5099999999999998</v>
      </c>
      <c r="E650" s="4">
        <v>5</v>
      </c>
      <c r="F650" s="8">
        <v>3.79</v>
      </c>
      <c r="G650" s="4">
        <v>0</v>
      </c>
      <c r="H650" s="8">
        <v>0</v>
      </c>
      <c r="I650" s="4">
        <v>0</v>
      </c>
    </row>
    <row r="651" spans="1:9" x14ac:dyDescent="0.2">
      <c r="A651" s="2">
        <v>7</v>
      </c>
      <c r="B651" s="1" t="s">
        <v>140</v>
      </c>
      <c r="C651" s="4">
        <v>5</v>
      </c>
      <c r="D651" s="8">
        <v>2.5099999999999998</v>
      </c>
      <c r="E651" s="4">
        <v>5</v>
      </c>
      <c r="F651" s="8">
        <v>3.79</v>
      </c>
      <c r="G651" s="4">
        <v>0</v>
      </c>
      <c r="H651" s="8">
        <v>0</v>
      </c>
      <c r="I651" s="4">
        <v>0</v>
      </c>
    </row>
    <row r="652" spans="1:9" x14ac:dyDescent="0.2">
      <c r="A652" s="2">
        <v>7</v>
      </c>
      <c r="B652" s="1" t="s">
        <v>142</v>
      </c>
      <c r="C652" s="4">
        <v>5</v>
      </c>
      <c r="D652" s="8">
        <v>2.5099999999999998</v>
      </c>
      <c r="E652" s="4">
        <v>5</v>
      </c>
      <c r="F652" s="8">
        <v>3.79</v>
      </c>
      <c r="G652" s="4">
        <v>0</v>
      </c>
      <c r="H652" s="8">
        <v>0</v>
      </c>
      <c r="I652" s="4">
        <v>0</v>
      </c>
    </row>
    <row r="653" spans="1:9" x14ac:dyDescent="0.2">
      <c r="A653" s="2">
        <v>10</v>
      </c>
      <c r="B653" s="1" t="s">
        <v>189</v>
      </c>
      <c r="C653" s="4">
        <v>4</v>
      </c>
      <c r="D653" s="8">
        <v>2.0099999999999998</v>
      </c>
      <c r="E653" s="4">
        <v>3</v>
      </c>
      <c r="F653" s="8">
        <v>2.27</v>
      </c>
      <c r="G653" s="4">
        <v>1</v>
      </c>
      <c r="H653" s="8">
        <v>1.64</v>
      </c>
      <c r="I653" s="4">
        <v>0</v>
      </c>
    </row>
    <row r="654" spans="1:9" x14ac:dyDescent="0.2">
      <c r="A654" s="2">
        <v>10</v>
      </c>
      <c r="B654" s="1" t="s">
        <v>126</v>
      </c>
      <c r="C654" s="4">
        <v>4</v>
      </c>
      <c r="D654" s="8">
        <v>2.0099999999999998</v>
      </c>
      <c r="E654" s="4">
        <v>4</v>
      </c>
      <c r="F654" s="8">
        <v>3.03</v>
      </c>
      <c r="G654" s="4">
        <v>0</v>
      </c>
      <c r="H654" s="8">
        <v>0</v>
      </c>
      <c r="I654" s="4">
        <v>0</v>
      </c>
    </row>
    <row r="655" spans="1:9" x14ac:dyDescent="0.2">
      <c r="A655" s="2">
        <v>10</v>
      </c>
      <c r="B655" s="1" t="s">
        <v>128</v>
      </c>
      <c r="C655" s="4">
        <v>4</v>
      </c>
      <c r="D655" s="8">
        <v>2.0099999999999998</v>
      </c>
      <c r="E655" s="4">
        <v>3</v>
      </c>
      <c r="F655" s="8">
        <v>2.27</v>
      </c>
      <c r="G655" s="4">
        <v>1</v>
      </c>
      <c r="H655" s="8">
        <v>1.64</v>
      </c>
      <c r="I655" s="4">
        <v>0</v>
      </c>
    </row>
    <row r="656" spans="1:9" x14ac:dyDescent="0.2">
      <c r="A656" s="2">
        <v>10</v>
      </c>
      <c r="B656" s="1" t="s">
        <v>147</v>
      </c>
      <c r="C656" s="4">
        <v>4</v>
      </c>
      <c r="D656" s="8">
        <v>2.0099999999999998</v>
      </c>
      <c r="E656" s="4">
        <v>2</v>
      </c>
      <c r="F656" s="8">
        <v>1.52</v>
      </c>
      <c r="G656" s="4">
        <v>2</v>
      </c>
      <c r="H656" s="8">
        <v>3.28</v>
      </c>
      <c r="I656" s="4">
        <v>0</v>
      </c>
    </row>
    <row r="657" spans="1:9" x14ac:dyDescent="0.2">
      <c r="A657" s="2">
        <v>10</v>
      </c>
      <c r="B657" s="1" t="s">
        <v>131</v>
      </c>
      <c r="C657" s="4">
        <v>4</v>
      </c>
      <c r="D657" s="8">
        <v>2.0099999999999998</v>
      </c>
      <c r="E657" s="4">
        <v>2</v>
      </c>
      <c r="F657" s="8">
        <v>1.52</v>
      </c>
      <c r="G657" s="4">
        <v>2</v>
      </c>
      <c r="H657" s="8">
        <v>3.28</v>
      </c>
      <c r="I657" s="4">
        <v>0</v>
      </c>
    </row>
    <row r="658" spans="1:9" x14ac:dyDescent="0.2">
      <c r="A658" s="2">
        <v>10</v>
      </c>
      <c r="B658" s="1" t="s">
        <v>156</v>
      </c>
      <c r="C658" s="4">
        <v>4</v>
      </c>
      <c r="D658" s="8">
        <v>2.0099999999999998</v>
      </c>
      <c r="E658" s="4">
        <v>3</v>
      </c>
      <c r="F658" s="8">
        <v>2.27</v>
      </c>
      <c r="G658" s="4">
        <v>1</v>
      </c>
      <c r="H658" s="8">
        <v>1.64</v>
      </c>
      <c r="I658" s="4">
        <v>0</v>
      </c>
    </row>
    <row r="659" spans="1:9" x14ac:dyDescent="0.2">
      <c r="A659" s="2">
        <v>10</v>
      </c>
      <c r="B659" s="1" t="s">
        <v>188</v>
      </c>
      <c r="C659" s="4">
        <v>4</v>
      </c>
      <c r="D659" s="8">
        <v>2.0099999999999998</v>
      </c>
      <c r="E659" s="4">
        <v>0</v>
      </c>
      <c r="F659" s="8">
        <v>0</v>
      </c>
      <c r="G659" s="4">
        <v>3</v>
      </c>
      <c r="H659" s="8">
        <v>4.92</v>
      </c>
      <c r="I659" s="4">
        <v>0</v>
      </c>
    </row>
    <row r="660" spans="1:9" x14ac:dyDescent="0.2">
      <c r="A660" s="2">
        <v>10</v>
      </c>
      <c r="B660" s="1" t="s">
        <v>143</v>
      </c>
      <c r="C660" s="4">
        <v>4</v>
      </c>
      <c r="D660" s="8">
        <v>2.0099999999999998</v>
      </c>
      <c r="E660" s="4">
        <v>4</v>
      </c>
      <c r="F660" s="8">
        <v>3.03</v>
      </c>
      <c r="G660" s="4">
        <v>0</v>
      </c>
      <c r="H660" s="8">
        <v>0</v>
      </c>
      <c r="I660" s="4">
        <v>0</v>
      </c>
    </row>
    <row r="661" spans="1:9" x14ac:dyDescent="0.2">
      <c r="A661" s="2">
        <v>18</v>
      </c>
      <c r="B661" s="1" t="s">
        <v>125</v>
      </c>
      <c r="C661" s="4">
        <v>3</v>
      </c>
      <c r="D661" s="8">
        <v>1.51</v>
      </c>
      <c r="E661" s="4">
        <v>1</v>
      </c>
      <c r="F661" s="8">
        <v>0.76</v>
      </c>
      <c r="G661" s="4">
        <v>2</v>
      </c>
      <c r="H661" s="8">
        <v>3.28</v>
      </c>
      <c r="I661" s="4">
        <v>0</v>
      </c>
    </row>
    <row r="662" spans="1:9" x14ac:dyDescent="0.2">
      <c r="A662" s="2">
        <v>18</v>
      </c>
      <c r="B662" s="1" t="s">
        <v>155</v>
      </c>
      <c r="C662" s="4">
        <v>3</v>
      </c>
      <c r="D662" s="8">
        <v>1.51</v>
      </c>
      <c r="E662" s="4">
        <v>0</v>
      </c>
      <c r="F662" s="8">
        <v>0</v>
      </c>
      <c r="G662" s="4">
        <v>3</v>
      </c>
      <c r="H662" s="8">
        <v>4.92</v>
      </c>
      <c r="I662" s="4">
        <v>0</v>
      </c>
    </row>
    <row r="663" spans="1:9" x14ac:dyDescent="0.2">
      <c r="A663" s="2">
        <v>18</v>
      </c>
      <c r="B663" s="1" t="s">
        <v>204</v>
      </c>
      <c r="C663" s="4">
        <v>3</v>
      </c>
      <c r="D663" s="8">
        <v>1.51</v>
      </c>
      <c r="E663" s="4">
        <v>3</v>
      </c>
      <c r="F663" s="8">
        <v>2.27</v>
      </c>
      <c r="G663" s="4">
        <v>0</v>
      </c>
      <c r="H663" s="8">
        <v>0</v>
      </c>
      <c r="I663" s="4">
        <v>0</v>
      </c>
    </row>
    <row r="664" spans="1:9" x14ac:dyDescent="0.2">
      <c r="A664" s="2">
        <v>18</v>
      </c>
      <c r="B664" s="1" t="s">
        <v>168</v>
      </c>
      <c r="C664" s="4">
        <v>3</v>
      </c>
      <c r="D664" s="8">
        <v>1.51</v>
      </c>
      <c r="E664" s="4">
        <v>0</v>
      </c>
      <c r="F664" s="8">
        <v>0</v>
      </c>
      <c r="G664" s="4">
        <v>3</v>
      </c>
      <c r="H664" s="8">
        <v>4.92</v>
      </c>
      <c r="I664" s="4">
        <v>0</v>
      </c>
    </row>
    <row r="665" spans="1:9" x14ac:dyDescent="0.2">
      <c r="A665" s="2">
        <v>18</v>
      </c>
      <c r="B665" s="1" t="s">
        <v>132</v>
      </c>
      <c r="C665" s="4">
        <v>3</v>
      </c>
      <c r="D665" s="8">
        <v>1.51</v>
      </c>
      <c r="E665" s="4">
        <v>0</v>
      </c>
      <c r="F665" s="8">
        <v>0</v>
      </c>
      <c r="G665" s="4">
        <v>3</v>
      </c>
      <c r="H665" s="8">
        <v>4.92</v>
      </c>
      <c r="I665" s="4">
        <v>0</v>
      </c>
    </row>
    <row r="666" spans="1:9" x14ac:dyDescent="0.2">
      <c r="A666" s="2">
        <v>18</v>
      </c>
      <c r="B666" s="1" t="s">
        <v>133</v>
      </c>
      <c r="C666" s="4">
        <v>3</v>
      </c>
      <c r="D666" s="8">
        <v>1.51</v>
      </c>
      <c r="E666" s="4">
        <v>3</v>
      </c>
      <c r="F666" s="8">
        <v>2.27</v>
      </c>
      <c r="G666" s="4">
        <v>0</v>
      </c>
      <c r="H666" s="8">
        <v>0</v>
      </c>
      <c r="I666" s="4">
        <v>0</v>
      </c>
    </row>
    <row r="667" spans="1:9" x14ac:dyDescent="0.2">
      <c r="A667" s="2">
        <v>18</v>
      </c>
      <c r="B667" s="1" t="s">
        <v>158</v>
      </c>
      <c r="C667" s="4">
        <v>3</v>
      </c>
      <c r="D667" s="8">
        <v>1.51</v>
      </c>
      <c r="E667" s="4">
        <v>2</v>
      </c>
      <c r="F667" s="8">
        <v>1.52</v>
      </c>
      <c r="G667" s="4">
        <v>1</v>
      </c>
      <c r="H667" s="8">
        <v>1.64</v>
      </c>
      <c r="I667" s="4">
        <v>0</v>
      </c>
    </row>
    <row r="668" spans="1:9" x14ac:dyDescent="0.2">
      <c r="A668" s="2">
        <v>18</v>
      </c>
      <c r="B668" s="1" t="s">
        <v>146</v>
      </c>
      <c r="C668" s="4">
        <v>3</v>
      </c>
      <c r="D668" s="8">
        <v>1.51</v>
      </c>
      <c r="E668" s="4">
        <v>3</v>
      </c>
      <c r="F668" s="8">
        <v>2.27</v>
      </c>
      <c r="G668" s="4">
        <v>0</v>
      </c>
      <c r="H668" s="8">
        <v>0</v>
      </c>
      <c r="I668" s="4">
        <v>0</v>
      </c>
    </row>
    <row r="669" spans="1:9" x14ac:dyDescent="0.2">
      <c r="A669" s="2">
        <v>18</v>
      </c>
      <c r="B669" s="1" t="s">
        <v>166</v>
      </c>
      <c r="C669" s="4">
        <v>3</v>
      </c>
      <c r="D669" s="8">
        <v>1.51</v>
      </c>
      <c r="E669" s="4">
        <v>3</v>
      </c>
      <c r="F669" s="8">
        <v>2.27</v>
      </c>
      <c r="G669" s="4">
        <v>0</v>
      </c>
      <c r="H669" s="8">
        <v>0</v>
      </c>
      <c r="I669" s="4">
        <v>0</v>
      </c>
    </row>
    <row r="670" spans="1:9" x14ac:dyDescent="0.2">
      <c r="A670" s="1"/>
      <c r="C670" s="4"/>
      <c r="D670" s="8"/>
      <c r="E670" s="4"/>
      <c r="F670" s="8"/>
      <c r="G670" s="4"/>
      <c r="H670" s="8"/>
      <c r="I670" s="4"/>
    </row>
    <row r="671" spans="1:9" x14ac:dyDescent="0.2">
      <c r="A671" s="1" t="s">
        <v>29</v>
      </c>
      <c r="C671" s="4"/>
      <c r="D671" s="8"/>
      <c r="E671" s="4"/>
      <c r="F671" s="8"/>
      <c r="G671" s="4"/>
      <c r="H671" s="8"/>
      <c r="I671" s="4"/>
    </row>
    <row r="672" spans="1:9" x14ac:dyDescent="0.2">
      <c r="A672" s="2">
        <v>1</v>
      </c>
      <c r="B672" s="1" t="s">
        <v>140</v>
      </c>
      <c r="C672" s="4">
        <v>38</v>
      </c>
      <c r="D672" s="8">
        <v>9.67</v>
      </c>
      <c r="E672" s="4">
        <v>36</v>
      </c>
      <c r="F672" s="8">
        <v>14.46</v>
      </c>
      <c r="G672" s="4">
        <v>2</v>
      </c>
      <c r="H672" s="8">
        <v>1.59</v>
      </c>
      <c r="I672" s="4">
        <v>0</v>
      </c>
    </row>
    <row r="673" spans="1:9" x14ac:dyDescent="0.2">
      <c r="A673" s="2">
        <v>2</v>
      </c>
      <c r="B673" s="1" t="s">
        <v>130</v>
      </c>
      <c r="C673" s="4">
        <v>22</v>
      </c>
      <c r="D673" s="8">
        <v>5.6</v>
      </c>
      <c r="E673" s="4">
        <v>17</v>
      </c>
      <c r="F673" s="8">
        <v>6.83</v>
      </c>
      <c r="G673" s="4">
        <v>5</v>
      </c>
      <c r="H673" s="8">
        <v>3.97</v>
      </c>
      <c r="I673" s="4">
        <v>0</v>
      </c>
    </row>
    <row r="674" spans="1:9" x14ac:dyDescent="0.2">
      <c r="A674" s="2">
        <v>3</v>
      </c>
      <c r="B674" s="1" t="s">
        <v>124</v>
      </c>
      <c r="C674" s="4">
        <v>15</v>
      </c>
      <c r="D674" s="8">
        <v>3.82</v>
      </c>
      <c r="E674" s="4">
        <v>3</v>
      </c>
      <c r="F674" s="8">
        <v>1.2</v>
      </c>
      <c r="G674" s="4">
        <v>12</v>
      </c>
      <c r="H674" s="8">
        <v>9.52</v>
      </c>
      <c r="I674" s="4">
        <v>0</v>
      </c>
    </row>
    <row r="675" spans="1:9" x14ac:dyDescent="0.2">
      <c r="A675" s="2">
        <v>3</v>
      </c>
      <c r="B675" s="1" t="s">
        <v>139</v>
      </c>
      <c r="C675" s="4">
        <v>15</v>
      </c>
      <c r="D675" s="8">
        <v>3.82</v>
      </c>
      <c r="E675" s="4">
        <v>15</v>
      </c>
      <c r="F675" s="8">
        <v>6.02</v>
      </c>
      <c r="G675" s="4">
        <v>0</v>
      </c>
      <c r="H675" s="8">
        <v>0</v>
      </c>
      <c r="I675" s="4">
        <v>0</v>
      </c>
    </row>
    <row r="676" spans="1:9" x14ac:dyDescent="0.2">
      <c r="A676" s="2">
        <v>5</v>
      </c>
      <c r="B676" s="1" t="s">
        <v>136</v>
      </c>
      <c r="C676" s="4">
        <v>13</v>
      </c>
      <c r="D676" s="8">
        <v>3.31</v>
      </c>
      <c r="E676" s="4">
        <v>13</v>
      </c>
      <c r="F676" s="8">
        <v>5.22</v>
      </c>
      <c r="G676" s="4">
        <v>0</v>
      </c>
      <c r="H676" s="8">
        <v>0</v>
      </c>
      <c r="I676" s="4">
        <v>0</v>
      </c>
    </row>
    <row r="677" spans="1:9" x14ac:dyDescent="0.2">
      <c r="A677" s="2">
        <v>5</v>
      </c>
      <c r="B677" s="1" t="s">
        <v>165</v>
      </c>
      <c r="C677" s="4">
        <v>13</v>
      </c>
      <c r="D677" s="8">
        <v>3.31</v>
      </c>
      <c r="E677" s="4">
        <v>0</v>
      </c>
      <c r="F677" s="8">
        <v>0</v>
      </c>
      <c r="G677" s="4">
        <v>0</v>
      </c>
      <c r="H677" s="8">
        <v>0</v>
      </c>
      <c r="I677" s="4">
        <v>0</v>
      </c>
    </row>
    <row r="678" spans="1:9" x14ac:dyDescent="0.2">
      <c r="A678" s="2">
        <v>7</v>
      </c>
      <c r="B678" s="1" t="s">
        <v>127</v>
      </c>
      <c r="C678" s="4">
        <v>11</v>
      </c>
      <c r="D678" s="8">
        <v>2.8</v>
      </c>
      <c r="E678" s="4">
        <v>8</v>
      </c>
      <c r="F678" s="8">
        <v>3.21</v>
      </c>
      <c r="G678" s="4">
        <v>3</v>
      </c>
      <c r="H678" s="8">
        <v>2.38</v>
      </c>
      <c r="I678" s="4">
        <v>0</v>
      </c>
    </row>
    <row r="679" spans="1:9" x14ac:dyDescent="0.2">
      <c r="A679" s="2">
        <v>7</v>
      </c>
      <c r="B679" s="1" t="s">
        <v>133</v>
      </c>
      <c r="C679" s="4">
        <v>11</v>
      </c>
      <c r="D679" s="8">
        <v>2.8</v>
      </c>
      <c r="E679" s="4">
        <v>9</v>
      </c>
      <c r="F679" s="8">
        <v>3.61</v>
      </c>
      <c r="G679" s="4">
        <v>2</v>
      </c>
      <c r="H679" s="8">
        <v>1.59</v>
      </c>
      <c r="I679" s="4">
        <v>0</v>
      </c>
    </row>
    <row r="680" spans="1:9" x14ac:dyDescent="0.2">
      <c r="A680" s="2">
        <v>9</v>
      </c>
      <c r="B680" s="1" t="s">
        <v>128</v>
      </c>
      <c r="C680" s="4">
        <v>10</v>
      </c>
      <c r="D680" s="8">
        <v>2.54</v>
      </c>
      <c r="E680" s="4">
        <v>8</v>
      </c>
      <c r="F680" s="8">
        <v>3.21</v>
      </c>
      <c r="G680" s="4">
        <v>2</v>
      </c>
      <c r="H680" s="8">
        <v>1.59</v>
      </c>
      <c r="I680" s="4">
        <v>0</v>
      </c>
    </row>
    <row r="681" spans="1:9" x14ac:dyDescent="0.2">
      <c r="A681" s="2">
        <v>9</v>
      </c>
      <c r="B681" s="1" t="s">
        <v>129</v>
      </c>
      <c r="C681" s="4">
        <v>10</v>
      </c>
      <c r="D681" s="8">
        <v>2.54</v>
      </c>
      <c r="E681" s="4">
        <v>7</v>
      </c>
      <c r="F681" s="8">
        <v>2.81</v>
      </c>
      <c r="G681" s="4">
        <v>2</v>
      </c>
      <c r="H681" s="8">
        <v>1.59</v>
      </c>
      <c r="I681" s="4">
        <v>1</v>
      </c>
    </row>
    <row r="682" spans="1:9" x14ac:dyDescent="0.2">
      <c r="A682" s="2">
        <v>9</v>
      </c>
      <c r="B682" s="1" t="s">
        <v>142</v>
      </c>
      <c r="C682" s="4">
        <v>10</v>
      </c>
      <c r="D682" s="8">
        <v>2.54</v>
      </c>
      <c r="E682" s="4">
        <v>9</v>
      </c>
      <c r="F682" s="8">
        <v>3.61</v>
      </c>
      <c r="G682" s="4">
        <v>1</v>
      </c>
      <c r="H682" s="8">
        <v>0.79</v>
      </c>
      <c r="I682" s="4">
        <v>0</v>
      </c>
    </row>
    <row r="683" spans="1:9" x14ac:dyDescent="0.2">
      <c r="A683" s="2">
        <v>12</v>
      </c>
      <c r="B683" s="1" t="s">
        <v>147</v>
      </c>
      <c r="C683" s="4">
        <v>8</v>
      </c>
      <c r="D683" s="8">
        <v>2.04</v>
      </c>
      <c r="E683" s="4">
        <v>4</v>
      </c>
      <c r="F683" s="8">
        <v>1.61</v>
      </c>
      <c r="G683" s="4">
        <v>4</v>
      </c>
      <c r="H683" s="8">
        <v>3.17</v>
      </c>
      <c r="I683" s="4">
        <v>0</v>
      </c>
    </row>
    <row r="684" spans="1:9" x14ac:dyDescent="0.2">
      <c r="A684" s="2">
        <v>12</v>
      </c>
      <c r="B684" s="1" t="s">
        <v>132</v>
      </c>
      <c r="C684" s="4">
        <v>8</v>
      </c>
      <c r="D684" s="8">
        <v>2.04</v>
      </c>
      <c r="E684" s="4">
        <v>4</v>
      </c>
      <c r="F684" s="8">
        <v>1.61</v>
      </c>
      <c r="G684" s="4">
        <v>4</v>
      </c>
      <c r="H684" s="8">
        <v>3.17</v>
      </c>
      <c r="I684" s="4">
        <v>0</v>
      </c>
    </row>
    <row r="685" spans="1:9" x14ac:dyDescent="0.2">
      <c r="A685" s="2">
        <v>12</v>
      </c>
      <c r="B685" s="1" t="s">
        <v>138</v>
      </c>
      <c r="C685" s="4">
        <v>8</v>
      </c>
      <c r="D685" s="8">
        <v>2.04</v>
      </c>
      <c r="E685" s="4">
        <v>8</v>
      </c>
      <c r="F685" s="8">
        <v>3.21</v>
      </c>
      <c r="G685" s="4">
        <v>0</v>
      </c>
      <c r="H685" s="8">
        <v>0</v>
      </c>
      <c r="I685" s="4">
        <v>0</v>
      </c>
    </row>
    <row r="686" spans="1:9" x14ac:dyDescent="0.2">
      <c r="A686" s="2">
        <v>12</v>
      </c>
      <c r="B686" s="1" t="s">
        <v>143</v>
      </c>
      <c r="C686" s="4">
        <v>8</v>
      </c>
      <c r="D686" s="8">
        <v>2.04</v>
      </c>
      <c r="E686" s="4">
        <v>6</v>
      </c>
      <c r="F686" s="8">
        <v>2.41</v>
      </c>
      <c r="G686" s="4">
        <v>2</v>
      </c>
      <c r="H686" s="8">
        <v>1.59</v>
      </c>
      <c r="I686" s="4">
        <v>0</v>
      </c>
    </row>
    <row r="687" spans="1:9" x14ac:dyDescent="0.2">
      <c r="A687" s="2">
        <v>16</v>
      </c>
      <c r="B687" s="1" t="s">
        <v>157</v>
      </c>
      <c r="C687" s="4">
        <v>7</v>
      </c>
      <c r="D687" s="8">
        <v>1.78</v>
      </c>
      <c r="E687" s="4">
        <v>5</v>
      </c>
      <c r="F687" s="8">
        <v>2.0099999999999998</v>
      </c>
      <c r="G687" s="4">
        <v>2</v>
      </c>
      <c r="H687" s="8">
        <v>1.59</v>
      </c>
      <c r="I687" s="4">
        <v>0</v>
      </c>
    </row>
    <row r="688" spans="1:9" x14ac:dyDescent="0.2">
      <c r="A688" s="2">
        <v>17</v>
      </c>
      <c r="B688" s="1" t="s">
        <v>126</v>
      </c>
      <c r="C688" s="4">
        <v>6</v>
      </c>
      <c r="D688" s="8">
        <v>1.53</v>
      </c>
      <c r="E688" s="4">
        <v>4</v>
      </c>
      <c r="F688" s="8">
        <v>1.61</v>
      </c>
      <c r="G688" s="4">
        <v>2</v>
      </c>
      <c r="H688" s="8">
        <v>1.59</v>
      </c>
      <c r="I688" s="4">
        <v>0</v>
      </c>
    </row>
    <row r="689" spans="1:9" x14ac:dyDescent="0.2">
      <c r="A689" s="2">
        <v>18</v>
      </c>
      <c r="B689" s="1" t="s">
        <v>125</v>
      </c>
      <c r="C689" s="4">
        <v>5</v>
      </c>
      <c r="D689" s="8">
        <v>1.27</v>
      </c>
      <c r="E689" s="4">
        <v>2</v>
      </c>
      <c r="F689" s="8">
        <v>0.8</v>
      </c>
      <c r="G689" s="4">
        <v>3</v>
      </c>
      <c r="H689" s="8">
        <v>2.38</v>
      </c>
      <c r="I689" s="4">
        <v>0</v>
      </c>
    </row>
    <row r="690" spans="1:9" x14ac:dyDescent="0.2">
      <c r="A690" s="2">
        <v>18</v>
      </c>
      <c r="B690" s="1" t="s">
        <v>174</v>
      </c>
      <c r="C690" s="4">
        <v>5</v>
      </c>
      <c r="D690" s="8">
        <v>1.27</v>
      </c>
      <c r="E690" s="4">
        <v>5</v>
      </c>
      <c r="F690" s="8">
        <v>2.0099999999999998</v>
      </c>
      <c r="G690" s="4">
        <v>0</v>
      </c>
      <c r="H690" s="8">
        <v>0</v>
      </c>
      <c r="I690" s="4">
        <v>0</v>
      </c>
    </row>
    <row r="691" spans="1:9" x14ac:dyDescent="0.2">
      <c r="A691" s="2">
        <v>18</v>
      </c>
      <c r="B691" s="1" t="s">
        <v>206</v>
      </c>
      <c r="C691" s="4">
        <v>5</v>
      </c>
      <c r="D691" s="8">
        <v>1.27</v>
      </c>
      <c r="E691" s="4">
        <v>0</v>
      </c>
      <c r="F691" s="8">
        <v>0</v>
      </c>
      <c r="G691" s="4">
        <v>5</v>
      </c>
      <c r="H691" s="8">
        <v>3.97</v>
      </c>
      <c r="I691" s="4">
        <v>0</v>
      </c>
    </row>
    <row r="692" spans="1:9" x14ac:dyDescent="0.2">
      <c r="A692" s="2">
        <v>18</v>
      </c>
      <c r="B692" s="1" t="s">
        <v>158</v>
      </c>
      <c r="C692" s="4">
        <v>5</v>
      </c>
      <c r="D692" s="8">
        <v>1.27</v>
      </c>
      <c r="E692" s="4">
        <v>3</v>
      </c>
      <c r="F692" s="8">
        <v>1.2</v>
      </c>
      <c r="G692" s="4">
        <v>2</v>
      </c>
      <c r="H692" s="8">
        <v>1.59</v>
      </c>
      <c r="I692" s="4">
        <v>0</v>
      </c>
    </row>
    <row r="693" spans="1:9" x14ac:dyDescent="0.2">
      <c r="A693" s="1"/>
      <c r="C693" s="4"/>
      <c r="D693" s="8"/>
      <c r="E693" s="4"/>
      <c r="F693" s="8"/>
      <c r="G693" s="4"/>
      <c r="H693" s="8"/>
      <c r="I693" s="4"/>
    </row>
    <row r="694" spans="1:9" x14ac:dyDescent="0.2">
      <c r="A694" s="1" t="s">
        <v>30</v>
      </c>
      <c r="C694" s="4"/>
      <c r="D694" s="8"/>
      <c r="E694" s="4"/>
      <c r="F694" s="8"/>
      <c r="G694" s="4"/>
      <c r="H694" s="8"/>
      <c r="I694" s="4"/>
    </row>
    <row r="695" spans="1:9" x14ac:dyDescent="0.2">
      <c r="A695" s="2">
        <v>1</v>
      </c>
      <c r="B695" s="1" t="s">
        <v>140</v>
      </c>
      <c r="C695" s="4">
        <v>15</v>
      </c>
      <c r="D695" s="8">
        <v>5.95</v>
      </c>
      <c r="E695" s="4">
        <v>15</v>
      </c>
      <c r="F695" s="8">
        <v>8.8800000000000008</v>
      </c>
      <c r="G695" s="4">
        <v>0</v>
      </c>
      <c r="H695" s="8">
        <v>0</v>
      </c>
      <c r="I695" s="4">
        <v>0</v>
      </c>
    </row>
    <row r="696" spans="1:9" x14ac:dyDescent="0.2">
      <c r="A696" s="2">
        <v>2</v>
      </c>
      <c r="B696" s="1" t="s">
        <v>137</v>
      </c>
      <c r="C696" s="4">
        <v>11</v>
      </c>
      <c r="D696" s="8">
        <v>4.37</v>
      </c>
      <c r="E696" s="4">
        <v>11</v>
      </c>
      <c r="F696" s="8">
        <v>6.51</v>
      </c>
      <c r="G696" s="4">
        <v>0</v>
      </c>
      <c r="H696" s="8">
        <v>0</v>
      </c>
      <c r="I696" s="4">
        <v>0</v>
      </c>
    </row>
    <row r="697" spans="1:9" x14ac:dyDescent="0.2">
      <c r="A697" s="2">
        <v>3</v>
      </c>
      <c r="B697" s="1" t="s">
        <v>129</v>
      </c>
      <c r="C697" s="4">
        <v>9</v>
      </c>
      <c r="D697" s="8">
        <v>3.57</v>
      </c>
      <c r="E697" s="4">
        <v>8</v>
      </c>
      <c r="F697" s="8">
        <v>4.7300000000000004</v>
      </c>
      <c r="G697" s="4">
        <v>0</v>
      </c>
      <c r="H697" s="8">
        <v>0</v>
      </c>
      <c r="I697" s="4">
        <v>1</v>
      </c>
    </row>
    <row r="698" spans="1:9" x14ac:dyDescent="0.2">
      <c r="A698" s="2">
        <v>3</v>
      </c>
      <c r="B698" s="1" t="s">
        <v>133</v>
      </c>
      <c r="C698" s="4">
        <v>9</v>
      </c>
      <c r="D698" s="8">
        <v>3.57</v>
      </c>
      <c r="E698" s="4">
        <v>7</v>
      </c>
      <c r="F698" s="8">
        <v>4.1399999999999997</v>
      </c>
      <c r="G698" s="4">
        <v>2</v>
      </c>
      <c r="H698" s="8">
        <v>2.6</v>
      </c>
      <c r="I698" s="4">
        <v>0</v>
      </c>
    </row>
    <row r="699" spans="1:9" x14ac:dyDescent="0.2">
      <c r="A699" s="2">
        <v>5</v>
      </c>
      <c r="B699" s="1" t="s">
        <v>158</v>
      </c>
      <c r="C699" s="4">
        <v>8</v>
      </c>
      <c r="D699" s="8">
        <v>3.17</v>
      </c>
      <c r="E699" s="4">
        <v>7</v>
      </c>
      <c r="F699" s="8">
        <v>4.1399999999999997</v>
      </c>
      <c r="G699" s="4">
        <v>1</v>
      </c>
      <c r="H699" s="8">
        <v>1.3</v>
      </c>
      <c r="I699" s="4">
        <v>0</v>
      </c>
    </row>
    <row r="700" spans="1:9" x14ac:dyDescent="0.2">
      <c r="A700" s="2">
        <v>5</v>
      </c>
      <c r="B700" s="1" t="s">
        <v>138</v>
      </c>
      <c r="C700" s="4">
        <v>8</v>
      </c>
      <c r="D700" s="8">
        <v>3.17</v>
      </c>
      <c r="E700" s="4">
        <v>7</v>
      </c>
      <c r="F700" s="8">
        <v>4.1399999999999997</v>
      </c>
      <c r="G700" s="4">
        <v>1</v>
      </c>
      <c r="H700" s="8">
        <v>1.3</v>
      </c>
      <c r="I700" s="4">
        <v>0</v>
      </c>
    </row>
    <row r="701" spans="1:9" x14ac:dyDescent="0.2">
      <c r="A701" s="2">
        <v>7</v>
      </c>
      <c r="B701" s="1" t="s">
        <v>135</v>
      </c>
      <c r="C701" s="4">
        <v>7</v>
      </c>
      <c r="D701" s="8">
        <v>2.78</v>
      </c>
      <c r="E701" s="4">
        <v>3</v>
      </c>
      <c r="F701" s="8">
        <v>1.78</v>
      </c>
      <c r="G701" s="4">
        <v>4</v>
      </c>
      <c r="H701" s="8">
        <v>5.19</v>
      </c>
      <c r="I701" s="4">
        <v>0</v>
      </c>
    </row>
    <row r="702" spans="1:9" x14ac:dyDescent="0.2">
      <c r="A702" s="2">
        <v>7</v>
      </c>
      <c r="B702" s="1" t="s">
        <v>143</v>
      </c>
      <c r="C702" s="4">
        <v>7</v>
      </c>
      <c r="D702" s="8">
        <v>2.78</v>
      </c>
      <c r="E702" s="4">
        <v>7</v>
      </c>
      <c r="F702" s="8">
        <v>4.1399999999999997</v>
      </c>
      <c r="G702" s="4">
        <v>0</v>
      </c>
      <c r="H702" s="8">
        <v>0</v>
      </c>
      <c r="I702" s="4">
        <v>0</v>
      </c>
    </row>
    <row r="703" spans="1:9" x14ac:dyDescent="0.2">
      <c r="A703" s="2">
        <v>9</v>
      </c>
      <c r="B703" s="1" t="s">
        <v>124</v>
      </c>
      <c r="C703" s="4">
        <v>6</v>
      </c>
      <c r="D703" s="8">
        <v>2.38</v>
      </c>
      <c r="E703" s="4">
        <v>0</v>
      </c>
      <c r="F703" s="8">
        <v>0</v>
      </c>
      <c r="G703" s="4">
        <v>6</v>
      </c>
      <c r="H703" s="8">
        <v>7.79</v>
      </c>
      <c r="I703" s="4">
        <v>0</v>
      </c>
    </row>
    <row r="704" spans="1:9" x14ac:dyDescent="0.2">
      <c r="A704" s="2">
        <v>9</v>
      </c>
      <c r="B704" s="1" t="s">
        <v>189</v>
      </c>
      <c r="C704" s="4">
        <v>6</v>
      </c>
      <c r="D704" s="8">
        <v>2.38</v>
      </c>
      <c r="E704" s="4">
        <v>5</v>
      </c>
      <c r="F704" s="8">
        <v>2.96</v>
      </c>
      <c r="G704" s="4">
        <v>1</v>
      </c>
      <c r="H704" s="8">
        <v>1.3</v>
      </c>
      <c r="I704" s="4">
        <v>0</v>
      </c>
    </row>
    <row r="705" spans="1:9" x14ac:dyDescent="0.2">
      <c r="A705" s="2">
        <v>9</v>
      </c>
      <c r="B705" s="1" t="s">
        <v>126</v>
      </c>
      <c r="C705" s="4">
        <v>6</v>
      </c>
      <c r="D705" s="8">
        <v>2.38</v>
      </c>
      <c r="E705" s="4">
        <v>4</v>
      </c>
      <c r="F705" s="8">
        <v>2.37</v>
      </c>
      <c r="G705" s="4">
        <v>2</v>
      </c>
      <c r="H705" s="8">
        <v>2.6</v>
      </c>
      <c r="I705" s="4">
        <v>0</v>
      </c>
    </row>
    <row r="706" spans="1:9" x14ac:dyDescent="0.2">
      <c r="A706" s="2">
        <v>9</v>
      </c>
      <c r="B706" s="1" t="s">
        <v>128</v>
      </c>
      <c r="C706" s="4">
        <v>6</v>
      </c>
      <c r="D706" s="8">
        <v>2.38</v>
      </c>
      <c r="E706" s="4">
        <v>5</v>
      </c>
      <c r="F706" s="8">
        <v>2.96</v>
      </c>
      <c r="G706" s="4">
        <v>1</v>
      </c>
      <c r="H706" s="8">
        <v>1.3</v>
      </c>
      <c r="I706" s="4">
        <v>0</v>
      </c>
    </row>
    <row r="707" spans="1:9" x14ac:dyDescent="0.2">
      <c r="A707" s="2">
        <v>9</v>
      </c>
      <c r="B707" s="1" t="s">
        <v>136</v>
      </c>
      <c r="C707" s="4">
        <v>6</v>
      </c>
      <c r="D707" s="8">
        <v>2.38</v>
      </c>
      <c r="E707" s="4">
        <v>6</v>
      </c>
      <c r="F707" s="8">
        <v>3.55</v>
      </c>
      <c r="G707" s="4">
        <v>0</v>
      </c>
      <c r="H707" s="8">
        <v>0</v>
      </c>
      <c r="I707" s="4">
        <v>0</v>
      </c>
    </row>
    <row r="708" spans="1:9" x14ac:dyDescent="0.2">
      <c r="A708" s="2">
        <v>9</v>
      </c>
      <c r="B708" s="1" t="s">
        <v>139</v>
      </c>
      <c r="C708" s="4">
        <v>6</v>
      </c>
      <c r="D708" s="8">
        <v>2.38</v>
      </c>
      <c r="E708" s="4">
        <v>6</v>
      </c>
      <c r="F708" s="8">
        <v>3.55</v>
      </c>
      <c r="G708" s="4">
        <v>0</v>
      </c>
      <c r="H708" s="8">
        <v>0</v>
      </c>
      <c r="I708" s="4">
        <v>0</v>
      </c>
    </row>
    <row r="709" spans="1:9" x14ac:dyDescent="0.2">
      <c r="A709" s="2">
        <v>9</v>
      </c>
      <c r="B709" s="1" t="s">
        <v>141</v>
      </c>
      <c r="C709" s="4">
        <v>6</v>
      </c>
      <c r="D709" s="8">
        <v>2.38</v>
      </c>
      <c r="E709" s="4">
        <v>6</v>
      </c>
      <c r="F709" s="8">
        <v>3.55</v>
      </c>
      <c r="G709" s="4">
        <v>0</v>
      </c>
      <c r="H709" s="8">
        <v>0</v>
      </c>
      <c r="I709" s="4">
        <v>0</v>
      </c>
    </row>
    <row r="710" spans="1:9" x14ac:dyDescent="0.2">
      <c r="A710" s="2">
        <v>9</v>
      </c>
      <c r="B710" s="1" t="s">
        <v>142</v>
      </c>
      <c r="C710" s="4">
        <v>6</v>
      </c>
      <c r="D710" s="8">
        <v>2.38</v>
      </c>
      <c r="E710" s="4">
        <v>6</v>
      </c>
      <c r="F710" s="8">
        <v>3.55</v>
      </c>
      <c r="G710" s="4">
        <v>0</v>
      </c>
      <c r="H710" s="8">
        <v>0</v>
      </c>
      <c r="I710" s="4">
        <v>0</v>
      </c>
    </row>
    <row r="711" spans="1:9" x14ac:dyDescent="0.2">
      <c r="A711" s="2">
        <v>17</v>
      </c>
      <c r="B711" s="1" t="s">
        <v>207</v>
      </c>
      <c r="C711" s="4">
        <v>5</v>
      </c>
      <c r="D711" s="8">
        <v>1.98</v>
      </c>
      <c r="E711" s="4">
        <v>3</v>
      </c>
      <c r="F711" s="8">
        <v>1.78</v>
      </c>
      <c r="G711" s="4">
        <v>2</v>
      </c>
      <c r="H711" s="8">
        <v>2.6</v>
      </c>
      <c r="I711" s="4">
        <v>0</v>
      </c>
    </row>
    <row r="712" spans="1:9" x14ac:dyDescent="0.2">
      <c r="A712" s="2">
        <v>17</v>
      </c>
      <c r="B712" s="1" t="s">
        <v>130</v>
      </c>
      <c r="C712" s="4">
        <v>5</v>
      </c>
      <c r="D712" s="8">
        <v>1.98</v>
      </c>
      <c r="E712" s="4">
        <v>3</v>
      </c>
      <c r="F712" s="8">
        <v>1.78</v>
      </c>
      <c r="G712" s="4">
        <v>2</v>
      </c>
      <c r="H712" s="8">
        <v>2.6</v>
      </c>
      <c r="I712" s="4">
        <v>0</v>
      </c>
    </row>
    <row r="713" spans="1:9" x14ac:dyDescent="0.2">
      <c r="A713" s="2">
        <v>17</v>
      </c>
      <c r="B713" s="1" t="s">
        <v>132</v>
      </c>
      <c r="C713" s="4">
        <v>5</v>
      </c>
      <c r="D713" s="8">
        <v>1.98</v>
      </c>
      <c r="E713" s="4">
        <v>0</v>
      </c>
      <c r="F713" s="8">
        <v>0</v>
      </c>
      <c r="G713" s="4">
        <v>5</v>
      </c>
      <c r="H713" s="8">
        <v>6.49</v>
      </c>
      <c r="I713" s="4">
        <v>0</v>
      </c>
    </row>
    <row r="714" spans="1:9" x14ac:dyDescent="0.2">
      <c r="A714" s="2">
        <v>17</v>
      </c>
      <c r="B714" s="1" t="s">
        <v>208</v>
      </c>
      <c r="C714" s="4">
        <v>5</v>
      </c>
      <c r="D714" s="8">
        <v>1.98</v>
      </c>
      <c r="E714" s="4">
        <v>0</v>
      </c>
      <c r="F714" s="8">
        <v>0</v>
      </c>
      <c r="G714" s="4">
        <v>5</v>
      </c>
      <c r="H714" s="8">
        <v>6.49</v>
      </c>
      <c r="I714" s="4">
        <v>0</v>
      </c>
    </row>
    <row r="715" spans="1:9" x14ac:dyDescent="0.2">
      <c r="A715" s="2">
        <v>17</v>
      </c>
      <c r="B715" s="1" t="s">
        <v>209</v>
      </c>
      <c r="C715" s="4">
        <v>5</v>
      </c>
      <c r="D715" s="8">
        <v>1.98</v>
      </c>
      <c r="E715" s="4">
        <v>5</v>
      </c>
      <c r="F715" s="8">
        <v>2.96</v>
      </c>
      <c r="G715" s="4">
        <v>0</v>
      </c>
      <c r="H715" s="8">
        <v>0</v>
      </c>
      <c r="I715" s="4">
        <v>0</v>
      </c>
    </row>
    <row r="716" spans="1:9" x14ac:dyDescent="0.2">
      <c r="A716" s="1"/>
      <c r="C716" s="4"/>
      <c r="D716" s="8"/>
      <c r="E716" s="4"/>
      <c r="F716" s="8"/>
      <c r="G716" s="4"/>
      <c r="H716" s="8"/>
      <c r="I716" s="4"/>
    </row>
    <row r="717" spans="1:9" x14ac:dyDescent="0.2">
      <c r="A717" s="1" t="s">
        <v>31</v>
      </c>
      <c r="C717" s="4"/>
      <c r="D717" s="8"/>
      <c r="E717" s="4"/>
      <c r="F717" s="8"/>
      <c r="G717" s="4"/>
      <c r="H717" s="8"/>
      <c r="I717" s="4"/>
    </row>
    <row r="718" spans="1:9" x14ac:dyDescent="0.2">
      <c r="A718" s="2">
        <v>1</v>
      </c>
      <c r="B718" s="1" t="s">
        <v>158</v>
      </c>
      <c r="C718" s="4">
        <v>21</v>
      </c>
      <c r="D718" s="8">
        <v>9.33</v>
      </c>
      <c r="E718" s="4">
        <v>16</v>
      </c>
      <c r="F718" s="8">
        <v>10.74</v>
      </c>
      <c r="G718" s="4">
        <v>5</v>
      </c>
      <c r="H718" s="8">
        <v>7.25</v>
      </c>
      <c r="I718" s="4">
        <v>0</v>
      </c>
    </row>
    <row r="719" spans="1:9" x14ac:dyDescent="0.2">
      <c r="A719" s="2">
        <v>2</v>
      </c>
      <c r="B719" s="1" t="s">
        <v>140</v>
      </c>
      <c r="C719" s="4">
        <v>12</v>
      </c>
      <c r="D719" s="8">
        <v>5.33</v>
      </c>
      <c r="E719" s="4">
        <v>11</v>
      </c>
      <c r="F719" s="8">
        <v>7.38</v>
      </c>
      <c r="G719" s="4">
        <v>1</v>
      </c>
      <c r="H719" s="8">
        <v>1.45</v>
      </c>
      <c r="I719" s="4">
        <v>0</v>
      </c>
    </row>
    <row r="720" spans="1:9" x14ac:dyDescent="0.2">
      <c r="A720" s="2">
        <v>3</v>
      </c>
      <c r="B720" s="1" t="s">
        <v>138</v>
      </c>
      <c r="C720" s="4">
        <v>10</v>
      </c>
      <c r="D720" s="8">
        <v>4.4400000000000004</v>
      </c>
      <c r="E720" s="4">
        <v>10</v>
      </c>
      <c r="F720" s="8">
        <v>6.71</v>
      </c>
      <c r="G720" s="4">
        <v>0</v>
      </c>
      <c r="H720" s="8">
        <v>0</v>
      </c>
      <c r="I720" s="4">
        <v>0</v>
      </c>
    </row>
    <row r="721" spans="1:9" x14ac:dyDescent="0.2">
      <c r="A721" s="2">
        <v>4</v>
      </c>
      <c r="B721" s="1" t="s">
        <v>124</v>
      </c>
      <c r="C721" s="4">
        <v>9</v>
      </c>
      <c r="D721" s="8">
        <v>4</v>
      </c>
      <c r="E721" s="4">
        <v>1</v>
      </c>
      <c r="F721" s="8">
        <v>0.67</v>
      </c>
      <c r="G721" s="4">
        <v>8</v>
      </c>
      <c r="H721" s="8">
        <v>11.59</v>
      </c>
      <c r="I721" s="4">
        <v>0</v>
      </c>
    </row>
    <row r="722" spans="1:9" x14ac:dyDescent="0.2">
      <c r="A722" s="2">
        <v>5</v>
      </c>
      <c r="B722" s="1" t="s">
        <v>127</v>
      </c>
      <c r="C722" s="4">
        <v>8</v>
      </c>
      <c r="D722" s="8">
        <v>3.56</v>
      </c>
      <c r="E722" s="4">
        <v>8</v>
      </c>
      <c r="F722" s="8">
        <v>5.37</v>
      </c>
      <c r="G722" s="4">
        <v>0</v>
      </c>
      <c r="H722" s="8">
        <v>0</v>
      </c>
      <c r="I722" s="4">
        <v>0</v>
      </c>
    </row>
    <row r="723" spans="1:9" x14ac:dyDescent="0.2">
      <c r="A723" s="2">
        <v>5</v>
      </c>
      <c r="B723" s="1" t="s">
        <v>136</v>
      </c>
      <c r="C723" s="4">
        <v>8</v>
      </c>
      <c r="D723" s="8">
        <v>3.56</v>
      </c>
      <c r="E723" s="4">
        <v>8</v>
      </c>
      <c r="F723" s="8">
        <v>5.37</v>
      </c>
      <c r="G723" s="4">
        <v>0</v>
      </c>
      <c r="H723" s="8">
        <v>0</v>
      </c>
      <c r="I723" s="4">
        <v>0</v>
      </c>
    </row>
    <row r="724" spans="1:9" x14ac:dyDescent="0.2">
      <c r="A724" s="2">
        <v>7</v>
      </c>
      <c r="B724" s="1" t="s">
        <v>139</v>
      </c>
      <c r="C724" s="4">
        <v>7</v>
      </c>
      <c r="D724" s="8">
        <v>3.11</v>
      </c>
      <c r="E724" s="4">
        <v>7</v>
      </c>
      <c r="F724" s="8">
        <v>4.7</v>
      </c>
      <c r="G724" s="4">
        <v>0</v>
      </c>
      <c r="H724" s="8">
        <v>0</v>
      </c>
      <c r="I724" s="4">
        <v>0</v>
      </c>
    </row>
    <row r="725" spans="1:9" x14ac:dyDescent="0.2">
      <c r="A725" s="2">
        <v>8</v>
      </c>
      <c r="B725" s="1" t="s">
        <v>129</v>
      </c>
      <c r="C725" s="4">
        <v>6</v>
      </c>
      <c r="D725" s="8">
        <v>2.67</v>
      </c>
      <c r="E725" s="4">
        <v>6</v>
      </c>
      <c r="F725" s="8">
        <v>4.03</v>
      </c>
      <c r="G725" s="4">
        <v>0</v>
      </c>
      <c r="H725" s="8">
        <v>0</v>
      </c>
      <c r="I725" s="4">
        <v>0</v>
      </c>
    </row>
    <row r="726" spans="1:9" x14ac:dyDescent="0.2">
      <c r="A726" s="2">
        <v>8</v>
      </c>
      <c r="B726" s="1" t="s">
        <v>137</v>
      </c>
      <c r="C726" s="4">
        <v>6</v>
      </c>
      <c r="D726" s="8">
        <v>2.67</v>
      </c>
      <c r="E726" s="4">
        <v>6</v>
      </c>
      <c r="F726" s="8">
        <v>4.03</v>
      </c>
      <c r="G726" s="4">
        <v>0</v>
      </c>
      <c r="H726" s="8">
        <v>0</v>
      </c>
      <c r="I726" s="4">
        <v>0</v>
      </c>
    </row>
    <row r="727" spans="1:9" x14ac:dyDescent="0.2">
      <c r="A727" s="2">
        <v>10</v>
      </c>
      <c r="B727" s="1" t="s">
        <v>130</v>
      </c>
      <c r="C727" s="4">
        <v>5</v>
      </c>
      <c r="D727" s="8">
        <v>2.2200000000000002</v>
      </c>
      <c r="E727" s="4">
        <v>4</v>
      </c>
      <c r="F727" s="8">
        <v>2.68</v>
      </c>
      <c r="G727" s="4">
        <v>1</v>
      </c>
      <c r="H727" s="8">
        <v>1.45</v>
      </c>
      <c r="I727" s="4">
        <v>0</v>
      </c>
    </row>
    <row r="728" spans="1:9" x14ac:dyDescent="0.2">
      <c r="A728" s="2">
        <v>10</v>
      </c>
      <c r="B728" s="1" t="s">
        <v>147</v>
      </c>
      <c r="C728" s="4">
        <v>5</v>
      </c>
      <c r="D728" s="8">
        <v>2.2200000000000002</v>
      </c>
      <c r="E728" s="4">
        <v>3</v>
      </c>
      <c r="F728" s="8">
        <v>2.0099999999999998</v>
      </c>
      <c r="G728" s="4">
        <v>2</v>
      </c>
      <c r="H728" s="8">
        <v>2.9</v>
      </c>
      <c r="I728" s="4">
        <v>0</v>
      </c>
    </row>
    <row r="729" spans="1:9" x14ac:dyDescent="0.2">
      <c r="A729" s="2">
        <v>10</v>
      </c>
      <c r="B729" s="1" t="s">
        <v>133</v>
      </c>
      <c r="C729" s="4">
        <v>5</v>
      </c>
      <c r="D729" s="8">
        <v>2.2200000000000002</v>
      </c>
      <c r="E729" s="4">
        <v>5</v>
      </c>
      <c r="F729" s="8">
        <v>3.36</v>
      </c>
      <c r="G729" s="4">
        <v>0</v>
      </c>
      <c r="H729" s="8">
        <v>0</v>
      </c>
      <c r="I729" s="4">
        <v>0</v>
      </c>
    </row>
    <row r="730" spans="1:9" x14ac:dyDescent="0.2">
      <c r="A730" s="2">
        <v>10</v>
      </c>
      <c r="B730" s="1" t="s">
        <v>165</v>
      </c>
      <c r="C730" s="4">
        <v>5</v>
      </c>
      <c r="D730" s="8">
        <v>2.2200000000000002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2">
      <c r="A731" s="2">
        <v>14</v>
      </c>
      <c r="B731" s="1" t="s">
        <v>125</v>
      </c>
      <c r="C731" s="4">
        <v>4</v>
      </c>
      <c r="D731" s="8">
        <v>1.78</v>
      </c>
      <c r="E731" s="4">
        <v>1</v>
      </c>
      <c r="F731" s="8">
        <v>0.67</v>
      </c>
      <c r="G731" s="4">
        <v>3</v>
      </c>
      <c r="H731" s="8">
        <v>4.3499999999999996</v>
      </c>
      <c r="I731" s="4">
        <v>0</v>
      </c>
    </row>
    <row r="732" spans="1:9" x14ac:dyDescent="0.2">
      <c r="A732" s="2">
        <v>14</v>
      </c>
      <c r="B732" s="1" t="s">
        <v>126</v>
      </c>
      <c r="C732" s="4">
        <v>4</v>
      </c>
      <c r="D732" s="8">
        <v>1.78</v>
      </c>
      <c r="E732" s="4">
        <v>1</v>
      </c>
      <c r="F732" s="8">
        <v>0.67</v>
      </c>
      <c r="G732" s="4">
        <v>3</v>
      </c>
      <c r="H732" s="8">
        <v>4.3499999999999996</v>
      </c>
      <c r="I732" s="4">
        <v>0</v>
      </c>
    </row>
    <row r="733" spans="1:9" x14ac:dyDescent="0.2">
      <c r="A733" s="2">
        <v>14</v>
      </c>
      <c r="B733" s="1" t="s">
        <v>132</v>
      </c>
      <c r="C733" s="4">
        <v>4</v>
      </c>
      <c r="D733" s="8">
        <v>1.78</v>
      </c>
      <c r="E733" s="4">
        <v>0</v>
      </c>
      <c r="F733" s="8">
        <v>0</v>
      </c>
      <c r="G733" s="4">
        <v>4</v>
      </c>
      <c r="H733" s="8">
        <v>5.8</v>
      </c>
      <c r="I733" s="4">
        <v>0</v>
      </c>
    </row>
    <row r="734" spans="1:9" x14ac:dyDescent="0.2">
      <c r="A734" s="2">
        <v>14</v>
      </c>
      <c r="B734" s="1" t="s">
        <v>183</v>
      </c>
      <c r="C734" s="4">
        <v>4</v>
      </c>
      <c r="D734" s="8">
        <v>1.78</v>
      </c>
      <c r="E734" s="4">
        <v>2</v>
      </c>
      <c r="F734" s="8">
        <v>1.34</v>
      </c>
      <c r="G734" s="4">
        <v>2</v>
      </c>
      <c r="H734" s="8">
        <v>2.9</v>
      </c>
      <c r="I734" s="4">
        <v>0</v>
      </c>
    </row>
    <row r="735" spans="1:9" x14ac:dyDescent="0.2">
      <c r="A735" s="2">
        <v>14</v>
      </c>
      <c r="B735" s="1" t="s">
        <v>166</v>
      </c>
      <c r="C735" s="4">
        <v>4</v>
      </c>
      <c r="D735" s="8">
        <v>1.78</v>
      </c>
      <c r="E735" s="4">
        <v>4</v>
      </c>
      <c r="F735" s="8">
        <v>2.68</v>
      </c>
      <c r="G735" s="4">
        <v>0</v>
      </c>
      <c r="H735" s="8">
        <v>0</v>
      </c>
      <c r="I735" s="4">
        <v>0</v>
      </c>
    </row>
    <row r="736" spans="1:9" x14ac:dyDescent="0.2">
      <c r="A736" s="2">
        <v>19</v>
      </c>
      <c r="B736" s="1" t="s">
        <v>128</v>
      </c>
      <c r="C736" s="4">
        <v>3</v>
      </c>
      <c r="D736" s="8">
        <v>1.33</v>
      </c>
      <c r="E736" s="4">
        <v>3</v>
      </c>
      <c r="F736" s="8">
        <v>2.0099999999999998</v>
      </c>
      <c r="G736" s="4">
        <v>0</v>
      </c>
      <c r="H736" s="8">
        <v>0</v>
      </c>
      <c r="I736" s="4">
        <v>0</v>
      </c>
    </row>
    <row r="737" spans="1:9" x14ac:dyDescent="0.2">
      <c r="A737" s="2">
        <v>19</v>
      </c>
      <c r="B737" s="1" t="s">
        <v>131</v>
      </c>
      <c r="C737" s="4">
        <v>3</v>
      </c>
      <c r="D737" s="8">
        <v>1.33</v>
      </c>
      <c r="E737" s="4">
        <v>1</v>
      </c>
      <c r="F737" s="8">
        <v>0.67</v>
      </c>
      <c r="G737" s="4">
        <v>2</v>
      </c>
      <c r="H737" s="8">
        <v>2.9</v>
      </c>
      <c r="I737" s="4">
        <v>0</v>
      </c>
    </row>
    <row r="738" spans="1:9" x14ac:dyDescent="0.2">
      <c r="A738" s="2">
        <v>19</v>
      </c>
      <c r="B738" s="1" t="s">
        <v>168</v>
      </c>
      <c r="C738" s="4">
        <v>3</v>
      </c>
      <c r="D738" s="8">
        <v>1.33</v>
      </c>
      <c r="E738" s="4">
        <v>1</v>
      </c>
      <c r="F738" s="8">
        <v>0.67</v>
      </c>
      <c r="G738" s="4">
        <v>2</v>
      </c>
      <c r="H738" s="8">
        <v>2.9</v>
      </c>
      <c r="I738" s="4">
        <v>0</v>
      </c>
    </row>
    <row r="739" spans="1:9" x14ac:dyDescent="0.2">
      <c r="A739" s="2">
        <v>19</v>
      </c>
      <c r="B739" s="1" t="s">
        <v>210</v>
      </c>
      <c r="C739" s="4">
        <v>3</v>
      </c>
      <c r="D739" s="8">
        <v>1.33</v>
      </c>
      <c r="E739" s="4">
        <v>3</v>
      </c>
      <c r="F739" s="8">
        <v>2.0099999999999998</v>
      </c>
      <c r="G739" s="4">
        <v>0</v>
      </c>
      <c r="H739" s="8">
        <v>0</v>
      </c>
      <c r="I739" s="4">
        <v>0</v>
      </c>
    </row>
    <row r="740" spans="1:9" x14ac:dyDescent="0.2">
      <c r="A740" s="2">
        <v>19</v>
      </c>
      <c r="B740" s="1" t="s">
        <v>135</v>
      </c>
      <c r="C740" s="4">
        <v>3</v>
      </c>
      <c r="D740" s="8">
        <v>1.33</v>
      </c>
      <c r="E740" s="4">
        <v>0</v>
      </c>
      <c r="F740" s="8">
        <v>0</v>
      </c>
      <c r="G740" s="4">
        <v>3</v>
      </c>
      <c r="H740" s="8">
        <v>4.3499999999999996</v>
      </c>
      <c r="I740" s="4">
        <v>0</v>
      </c>
    </row>
    <row r="741" spans="1:9" x14ac:dyDescent="0.2">
      <c r="A741" s="2">
        <v>19</v>
      </c>
      <c r="B741" s="1" t="s">
        <v>156</v>
      </c>
      <c r="C741" s="4">
        <v>3</v>
      </c>
      <c r="D741" s="8">
        <v>1.33</v>
      </c>
      <c r="E741" s="4">
        <v>3</v>
      </c>
      <c r="F741" s="8">
        <v>2.0099999999999998</v>
      </c>
      <c r="G741" s="4">
        <v>0</v>
      </c>
      <c r="H741" s="8">
        <v>0</v>
      </c>
      <c r="I741" s="4">
        <v>0</v>
      </c>
    </row>
    <row r="742" spans="1:9" x14ac:dyDescent="0.2">
      <c r="A742" s="2">
        <v>19</v>
      </c>
      <c r="B742" s="1" t="s">
        <v>167</v>
      </c>
      <c r="C742" s="4">
        <v>3</v>
      </c>
      <c r="D742" s="8">
        <v>1.33</v>
      </c>
      <c r="E742" s="4">
        <v>2</v>
      </c>
      <c r="F742" s="8">
        <v>1.34</v>
      </c>
      <c r="G742" s="4">
        <v>1</v>
      </c>
      <c r="H742" s="8">
        <v>1.45</v>
      </c>
      <c r="I742" s="4">
        <v>0</v>
      </c>
    </row>
    <row r="743" spans="1:9" x14ac:dyDescent="0.2">
      <c r="A743" s="2">
        <v>19</v>
      </c>
      <c r="B743" s="1" t="s">
        <v>148</v>
      </c>
      <c r="C743" s="4">
        <v>3</v>
      </c>
      <c r="D743" s="8">
        <v>1.33</v>
      </c>
      <c r="E743" s="4">
        <v>3</v>
      </c>
      <c r="F743" s="8">
        <v>2.0099999999999998</v>
      </c>
      <c r="G743" s="4">
        <v>0</v>
      </c>
      <c r="H743" s="8">
        <v>0</v>
      </c>
      <c r="I743" s="4">
        <v>0</v>
      </c>
    </row>
    <row r="744" spans="1:9" x14ac:dyDescent="0.2">
      <c r="A744" s="2">
        <v>19</v>
      </c>
      <c r="B744" s="1" t="s">
        <v>143</v>
      </c>
      <c r="C744" s="4">
        <v>3</v>
      </c>
      <c r="D744" s="8">
        <v>1.33</v>
      </c>
      <c r="E744" s="4">
        <v>2</v>
      </c>
      <c r="F744" s="8">
        <v>1.34</v>
      </c>
      <c r="G744" s="4">
        <v>1</v>
      </c>
      <c r="H744" s="8">
        <v>1.45</v>
      </c>
      <c r="I744" s="4">
        <v>0</v>
      </c>
    </row>
    <row r="745" spans="1:9" x14ac:dyDescent="0.2">
      <c r="A745" s="2">
        <v>19</v>
      </c>
      <c r="B745" s="1" t="s">
        <v>200</v>
      </c>
      <c r="C745" s="4">
        <v>3</v>
      </c>
      <c r="D745" s="8">
        <v>1.33</v>
      </c>
      <c r="E745" s="4">
        <v>2</v>
      </c>
      <c r="F745" s="8">
        <v>1.34</v>
      </c>
      <c r="G745" s="4">
        <v>1</v>
      </c>
      <c r="H745" s="8">
        <v>1.45</v>
      </c>
      <c r="I745" s="4">
        <v>0</v>
      </c>
    </row>
    <row r="746" spans="1:9" x14ac:dyDescent="0.2">
      <c r="A746" s="1"/>
      <c r="C746" s="4"/>
      <c r="D746" s="8"/>
      <c r="E746" s="4"/>
      <c r="F746" s="8"/>
      <c r="G746" s="4"/>
      <c r="H746" s="8"/>
      <c r="I746" s="4"/>
    </row>
    <row r="747" spans="1:9" x14ac:dyDescent="0.2">
      <c r="A747" s="1" t="s">
        <v>32</v>
      </c>
      <c r="C747" s="4"/>
      <c r="D747" s="8"/>
      <c r="E747" s="4"/>
      <c r="F747" s="8"/>
      <c r="G747" s="4"/>
      <c r="H747" s="8"/>
      <c r="I747" s="4"/>
    </row>
    <row r="748" spans="1:9" x14ac:dyDescent="0.2">
      <c r="A748" s="2">
        <v>1</v>
      </c>
      <c r="B748" s="1" t="s">
        <v>158</v>
      </c>
      <c r="C748" s="4">
        <v>73</v>
      </c>
      <c r="D748" s="8">
        <v>10.96</v>
      </c>
      <c r="E748" s="4">
        <v>66</v>
      </c>
      <c r="F748" s="8">
        <v>14.41</v>
      </c>
      <c r="G748" s="4">
        <v>7</v>
      </c>
      <c r="H748" s="8">
        <v>3.7</v>
      </c>
      <c r="I748" s="4">
        <v>0</v>
      </c>
    </row>
    <row r="749" spans="1:9" x14ac:dyDescent="0.2">
      <c r="A749" s="2">
        <v>2</v>
      </c>
      <c r="B749" s="1" t="s">
        <v>183</v>
      </c>
      <c r="C749" s="4">
        <v>39</v>
      </c>
      <c r="D749" s="8">
        <v>5.86</v>
      </c>
      <c r="E749" s="4">
        <v>33</v>
      </c>
      <c r="F749" s="8">
        <v>7.21</v>
      </c>
      <c r="G749" s="4">
        <v>6</v>
      </c>
      <c r="H749" s="8">
        <v>3.17</v>
      </c>
      <c r="I749" s="4">
        <v>0</v>
      </c>
    </row>
    <row r="750" spans="1:9" x14ac:dyDescent="0.2">
      <c r="A750" s="2">
        <v>3</v>
      </c>
      <c r="B750" s="1" t="s">
        <v>205</v>
      </c>
      <c r="C750" s="4">
        <v>30</v>
      </c>
      <c r="D750" s="8">
        <v>4.5</v>
      </c>
      <c r="E750" s="4">
        <v>25</v>
      </c>
      <c r="F750" s="8">
        <v>5.46</v>
      </c>
      <c r="G750" s="4">
        <v>5</v>
      </c>
      <c r="H750" s="8">
        <v>2.65</v>
      </c>
      <c r="I750" s="4">
        <v>0</v>
      </c>
    </row>
    <row r="751" spans="1:9" x14ac:dyDescent="0.2">
      <c r="A751" s="2">
        <v>4</v>
      </c>
      <c r="B751" s="1" t="s">
        <v>133</v>
      </c>
      <c r="C751" s="4">
        <v>23</v>
      </c>
      <c r="D751" s="8">
        <v>3.45</v>
      </c>
      <c r="E751" s="4">
        <v>16</v>
      </c>
      <c r="F751" s="8">
        <v>3.49</v>
      </c>
      <c r="G751" s="4">
        <v>5</v>
      </c>
      <c r="H751" s="8">
        <v>2.65</v>
      </c>
      <c r="I751" s="4">
        <v>2</v>
      </c>
    </row>
    <row r="752" spans="1:9" x14ac:dyDescent="0.2">
      <c r="A752" s="2">
        <v>4</v>
      </c>
      <c r="B752" s="1" t="s">
        <v>167</v>
      </c>
      <c r="C752" s="4">
        <v>23</v>
      </c>
      <c r="D752" s="8">
        <v>3.45</v>
      </c>
      <c r="E752" s="4">
        <v>21</v>
      </c>
      <c r="F752" s="8">
        <v>4.59</v>
      </c>
      <c r="G752" s="4">
        <v>1</v>
      </c>
      <c r="H752" s="8">
        <v>0.53</v>
      </c>
      <c r="I752" s="4">
        <v>1</v>
      </c>
    </row>
    <row r="753" spans="1:9" x14ac:dyDescent="0.2">
      <c r="A753" s="2">
        <v>6</v>
      </c>
      <c r="B753" s="1" t="s">
        <v>127</v>
      </c>
      <c r="C753" s="4">
        <v>20</v>
      </c>
      <c r="D753" s="8">
        <v>3</v>
      </c>
      <c r="E753" s="4">
        <v>19</v>
      </c>
      <c r="F753" s="8">
        <v>4.1500000000000004</v>
      </c>
      <c r="G753" s="4">
        <v>1</v>
      </c>
      <c r="H753" s="8">
        <v>0.53</v>
      </c>
      <c r="I753" s="4">
        <v>0</v>
      </c>
    </row>
    <row r="754" spans="1:9" x14ac:dyDescent="0.2">
      <c r="A754" s="2">
        <v>6</v>
      </c>
      <c r="B754" s="1" t="s">
        <v>136</v>
      </c>
      <c r="C754" s="4">
        <v>20</v>
      </c>
      <c r="D754" s="8">
        <v>3</v>
      </c>
      <c r="E754" s="4">
        <v>17</v>
      </c>
      <c r="F754" s="8">
        <v>3.71</v>
      </c>
      <c r="G754" s="4">
        <v>3</v>
      </c>
      <c r="H754" s="8">
        <v>1.59</v>
      </c>
      <c r="I754" s="4">
        <v>0</v>
      </c>
    </row>
    <row r="755" spans="1:9" x14ac:dyDescent="0.2">
      <c r="A755" s="2">
        <v>6</v>
      </c>
      <c r="B755" s="1" t="s">
        <v>137</v>
      </c>
      <c r="C755" s="4">
        <v>20</v>
      </c>
      <c r="D755" s="8">
        <v>3</v>
      </c>
      <c r="E755" s="4">
        <v>20</v>
      </c>
      <c r="F755" s="8">
        <v>4.37</v>
      </c>
      <c r="G755" s="4">
        <v>0</v>
      </c>
      <c r="H755" s="8">
        <v>0</v>
      </c>
      <c r="I755" s="4">
        <v>0</v>
      </c>
    </row>
    <row r="756" spans="1:9" x14ac:dyDescent="0.2">
      <c r="A756" s="2">
        <v>9</v>
      </c>
      <c r="B756" s="1" t="s">
        <v>124</v>
      </c>
      <c r="C756" s="4">
        <v>19</v>
      </c>
      <c r="D756" s="8">
        <v>2.85</v>
      </c>
      <c r="E756" s="4">
        <v>1</v>
      </c>
      <c r="F756" s="8">
        <v>0.22</v>
      </c>
      <c r="G756" s="4">
        <v>18</v>
      </c>
      <c r="H756" s="8">
        <v>9.52</v>
      </c>
      <c r="I756" s="4">
        <v>0</v>
      </c>
    </row>
    <row r="757" spans="1:9" x14ac:dyDescent="0.2">
      <c r="A757" s="2">
        <v>10</v>
      </c>
      <c r="B757" s="1" t="s">
        <v>140</v>
      </c>
      <c r="C757" s="4">
        <v>17</v>
      </c>
      <c r="D757" s="8">
        <v>2.5499999999999998</v>
      </c>
      <c r="E757" s="4">
        <v>17</v>
      </c>
      <c r="F757" s="8">
        <v>3.71</v>
      </c>
      <c r="G757" s="4">
        <v>0</v>
      </c>
      <c r="H757" s="8">
        <v>0</v>
      </c>
      <c r="I757" s="4">
        <v>0</v>
      </c>
    </row>
    <row r="758" spans="1:9" x14ac:dyDescent="0.2">
      <c r="A758" s="2">
        <v>11</v>
      </c>
      <c r="B758" s="1" t="s">
        <v>129</v>
      </c>
      <c r="C758" s="4">
        <v>14</v>
      </c>
      <c r="D758" s="8">
        <v>2.1</v>
      </c>
      <c r="E758" s="4">
        <v>12</v>
      </c>
      <c r="F758" s="8">
        <v>2.62</v>
      </c>
      <c r="G758" s="4">
        <v>2</v>
      </c>
      <c r="H758" s="8">
        <v>1.06</v>
      </c>
      <c r="I758" s="4">
        <v>0</v>
      </c>
    </row>
    <row r="759" spans="1:9" x14ac:dyDescent="0.2">
      <c r="A759" s="2">
        <v>12</v>
      </c>
      <c r="B759" s="1" t="s">
        <v>128</v>
      </c>
      <c r="C759" s="4">
        <v>12</v>
      </c>
      <c r="D759" s="8">
        <v>1.8</v>
      </c>
      <c r="E759" s="4">
        <v>9</v>
      </c>
      <c r="F759" s="8">
        <v>1.97</v>
      </c>
      <c r="G759" s="4">
        <v>3</v>
      </c>
      <c r="H759" s="8">
        <v>1.59</v>
      </c>
      <c r="I759" s="4">
        <v>0</v>
      </c>
    </row>
    <row r="760" spans="1:9" x14ac:dyDescent="0.2">
      <c r="A760" s="2">
        <v>12</v>
      </c>
      <c r="B760" s="1" t="s">
        <v>156</v>
      </c>
      <c r="C760" s="4">
        <v>12</v>
      </c>
      <c r="D760" s="8">
        <v>1.8</v>
      </c>
      <c r="E760" s="4">
        <v>12</v>
      </c>
      <c r="F760" s="8">
        <v>2.62</v>
      </c>
      <c r="G760" s="4">
        <v>0</v>
      </c>
      <c r="H760" s="8">
        <v>0</v>
      </c>
      <c r="I760" s="4">
        <v>0</v>
      </c>
    </row>
    <row r="761" spans="1:9" x14ac:dyDescent="0.2">
      <c r="A761" s="2">
        <v>14</v>
      </c>
      <c r="B761" s="1" t="s">
        <v>157</v>
      </c>
      <c r="C761" s="4">
        <v>11</v>
      </c>
      <c r="D761" s="8">
        <v>1.65</v>
      </c>
      <c r="E761" s="4">
        <v>7</v>
      </c>
      <c r="F761" s="8">
        <v>1.53</v>
      </c>
      <c r="G761" s="4">
        <v>4</v>
      </c>
      <c r="H761" s="8">
        <v>2.12</v>
      </c>
      <c r="I761" s="4">
        <v>0</v>
      </c>
    </row>
    <row r="762" spans="1:9" x14ac:dyDescent="0.2">
      <c r="A762" s="2">
        <v>14</v>
      </c>
      <c r="B762" s="1" t="s">
        <v>138</v>
      </c>
      <c r="C762" s="4">
        <v>11</v>
      </c>
      <c r="D762" s="8">
        <v>1.65</v>
      </c>
      <c r="E762" s="4">
        <v>10</v>
      </c>
      <c r="F762" s="8">
        <v>2.1800000000000002</v>
      </c>
      <c r="G762" s="4">
        <v>1</v>
      </c>
      <c r="H762" s="8">
        <v>0.53</v>
      </c>
      <c r="I762" s="4">
        <v>0</v>
      </c>
    </row>
    <row r="763" spans="1:9" x14ac:dyDescent="0.2">
      <c r="A763" s="2">
        <v>16</v>
      </c>
      <c r="B763" s="1" t="s">
        <v>132</v>
      </c>
      <c r="C763" s="4">
        <v>10</v>
      </c>
      <c r="D763" s="8">
        <v>1.5</v>
      </c>
      <c r="E763" s="4">
        <v>1</v>
      </c>
      <c r="F763" s="8">
        <v>0.22</v>
      </c>
      <c r="G763" s="4">
        <v>9</v>
      </c>
      <c r="H763" s="8">
        <v>4.76</v>
      </c>
      <c r="I763" s="4">
        <v>0</v>
      </c>
    </row>
    <row r="764" spans="1:9" x14ac:dyDescent="0.2">
      <c r="A764" s="2">
        <v>17</v>
      </c>
      <c r="B764" s="1" t="s">
        <v>208</v>
      </c>
      <c r="C764" s="4">
        <v>9</v>
      </c>
      <c r="D764" s="8">
        <v>1.35</v>
      </c>
      <c r="E764" s="4">
        <v>1</v>
      </c>
      <c r="F764" s="8">
        <v>0.22</v>
      </c>
      <c r="G764" s="4">
        <v>8</v>
      </c>
      <c r="H764" s="8">
        <v>4.2300000000000004</v>
      </c>
      <c r="I764" s="4">
        <v>0</v>
      </c>
    </row>
    <row r="765" spans="1:9" x14ac:dyDescent="0.2">
      <c r="A765" s="2">
        <v>17</v>
      </c>
      <c r="B765" s="1" t="s">
        <v>139</v>
      </c>
      <c r="C765" s="4">
        <v>9</v>
      </c>
      <c r="D765" s="8">
        <v>1.35</v>
      </c>
      <c r="E765" s="4">
        <v>9</v>
      </c>
      <c r="F765" s="8">
        <v>1.97</v>
      </c>
      <c r="G765" s="4">
        <v>0</v>
      </c>
      <c r="H765" s="8">
        <v>0</v>
      </c>
      <c r="I765" s="4">
        <v>0</v>
      </c>
    </row>
    <row r="766" spans="1:9" x14ac:dyDescent="0.2">
      <c r="A766" s="2">
        <v>17</v>
      </c>
      <c r="B766" s="1" t="s">
        <v>148</v>
      </c>
      <c r="C766" s="4">
        <v>9</v>
      </c>
      <c r="D766" s="8">
        <v>1.35</v>
      </c>
      <c r="E766" s="4">
        <v>7</v>
      </c>
      <c r="F766" s="8">
        <v>1.53</v>
      </c>
      <c r="G766" s="4">
        <v>2</v>
      </c>
      <c r="H766" s="8">
        <v>1.06</v>
      </c>
      <c r="I766" s="4">
        <v>0</v>
      </c>
    </row>
    <row r="767" spans="1:9" x14ac:dyDescent="0.2">
      <c r="A767" s="2">
        <v>20</v>
      </c>
      <c r="B767" s="1" t="s">
        <v>211</v>
      </c>
      <c r="C767" s="4">
        <v>8</v>
      </c>
      <c r="D767" s="8">
        <v>1.2</v>
      </c>
      <c r="E767" s="4">
        <v>8</v>
      </c>
      <c r="F767" s="8">
        <v>1.75</v>
      </c>
      <c r="G767" s="4">
        <v>0</v>
      </c>
      <c r="H767" s="8">
        <v>0</v>
      </c>
      <c r="I767" s="4">
        <v>0</v>
      </c>
    </row>
    <row r="768" spans="1:9" x14ac:dyDescent="0.2">
      <c r="A768" s="2">
        <v>20</v>
      </c>
      <c r="B768" s="1" t="s">
        <v>163</v>
      </c>
      <c r="C768" s="4">
        <v>8</v>
      </c>
      <c r="D768" s="8">
        <v>1.2</v>
      </c>
      <c r="E768" s="4">
        <v>2</v>
      </c>
      <c r="F768" s="8">
        <v>0.44</v>
      </c>
      <c r="G768" s="4">
        <v>6</v>
      </c>
      <c r="H768" s="8">
        <v>3.17</v>
      </c>
      <c r="I768" s="4">
        <v>0</v>
      </c>
    </row>
    <row r="769" spans="1:9" x14ac:dyDescent="0.2">
      <c r="A769" s="2">
        <v>20</v>
      </c>
      <c r="B769" s="1" t="s">
        <v>141</v>
      </c>
      <c r="C769" s="4">
        <v>8</v>
      </c>
      <c r="D769" s="8">
        <v>1.2</v>
      </c>
      <c r="E769" s="4">
        <v>7</v>
      </c>
      <c r="F769" s="8">
        <v>1.53</v>
      </c>
      <c r="G769" s="4">
        <v>1</v>
      </c>
      <c r="H769" s="8">
        <v>0.53</v>
      </c>
      <c r="I769" s="4">
        <v>0</v>
      </c>
    </row>
    <row r="770" spans="1:9" x14ac:dyDescent="0.2">
      <c r="A770" s="2">
        <v>20</v>
      </c>
      <c r="B770" s="1" t="s">
        <v>142</v>
      </c>
      <c r="C770" s="4">
        <v>8</v>
      </c>
      <c r="D770" s="8">
        <v>1.2</v>
      </c>
      <c r="E770" s="4">
        <v>8</v>
      </c>
      <c r="F770" s="8">
        <v>1.75</v>
      </c>
      <c r="G770" s="4">
        <v>0</v>
      </c>
      <c r="H770" s="8">
        <v>0</v>
      </c>
      <c r="I770" s="4">
        <v>0</v>
      </c>
    </row>
    <row r="771" spans="1:9" x14ac:dyDescent="0.2">
      <c r="A771" s="2">
        <v>20</v>
      </c>
      <c r="B771" s="1" t="s">
        <v>143</v>
      </c>
      <c r="C771" s="4">
        <v>8</v>
      </c>
      <c r="D771" s="8">
        <v>1.2</v>
      </c>
      <c r="E771" s="4">
        <v>8</v>
      </c>
      <c r="F771" s="8">
        <v>1.75</v>
      </c>
      <c r="G771" s="4">
        <v>0</v>
      </c>
      <c r="H771" s="8">
        <v>0</v>
      </c>
      <c r="I771" s="4">
        <v>0</v>
      </c>
    </row>
    <row r="772" spans="1:9" x14ac:dyDescent="0.2">
      <c r="A772" s="1"/>
      <c r="C772" s="4"/>
      <c r="D772" s="8"/>
      <c r="E772" s="4"/>
      <c r="F772" s="8"/>
      <c r="G772" s="4"/>
      <c r="H772" s="8"/>
      <c r="I772" s="4"/>
    </row>
    <row r="773" spans="1:9" x14ac:dyDescent="0.2">
      <c r="A773" s="1" t="s">
        <v>33</v>
      </c>
      <c r="C773" s="4"/>
      <c r="D773" s="8"/>
      <c r="E773" s="4"/>
      <c r="F773" s="8"/>
      <c r="G773" s="4"/>
      <c r="H773" s="8"/>
      <c r="I773" s="4"/>
    </row>
    <row r="774" spans="1:9" x14ac:dyDescent="0.2">
      <c r="A774" s="2">
        <v>1</v>
      </c>
      <c r="B774" s="1" t="s">
        <v>172</v>
      </c>
      <c r="C774" s="4">
        <v>11</v>
      </c>
      <c r="D774" s="8">
        <v>18.329999999999998</v>
      </c>
      <c r="E774" s="4">
        <v>11</v>
      </c>
      <c r="F774" s="8">
        <v>26.83</v>
      </c>
      <c r="G774" s="4">
        <v>0</v>
      </c>
      <c r="H774" s="8">
        <v>0</v>
      </c>
      <c r="I774" s="4">
        <v>0</v>
      </c>
    </row>
    <row r="775" spans="1:9" x14ac:dyDescent="0.2">
      <c r="A775" s="2">
        <v>2</v>
      </c>
      <c r="B775" s="1" t="s">
        <v>129</v>
      </c>
      <c r="C775" s="4">
        <v>5</v>
      </c>
      <c r="D775" s="8">
        <v>8.33</v>
      </c>
      <c r="E775" s="4">
        <v>5</v>
      </c>
      <c r="F775" s="8">
        <v>12.2</v>
      </c>
      <c r="G775" s="4">
        <v>0</v>
      </c>
      <c r="H775" s="8">
        <v>0</v>
      </c>
      <c r="I775" s="4">
        <v>0</v>
      </c>
    </row>
    <row r="776" spans="1:9" x14ac:dyDescent="0.2">
      <c r="A776" s="2">
        <v>3</v>
      </c>
      <c r="B776" s="1" t="s">
        <v>124</v>
      </c>
      <c r="C776" s="4">
        <v>4</v>
      </c>
      <c r="D776" s="8">
        <v>6.67</v>
      </c>
      <c r="E776" s="4">
        <v>0</v>
      </c>
      <c r="F776" s="8">
        <v>0</v>
      </c>
      <c r="G776" s="4">
        <v>4</v>
      </c>
      <c r="H776" s="8">
        <v>30.77</v>
      </c>
      <c r="I776" s="4">
        <v>0</v>
      </c>
    </row>
    <row r="777" spans="1:9" x14ac:dyDescent="0.2">
      <c r="A777" s="2">
        <v>4</v>
      </c>
      <c r="B777" s="1" t="s">
        <v>158</v>
      </c>
      <c r="C777" s="4">
        <v>3</v>
      </c>
      <c r="D777" s="8">
        <v>5</v>
      </c>
      <c r="E777" s="4">
        <v>3</v>
      </c>
      <c r="F777" s="8">
        <v>7.32</v>
      </c>
      <c r="G777" s="4">
        <v>0</v>
      </c>
      <c r="H777" s="8">
        <v>0</v>
      </c>
      <c r="I777" s="4">
        <v>0</v>
      </c>
    </row>
    <row r="778" spans="1:9" x14ac:dyDescent="0.2">
      <c r="A778" s="2">
        <v>4</v>
      </c>
      <c r="B778" s="1" t="s">
        <v>187</v>
      </c>
      <c r="C778" s="4">
        <v>3</v>
      </c>
      <c r="D778" s="8">
        <v>5</v>
      </c>
      <c r="E778" s="4">
        <v>0</v>
      </c>
      <c r="F778" s="8">
        <v>0</v>
      </c>
      <c r="G778" s="4">
        <v>0</v>
      </c>
      <c r="H778" s="8">
        <v>0</v>
      </c>
      <c r="I778" s="4">
        <v>0</v>
      </c>
    </row>
    <row r="779" spans="1:9" x14ac:dyDescent="0.2">
      <c r="A779" s="2">
        <v>6</v>
      </c>
      <c r="B779" s="1" t="s">
        <v>204</v>
      </c>
      <c r="C779" s="4">
        <v>2</v>
      </c>
      <c r="D779" s="8">
        <v>3.33</v>
      </c>
      <c r="E779" s="4">
        <v>2</v>
      </c>
      <c r="F779" s="8">
        <v>4.88</v>
      </c>
      <c r="G779" s="4">
        <v>0</v>
      </c>
      <c r="H779" s="8">
        <v>0</v>
      </c>
      <c r="I779" s="4">
        <v>0</v>
      </c>
    </row>
    <row r="780" spans="1:9" x14ac:dyDescent="0.2">
      <c r="A780" s="2">
        <v>6</v>
      </c>
      <c r="B780" s="1" t="s">
        <v>216</v>
      </c>
      <c r="C780" s="4">
        <v>2</v>
      </c>
      <c r="D780" s="8">
        <v>3.33</v>
      </c>
      <c r="E780" s="4">
        <v>2</v>
      </c>
      <c r="F780" s="8">
        <v>4.88</v>
      </c>
      <c r="G780" s="4">
        <v>0</v>
      </c>
      <c r="H780" s="8">
        <v>0</v>
      </c>
      <c r="I780" s="4">
        <v>0</v>
      </c>
    </row>
    <row r="781" spans="1:9" x14ac:dyDescent="0.2">
      <c r="A781" s="2">
        <v>6</v>
      </c>
      <c r="B781" s="1" t="s">
        <v>134</v>
      </c>
      <c r="C781" s="4">
        <v>2</v>
      </c>
      <c r="D781" s="8">
        <v>3.33</v>
      </c>
      <c r="E781" s="4">
        <v>0</v>
      </c>
      <c r="F781" s="8">
        <v>0</v>
      </c>
      <c r="G781" s="4">
        <v>1</v>
      </c>
      <c r="H781" s="8">
        <v>7.69</v>
      </c>
      <c r="I781" s="4">
        <v>0</v>
      </c>
    </row>
    <row r="782" spans="1:9" x14ac:dyDescent="0.2">
      <c r="A782" s="2">
        <v>6</v>
      </c>
      <c r="B782" s="1" t="s">
        <v>183</v>
      </c>
      <c r="C782" s="4">
        <v>2</v>
      </c>
      <c r="D782" s="8">
        <v>3.33</v>
      </c>
      <c r="E782" s="4">
        <v>2</v>
      </c>
      <c r="F782" s="8">
        <v>4.88</v>
      </c>
      <c r="G782" s="4">
        <v>0</v>
      </c>
      <c r="H782" s="8">
        <v>0</v>
      </c>
      <c r="I782" s="4">
        <v>0</v>
      </c>
    </row>
    <row r="783" spans="1:9" x14ac:dyDescent="0.2">
      <c r="A783" s="2">
        <v>6</v>
      </c>
      <c r="B783" s="1" t="s">
        <v>136</v>
      </c>
      <c r="C783" s="4">
        <v>2</v>
      </c>
      <c r="D783" s="8">
        <v>3.33</v>
      </c>
      <c r="E783" s="4">
        <v>2</v>
      </c>
      <c r="F783" s="8">
        <v>4.88</v>
      </c>
      <c r="G783" s="4">
        <v>0</v>
      </c>
      <c r="H783" s="8">
        <v>0</v>
      </c>
      <c r="I783" s="4">
        <v>0</v>
      </c>
    </row>
    <row r="784" spans="1:9" x14ac:dyDescent="0.2">
      <c r="A784" s="2">
        <v>6</v>
      </c>
      <c r="B784" s="1" t="s">
        <v>205</v>
      </c>
      <c r="C784" s="4">
        <v>2</v>
      </c>
      <c r="D784" s="8">
        <v>3.33</v>
      </c>
      <c r="E784" s="4">
        <v>2</v>
      </c>
      <c r="F784" s="8">
        <v>4.88</v>
      </c>
      <c r="G784" s="4">
        <v>0</v>
      </c>
      <c r="H784" s="8">
        <v>0</v>
      </c>
      <c r="I784" s="4">
        <v>0</v>
      </c>
    </row>
    <row r="785" spans="1:9" x14ac:dyDescent="0.2">
      <c r="A785" s="2">
        <v>6</v>
      </c>
      <c r="B785" s="1" t="s">
        <v>142</v>
      </c>
      <c r="C785" s="4">
        <v>2</v>
      </c>
      <c r="D785" s="8">
        <v>3.33</v>
      </c>
      <c r="E785" s="4">
        <v>2</v>
      </c>
      <c r="F785" s="8">
        <v>4.88</v>
      </c>
      <c r="G785" s="4">
        <v>0</v>
      </c>
      <c r="H785" s="8">
        <v>0</v>
      </c>
      <c r="I785" s="4">
        <v>0</v>
      </c>
    </row>
    <row r="786" spans="1:9" x14ac:dyDescent="0.2">
      <c r="A786" s="2">
        <v>6</v>
      </c>
      <c r="B786" s="1" t="s">
        <v>219</v>
      </c>
      <c r="C786" s="4">
        <v>2</v>
      </c>
      <c r="D786" s="8">
        <v>3.33</v>
      </c>
      <c r="E786" s="4">
        <v>0</v>
      </c>
      <c r="F786" s="8">
        <v>0</v>
      </c>
      <c r="G786" s="4">
        <v>2</v>
      </c>
      <c r="H786" s="8">
        <v>15.38</v>
      </c>
      <c r="I786" s="4">
        <v>0</v>
      </c>
    </row>
    <row r="787" spans="1:9" x14ac:dyDescent="0.2">
      <c r="A787" s="2">
        <v>14</v>
      </c>
      <c r="B787" s="1" t="s">
        <v>212</v>
      </c>
      <c r="C787" s="4">
        <v>1</v>
      </c>
      <c r="D787" s="8">
        <v>1.67</v>
      </c>
      <c r="E787" s="4">
        <v>0</v>
      </c>
      <c r="F787" s="8">
        <v>0</v>
      </c>
      <c r="G787" s="4">
        <v>1</v>
      </c>
      <c r="H787" s="8">
        <v>7.69</v>
      </c>
      <c r="I787" s="4">
        <v>0</v>
      </c>
    </row>
    <row r="788" spans="1:9" x14ac:dyDescent="0.2">
      <c r="A788" s="2">
        <v>14</v>
      </c>
      <c r="B788" s="1" t="s">
        <v>197</v>
      </c>
      <c r="C788" s="4">
        <v>1</v>
      </c>
      <c r="D788" s="8">
        <v>1.67</v>
      </c>
      <c r="E788" s="4">
        <v>0</v>
      </c>
      <c r="F788" s="8">
        <v>0</v>
      </c>
      <c r="G788" s="4">
        <v>1</v>
      </c>
      <c r="H788" s="8">
        <v>7.69</v>
      </c>
      <c r="I788" s="4">
        <v>0</v>
      </c>
    </row>
    <row r="789" spans="1:9" x14ac:dyDescent="0.2">
      <c r="A789" s="2">
        <v>14</v>
      </c>
      <c r="B789" s="1" t="s">
        <v>125</v>
      </c>
      <c r="C789" s="4">
        <v>1</v>
      </c>
      <c r="D789" s="8">
        <v>1.67</v>
      </c>
      <c r="E789" s="4">
        <v>0</v>
      </c>
      <c r="F789" s="8">
        <v>0</v>
      </c>
      <c r="G789" s="4">
        <v>1</v>
      </c>
      <c r="H789" s="8">
        <v>7.69</v>
      </c>
      <c r="I789" s="4">
        <v>0</v>
      </c>
    </row>
    <row r="790" spans="1:9" x14ac:dyDescent="0.2">
      <c r="A790" s="2">
        <v>14</v>
      </c>
      <c r="B790" s="1" t="s">
        <v>213</v>
      </c>
      <c r="C790" s="4">
        <v>1</v>
      </c>
      <c r="D790" s="8">
        <v>1.67</v>
      </c>
      <c r="E790" s="4">
        <v>0</v>
      </c>
      <c r="F790" s="8">
        <v>0</v>
      </c>
      <c r="G790" s="4">
        <v>1</v>
      </c>
      <c r="H790" s="8">
        <v>7.69</v>
      </c>
      <c r="I790" s="4">
        <v>0</v>
      </c>
    </row>
    <row r="791" spans="1:9" x14ac:dyDescent="0.2">
      <c r="A791" s="2">
        <v>14</v>
      </c>
      <c r="B791" s="1" t="s">
        <v>214</v>
      </c>
      <c r="C791" s="4">
        <v>1</v>
      </c>
      <c r="D791" s="8">
        <v>1.67</v>
      </c>
      <c r="E791" s="4">
        <v>1</v>
      </c>
      <c r="F791" s="8">
        <v>2.44</v>
      </c>
      <c r="G791" s="4">
        <v>0</v>
      </c>
      <c r="H791" s="8">
        <v>0</v>
      </c>
      <c r="I791" s="4">
        <v>0</v>
      </c>
    </row>
    <row r="792" spans="1:9" x14ac:dyDescent="0.2">
      <c r="A792" s="2">
        <v>14</v>
      </c>
      <c r="B792" s="1" t="s">
        <v>215</v>
      </c>
      <c r="C792" s="4">
        <v>1</v>
      </c>
      <c r="D792" s="8">
        <v>1.67</v>
      </c>
      <c r="E792" s="4">
        <v>0</v>
      </c>
      <c r="F792" s="8">
        <v>0</v>
      </c>
      <c r="G792" s="4">
        <v>0</v>
      </c>
      <c r="H792" s="8">
        <v>0</v>
      </c>
      <c r="I792" s="4">
        <v>0</v>
      </c>
    </row>
    <row r="793" spans="1:9" x14ac:dyDescent="0.2">
      <c r="A793" s="2">
        <v>14</v>
      </c>
      <c r="B793" s="1" t="s">
        <v>127</v>
      </c>
      <c r="C793" s="4">
        <v>1</v>
      </c>
      <c r="D793" s="8">
        <v>1.67</v>
      </c>
      <c r="E793" s="4">
        <v>1</v>
      </c>
      <c r="F793" s="8">
        <v>2.44</v>
      </c>
      <c r="G793" s="4">
        <v>0</v>
      </c>
      <c r="H793" s="8">
        <v>0</v>
      </c>
      <c r="I793" s="4">
        <v>0</v>
      </c>
    </row>
    <row r="794" spans="1:9" x14ac:dyDescent="0.2">
      <c r="A794" s="2">
        <v>14</v>
      </c>
      <c r="B794" s="1" t="s">
        <v>131</v>
      </c>
      <c r="C794" s="4">
        <v>1</v>
      </c>
      <c r="D794" s="8">
        <v>1.67</v>
      </c>
      <c r="E794" s="4">
        <v>0</v>
      </c>
      <c r="F794" s="8">
        <v>0</v>
      </c>
      <c r="G794" s="4">
        <v>1</v>
      </c>
      <c r="H794" s="8">
        <v>7.69</v>
      </c>
      <c r="I794" s="4">
        <v>0</v>
      </c>
    </row>
    <row r="795" spans="1:9" x14ac:dyDescent="0.2">
      <c r="A795" s="2">
        <v>14</v>
      </c>
      <c r="B795" s="1" t="s">
        <v>132</v>
      </c>
      <c r="C795" s="4">
        <v>1</v>
      </c>
      <c r="D795" s="8">
        <v>1.67</v>
      </c>
      <c r="E795" s="4">
        <v>1</v>
      </c>
      <c r="F795" s="8">
        <v>2.44</v>
      </c>
      <c r="G795" s="4">
        <v>0</v>
      </c>
      <c r="H795" s="8">
        <v>0</v>
      </c>
      <c r="I795" s="4">
        <v>0</v>
      </c>
    </row>
    <row r="796" spans="1:9" x14ac:dyDescent="0.2">
      <c r="A796" s="2">
        <v>14</v>
      </c>
      <c r="B796" s="1" t="s">
        <v>210</v>
      </c>
      <c r="C796" s="4">
        <v>1</v>
      </c>
      <c r="D796" s="8">
        <v>1.67</v>
      </c>
      <c r="E796" s="4">
        <v>1</v>
      </c>
      <c r="F796" s="8">
        <v>2.44</v>
      </c>
      <c r="G796" s="4">
        <v>0</v>
      </c>
      <c r="H796" s="8">
        <v>0</v>
      </c>
      <c r="I796" s="4">
        <v>0</v>
      </c>
    </row>
    <row r="797" spans="1:9" x14ac:dyDescent="0.2">
      <c r="A797" s="2">
        <v>14</v>
      </c>
      <c r="B797" s="1" t="s">
        <v>217</v>
      </c>
      <c r="C797" s="4">
        <v>1</v>
      </c>
      <c r="D797" s="8">
        <v>1.67</v>
      </c>
      <c r="E797" s="4">
        <v>0</v>
      </c>
      <c r="F797" s="8">
        <v>0</v>
      </c>
      <c r="G797" s="4">
        <v>1</v>
      </c>
      <c r="H797" s="8">
        <v>7.69</v>
      </c>
      <c r="I797" s="4">
        <v>0</v>
      </c>
    </row>
    <row r="798" spans="1:9" x14ac:dyDescent="0.2">
      <c r="A798" s="2">
        <v>14</v>
      </c>
      <c r="B798" s="1" t="s">
        <v>218</v>
      </c>
      <c r="C798" s="4">
        <v>1</v>
      </c>
      <c r="D798" s="8">
        <v>1.67</v>
      </c>
      <c r="E798" s="4">
        <v>1</v>
      </c>
      <c r="F798" s="8">
        <v>2.44</v>
      </c>
      <c r="G798" s="4">
        <v>0</v>
      </c>
      <c r="H798" s="8">
        <v>0</v>
      </c>
      <c r="I798" s="4">
        <v>0</v>
      </c>
    </row>
    <row r="799" spans="1:9" x14ac:dyDescent="0.2">
      <c r="A799" s="2">
        <v>14</v>
      </c>
      <c r="B799" s="1" t="s">
        <v>137</v>
      </c>
      <c r="C799" s="4">
        <v>1</v>
      </c>
      <c r="D799" s="8">
        <v>1.67</v>
      </c>
      <c r="E799" s="4">
        <v>1</v>
      </c>
      <c r="F799" s="8">
        <v>2.44</v>
      </c>
      <c r="G799" s="4">
        <v>0</v>
      </c>
      <c r="H799" s="8">
        <v>0</v>
      </c>
      <c r="I799" s="4">
        <v>0</v>
      </c>
    </row>
    <row r="800" spans="1:9" x14ac:dyDescent="0.2">
      <c r="A800" s="2">
        <v>14</v>
      </c>
      <c r="B800" s="1" t="s">
        <v>199</v>
      </c>
      <c r="C800" s="4">
        <v>1</v>
      </c>
      <c r="D800" s="8">
        <v>1.67</v>
      </c>
      <c r="E800" s="4">
        <v>1</v>
      </c>
      <c r="F800" s="8">
        <v>2.44</v>
      </c>
      <c r="G800" s="4">
        <v>0</v>
      </c>
      <c r="H800" s="8">
        <v>0</v>
      </c>
      <c r="I800" s="4">
        <v>0</v>
      </c>
    </row>
    <row r="801" spans="1:9" x14ac:dyDescent="0.2">
      <c r="A801" s="2">
        <v>14</v>
      </c>
      <c r="B801" s="1" t="s">
        <v>140</v>
      </c>
      <c r="C801" s="4">
        <v>1</v>
      </c>
      <c r="D801" s="8">
        <v>1.67</v>
      </c>
      <c r="E801" s="4">
        <v>1</v>
      </c>
      <c r="F801" s="8">
        <v>2.44</v>
      </c>
      <c r="G801" s="4">
        <v>0</v>
      </c>
      <c r="H801" s="8">
        <v>0</v>
      </c>
      <c r="I801" s="4">
        <v>0</v>
      </c>
    </row>
    <row r="802" spans="1:9" x14ac:dyDescent="0.2">
      <c r="A802" s="2">
        <v>14</v>
      </c>
      <c r="B802" s="1" t="s">
        <v>165</v>
      </c>
      <c r="C802" s="4">
        <v>1</v>
      </c>
      <c r="D802" s="8">
        <v>1.67</v>
      </c>
      <c r="E802" s="4">
        <v>0</v>
      </c>
      <c r="F802" s="8">
        <v>0</v>
      </c>
      <c r="G802" s="4">
        <v>0</v>
      </c>
      <c r="H802" s="8">
        <v>0</v>
      </c>
      <c r="I802" s="4">
        <v>0</v>
      </c>
    </row>
    <row r="803" spans="1:9" x14ac:dyDescent="0.2">
      <c r="A803" s="2">
        <v>14</v>
      </c>
      <c r="B803" s="1" t="s">
        <v>220</v>
      </c>
      <c r="C803" s="4">
        <v>1</v>
      </c>
      <c r="D803" s="8">
        <v>1.67</v>
      </c>
      <c r="E803" s="4">
        <v>1</v>
      </c>
      <c r="F803" s="8">
        <v>2.44</v>
      </c>
      <c r="G803" s="4">
        <v>0</v>
      </c>
      <c r="H803" s="8">
        <v>0</v>
      </c>
      <c r="I803" s="4">
        <v>0</v>
      </c>
    </row>
    <row r="804" spans="1:9" x14ac:dyDescent="0.2">
      <c r="A804" s="2">
        <v>14</v>
      </c>
      <c r="B804" s="1" t="s">
        <v>221</v>
      </c>
      <c r="C804" s="4">
        <v>1</v>
      </c>
      <c r="D804" s="8">
        <v>1.67</v>
      </c>
      <c r="E804" s="4">
        <v>1</v>
      </c>
      <c r="F804" s="8">
        <v>2.44</v>
      </c>
      <c r="G804" s="4">
        <v>0</v>
      </c>
      <c r="H804" s="8">
        <v>0</v>
      </c>
      <c r="I804" s="4">
        <v>0</v>
      </c>
    </row>
    <row r="805" spans="1:9" x14ac:dyDescent="0.2">
      <c r="A805" s="1"/>
      <c r="C805" s="4"/>
      <c r="D805" s="8"/>
      <c r="E805" s="4"/>
      <c r="F805" s="8"/>
      <c r="G805" s="4"/>
      <c r="H805" s="8"/>
      <c r="I805" s="4"/>
    </row>
    <row r="806" spans="1:9" x14ac:dyDescent="0.2">
      <c r="A806" s="1" t="s">
        <v>34</v>
      </c>
      <c r="C806" s="4"/>
      <c r="D806" s="8"/>
      <c r="E806" s="4"/>
      <c r="F806" s="8"/>
      <c r="G806" s="4"/>
      <c r="H806" s="8"/>
      <c r="I806" s="4"/>
    </row>
    <row r="807" spans="1:9" x14ac:dyDescent="0.2">
      <c r="A807" s="2">
        <v>1</v>
      </c>
      <c r="B807" s="1" t="s">
        <v>160</v>
      </c>
      <c r="C807" s="4">
        <v>4</v>
      </c>
      <c r="D807" s="8">
        <v>6.56</v>
      </c>
      <c r="E807" s="4">
        <v>1</v>
      </c>
      <c r="F807" s="8">
        <v>3.03</v>
      </c>
      <c r="G807" s="4">
        <v>3</v>
      </c>
      <c r="H807" s="8">
        <v>12</v>
      </c>
      <c r="I807" s="4">
        <v>0</v>
      </c>
    </row>
    <row r="808" spans="1:9" x14ac:dyDescent="0.2">
      <c r="A808" s="2">
        <v>2</v>
      </c>
      <c r="B808" s="1" t="s">
        <v>124</v>
      </c>
      <c r="C808" s="4">
        <v>3</v>
      </c>
      <c r="D808" s="8">
        <v>4.92</v>
      </c>
      <c r="E808" s="4">
        <v>0</v>
      </c>
      <c r="F808" s="8">
        <v>0</v>
      </c>
      <c r="G808" s="4">
        <v>3</v>
      </c>
      <c r="H808" s="8">
        <v>12</v>
      </c>
      <c r="I808" s="4">
        <v>0</v>
      </c>
    </row>
    <row r="809" spans="1:9" x14ac:dyDescent="0.2">
      <c r="A809" s="2">
        <v>2</v>
      </c>
      <c r="B809" s="1" t="s">
        <v>189</v>
      </c>
      <c r="C809" s="4">
        <v>3</v>
      </c>
      <c r="D809" s="8">
        <v>4.92</v>
      </c>
      <c r="E809" s="4">
        <v>3</v>
      </c>
      <c r="F809" s="8">
        <v>9.09</v>
      </c>
      <c r="G809" s="4">
        <v>0</v>
      </c>
      <c r="H809" s="8">
        <v>0</v>
      </c>
      <c r="I809" s="4">
        <v>0</v>
      </c>
    </row>
    <row r="810" spans="1:9" x14ac:dyDescent="0.2">
      <c r="A810" s="2">
        <v>2</v>
      </c>
      <c r="B810" s="1" t="s">
        <v>127</v>
      </c>
      <c r="C810" s="4">
        <v>3</v>
      </c>
      <c r="D810" s="8">
        <v>4.92</v>
      </c>
      <c r="E810" s="4">
        <v>2</v>
      </c>
      <c r="F810" s="8">
        <v>6.06</v>
      </c>
      <c r="G810" s="4">
        <v>1</v>
      </c>
      <c r="H810" s="8">
        <v>4</v>
      </c>
      <c r="I810" s="4">
        <v>0</v>
      </c>
    </row>
    <row r="811" spans="1:9" x14ac:dyDescent="0.2">
      <c r="A811" s="2">
        <v>2</v>
      </c>
      <c r="B811" s="1" t="s">
        <v>129</v>
      </c>
      <c r="C811" s="4">
        <v>3</v>
      </c>
      <c r="D811" s="8">
        <v>4.92</v>
      </c>
      <c r="E811" s="4">
        <v>3</v>
      </c>
      <c r="F811" s="8">
        <v>9.09</v>
      </c>
      <c r="G811" s="4">
        <v>0</v>
      </c>
      <c r="H811" s="8">
        <v>0</v>
      </c>
      <c r="I811" s="4">
        <v>0</v>
      </c>
    </row>
    <row r="812" spans="1:9" x14ac:dyDescent="0.2">
      <c r="A812" s="2">
        <v>2</v>
      </c>
      <c r="B812" s="1" t="s">
        <v>167</v>
      </c>
      <c r="C812" s="4">
        <v>3</v>
      </c>
      <c r="D812" s="8">
        <v>4.92</v>
      </c>
      <c r="E812" s="4">
        <v>3</v>
      </c>
      <c r="F812" s="8">
        <v>9.09</v>
      </c>
      <c r="G812" s="4">
        <v>0</v>
      </c>
      <c r="H812" s="8">
        <v>0</v>
      </c>
      <c r="I812" s="4">
        <v>0</v>
      </c>
    </row>
    <row r="813" spans="1:9" x14ac:dyDescent="0.2">
      <c r="A813" s="2">
        <v>2</v>
      </c>
      <c r="B813" s="1" t="s">
        <v>140</v>
      </c>
      <c r="C813" s="4">
        <v>3</v>
      </c>
      <c r="D813" s="8">
        <v>4.92</v>
      </c>
      <c r="E813" s="4">
        <v>3</v>
      </c>
      <c r="F813" s="8">
        <v>9.09</v>
      </c>
      <c r="G813" s="4">
        <v>0</v>
      </c>
      <c r="H813" s="8">
        <v>0</v>
      </c>
      <c r="I813" s="4">
        <v>0</v>
      </c>
    </row>
    <row r="814" spans="1:9" x14ac:dyDescent="0.2">
      <c r="A814" s="2">
        <v>8</v>
      </c>
      <c r="B814" s="1" t="s">
        <v>191</v>
      </c>
      <c r="C814" s="4">
        <v>2</v>
      </c>
      <c r="D814" s="8">
        <v>3.28</v>
      </c>
      <c r="E814" s="4">
        <v>0</v>
      </c>
      <c r="F814" s="8">
        <v>0</v>
      </c>
      <c r="G814" s="4">
        <v>2</v>
      </c>
      <c r="H814" s="8">
        <v>8</v>
      </c>
      <c r="I814" s="4">
        <v>0</v>
      </c>
    </row>
    <row r="815" spans="1:9" x14ac:dyDescent="0.2">
      <c r="A815" s="2">
        <v>8</v>
      </c>
      <c r="B815" s="1" t="s">
        <v>128</v>
      </c>
      <c r="C815" s="4">
        <v>2</v>
      </c>
      <c r="D815" s="8">
        <v>3.28</v>
      </c>
      <c r="E815" s="4">
        <v>1</v>
      </c>
      <c r="F815" s="8">
        <v>3.03</v>
      </c>
      <c r="G815" s="4">
        <v>1</v>
      </c>
      <c r="H815" s="8">
        <v>4</v>
      </c>
      <c r="I815" s="4">
        <v>0</v>
      </c>
    </row>
    <row r="816" spans="1:9" x14ac:dyDescent="0.2">
      <c r="A816" s="2">
        <v>8</v>
      </c>
      <c r="B816" s="1" t="s">
        <v>132</v>
      </c>
      <c r="C816" s="4">
        <v>2</v>
      </c>
      <c r="D816" s="8">
        <v>3.28</v>
      </c>
      <c r="E816" s="4">
        <v>0</v>
      </c>
      <c r="F816" s="8">
        <v>0</v>
      </c>
      <c r="G816" s="4">
        <v>2</v>
      </c>
      <c r="H816" s="8">
        <v>8</v>
      </c>
      <c r="I816" s="4">
        <v>0</v>
      </c>
    </row>
    <row r="817" spans="1:9" x14ac:dyDescent="0.2">
      <c r="A817" s="2">
        <v>8</v>
      </c>
      <c r="B817" s="1" t="s">
        <v>134</v>
      </c>
      <c r="C817" s="4">
        <v>2</v>
      </c>
      <c r="D817" s="8">
        <v>3.28</v>
      </c>
      <c r="E817" s="4">
        <v>0</v>
      </c>
      <c r="F817" s="8">
        <v>0</v>
      </c>
      <c r="G817" s="4">
        <v>1</v>
      </c>
      <c r="H817" s="8">
        <v>4</v>
      </c>
      <c r="I817" s="4">
        <v>0</v>
      </c>
    </row>
    <row r="818" spans="1:9" x14ac:dyDescent="0.2">
      <c r="A818" s="2">
        <v>8</v>
      </c>
      <c r="B818" s="1" t="s">
        <v>226</v>
      </c>
      <c r="C818" s="4">
        <v>2</v>
      </c>
      <c r="D818" s="8">
        <v>3.28</v>
      </c>
      <c r="E818" s="4">
        <v>0</v>
      </c>
      <c r="F818" s="8">
        <v>0</v>
      </c>
      <c r="G818" s="4">
        <v>2</v>
      </c>
      <c r="H818" s="8">
        <v>8</v>
      </c>
      <c r="I818" s="4">
        <v>0</v>
      </c>
    </row>
    <row r="819" spans="1:9" x14ac:dyDescent="0.2">
      <c r="A819" s="2">
        <v>8</v>
      </c>
      <c r="B819" s="1" t="s">
        <v>137</v>
      </c>
      <c r="C819" s="4">
        <v>2</v>
      </c>
      <c r="D819" s="8">
        <v>3.28</v>
      </c>
      <c r="E819" s="4">
        <v>2</v>
      </c>
      <c r="F819" s="8">
        <v>6.06</v>
      </c>
      <c r="G819" s="4">
        <v>0</v>
      </c>
      <c r="H819" s="8">
        <v>0</v>
      </c>
      <c r="I819" s="4">
        <v>0</v>
      </c>
    </row>
    <row r="820" spans="1:9" x14ac:dyDescent="0.2">
      <c r="A820" s="2">
        <v>8</v>
      </c>
      <c r="B820" s="1" t="s">
        <v>138</v>
      </c>
      <c r="C820" s="4">
        <v>2</v>
      </c>
      <c r="D820" s="8">
        <v>3.28</v>
      </c>
      <c r="E820" s="4">
        <v>1</v>
      </c>
      <c r="F820" s="8">
        <v>3.03</v>
      </c>
      <c r="G820" s="4">
        <v>1</v>
      </c>
      <c r="H820" s="8">
        <v>4</v>
      </c>
      <c r="I820" s="4">
        <v>0</v>
      </c>
    </row>
    <row r="821" spans="1:9" x14ac:dyDescent="0.2">
      <c r="A821" s="2">
        <v>8</v>
      </c>
      <c r="B821" s="1" t="s">
        <v>199</v>
      </c>
      <c r="C821" s="4">
        <v>2</v>
      </c>
      <c r="D821" s="8">
        <v>3.28</v>
      </c>
      <c r="E821" s="4">
        <v>2</v>
      </c>
      <c r="F821" s="8">
        <v>6.06</v>
      </c>
      <c r="G821" s="4">
        <v>0</v>
      </c>
      <c r="H821" s="8">
        <v>0</v>
      </c>
      <c r="I821" s="4">
        <v>0</v>
      </c>
    </row>
    <row r="822" spans="1:9" x14ac:dyDescent="0.2">
      <c r="A822" s="2">
        <v>8</v>
      </c>
      <c r="B822" s="1" t="s">
        <v>139</v>
      </c>
      <c r="C822" s="4">
        <v>2</v>
      </c>
      <c r="D822" s="8">
        <v>3.28</v>
      </c>
      <c r="E822" s="4">
        <v>2</v>
      </c>
      <c r="F822" s="8">
        <v>6.06</v>
      </c>
      <c r="G822" s="4">
        <v>0</v>
      </c>
      <c r="H822" s="8">
        <v>0</v>
      </c>
      <c r="I822" s="4">
        <v>0</v>
      </c>
    </row>
    <row r="823" spans="1:9" x14ac:dyDescent="0.2">
      <c r="A823" s="2">
        <v>17</v>
      </c>
      <c r="B823" s="1" t="s">
        <v>125</v>
      </c>
      <c r="C823" s="4">
        <v>1</v>
      </c>
      <c r="D823" s="8">
        <v>1.64</v>
      </c>
      <c r="E823" s="4">
        <v>0</v>
      </c>
      <c r="F823" s="8">
        <v>0</v>
      </c>
      <c r="G823" s="4">
        <v>1</v>
      </c>
      <c r="H823" s="8">
        <v>4</v>
      </c>
      <c r="I823" s="4">
        <v>0</v>
      </c>
    </row>
    <row r="824" spans="1:9" x14ac:dyDescent="0.2">
      <c r="A824" s="2">
        <v>17</v>
      </c>
      <c r="B824" s="1" t="s">
        <v>157</v>
      </c>
      <c r="C824" s="4">
        <v>1</v>
      </c>
      <c r="D824" s="8">
        <v>1.64</v>
      </c>
      <c r="E824" s="4">
        <v>1</v>
      </c>
      <c r="F824" s="8">
        <v>3.03</v>
      </c>
      <c r="G824" s="4">
        <v>0</v>
      </c>
      <c r="H824" s="8">
        <v>0</v>
      </c>
      <c r="I824" s="4">
        <v>0</v>
      </c>
    </row>
    <row r="825" spans="1:9" x14ac:dyDescent="0.2">
      <c r="A825" s="2">
        <v>17</v>
      </c>
      <c r="B825" s="1" t="s">
        <v>222</v>
      </c>
      <c r="C825" s="4">
        <v>1</v>
      </c>
      <c r="D825" s="8">
        <v>1.64</v>
      </c>
      <c r="E825" s="4">
        <v>1</v>
      </c>
      <c r="F825" s="8">
        <v>3.03</v>
      </c>
      <c r="G825" s="4">
        <v>0</v>
      </c>
      <c r="H825" s="8">
        <v>0</v>
      </c>
      <c r="I825" s="4">
        <v>0</v>
      </c>
    </row>
    <row r="826" spans="1:9" x14ac:dyDescent="0.2">
      <c r="A826" s="2">
        <v>17</v>
      </c>
      <c r="B826" s="1" t="s">
        <v>126</v>
      </c>
      <c r="C826" s="4">
        <v>1</v>
      </c>
      <c r="D826" s="8">
        <v>1.64</v>
      </c>
      <c r="E826" s="4">
        <v>0</v>
      </c>
      <c r="F826" s="8">
        <v>0</v>
      </c>
      <c r="G826" s="4">
        <v>1</v>
      </c>
      <c r="H826" s="8">
        <v>4</v>
      </c>
      <c r="I826" s="4">
        <v>0</v>
      </c>
    </row>
    <row r="827" spans="1:9" x14ac:dyDescent="0.2">
      <c r="A827" s="2">
        <v>17</v>
      </c>
      <c r="B827" s="1" t="s">
        <v>207</v>
      </c>
      <c r="C827" s="4">
        <v>1</v>
      </c>
      <c r="D827" s="8">
        <v>1.64</v>
      </c>
      <c r="E827" s="4">
        <v>1</v>
      </c>
      <c r="F827" s="8">
        <v>3.03</v>
      </c>
      <c r="G827" s="4">
        <v>0</v>
      </c>
      <c r="H827" s="8">
        <v>0</v>
      </c>
      <c r="I827" s="4">
        <v>0</v>
      </c>
    </row>
    <row r="828" spans="1:9" x14ac:dyDescent="0.2">
      <c r="A828" s="2">
        <v>17</v>
      </c>
      <c r="B828" s="1" t="s">
        <v>203</v>
      </c>
      <c r="C828" s="4">
        <v>1</v>
      </c>
      <c r="D828" s="8">
        <v>1.64</v>
      </c>
      <c r="E828" s="4">
        <v>0</v>
      </c>
      <c r="F828" s="8">
        <v>0</v>
      </c>
      <c r="G828" s="4">
        <v>1</v>
      </c>
      <c r="H828" s="8">
        <v>4</v>
      </c>
      <c r="I828" s="4">
        <v>0</v>
      </c>
    </row>
    <row r="829" spans="1:9" x14ac:dyDescent="0.2">
      <c r="A829" s="2">
        <v>17</v>
      </c>
      <c r="B829" s="1" t="s">
        <v>175</v>
      </c>
      <c r="C829" s="4">
        <v>1</v>
      </c>
      <c r="D829" s="8">
        <v>1.64</v>
      </c>
      <c r="E829" s="4">
        <v>0</v>
      </c>
      <c r="F829" s="8">
        <v>0</v>
      </c>
      <c r="G829" s="4">
        <v>1</v>
      </c>
      <c r="H829" s="8">
        <v>4</v>
      </c>
      <c r="I829" s="4">
        <v>0</v>
      </c>
    </row>
    <row r="830" spans="1:9" x14ac:dyDescent="0.2">
      <c r="A830" s="2">
        <v>17</v>
      </c>
      <c r="B830" s="1" t="s">
        <v>223</v>
      </c>
      <c r="C830" s="4">
        <v>1</v>
      </c>
      <c r="D830" s="8">
        <v>1.64</v>
      </c>
      <c r="E830" s="4">
        <v>0</v>
      </c>
      <c r="F830" s="8">
        <v>0</v>
      </c>
      <c r="G830" s="4">
        <v>1</v>
      </c>
      <c r="H830" s="8">
        <v>4</v>
      </c>
      <c r="I830" s="4">
        <v>0</v>
      </c>
    </row>
    <row r="831" spans="1:9" x14ac:dyDescent="0.2">
      <c r="A831" s="2">
        <v>17</v>
      </c>
      <c r="B831" s="1" t="s">
        <v>224</v>
      </c>
      <c r="C831" s="4">
        <v>1</v>
      </c>
      <c r="D831" s="8">
        <v>1.64</v>
      </c>
      <c r="E831" s="4">
        <v>0</v>
      </c>
      <c r="F831" s="8">
        <v>0</v>
      </c>
      <c r="G831" s="4">
        <v>0</v>
      </c>
      <c r="H831" s="8">
        <v>0</v>
      </c>
      <c r="I831" s="4">
        <v>0</v>
      </c>
    </row>
    <row r="832" spans="1:9" x14ac:dyDescent="0.2">
      <c r="A832" s="2">
        <v>17</v>
      </c>
      <c r="B832" s="1" t="s">
        <v>225</v>
      </c>
      <c r="C832" s="4">
        <v>1</v>
      </c>
      <c r="D832" s="8">
        <v>1.64</v>
      </c>
      <c r="E832" s="4">
        <v>0</v>
      </c>
      <c r="F832" s="8">
        <v>0</v>
      </c>
      <c r="G832" s="4">
        <v>1</v>
      </c>
      <c r="H832" s="8">
        <v>4</v>
      </c>
      <c r="I832" s="4">
        <v>0</v>
      </c>
    </row>
    <row r="833" spans="1:9" x14ac:dyDescent="0.2">
      <c r="A833" s="2">
        <v>17</v>
      </c>
      <c r="B833" s="1" t="s">
        <v>154</v>
      </c>
      <c r="C833" s="4">
        <v>1</v>
      </c>
      <c r="D833" s="8">
        <v>1.64</v>
      </c>
      <c r="E833" s="4">
        <v>1</v>
      </c>
      <c r="F833" s="8">
        <v>3.03</v>
      </c>
      <c r="G833" s="4">
        <v>0</v>
      </c>
      <c r="H833" s="8">
        <v>0</v>
      </c>
      <c r="I833" s="4">
        <v>0</v>
      </c>
    </row>
    <row r="834" spans="1:9" x14ac:dyDescent="0.2">
      <c r="A834" s="2">
        <v>17</v>
      </c>
      <c r="B834" s="1" t="s">
        <v>131</v>
      </c>
      <c r="C834" s="4">
        <v>1</v>
      </c>
      <c r="D834" s="8">
        <v>1.64</v>
      </c>
      <c r="E834" s="4">
        <v>0</v>
      </c>
      <c r="F834" s="8">
        <v>0</v>
      </c>
      <c r="G834" s="4">
        <v>1</v>
      </c>
      <c r="H834" s="8">
        <v>4</v>
      </c>
      <c r="I834" s="4">
        <v>0</v>
      </c>
    </row>
    <row r="835" spans="1:9" x14ac:dyDescent="0.2">
      <c r="A835" s="2">
        <v>17</v>
      </c>
      <c r="B835" s="1" t="s">
        <v>168</v>
      </c>
      <c r="C835" s="4">
        <v>1</v>
      </c>
      <c r="D835" s="8">
        <v>1.64</v>
      </c>
      <c r="E835" s="4">
        <v>1</v>
      </c>
      <c r="F835" s="8">
        <v>3.03</v>
      </c>
      <c r="G835" s="4">
        <v>0</v>
      </c>
      <c r="H835" s="8">
        <v>0</v>
      </c>
      <c r="I835" s="4">
        <v>0</v>
      </c>
    </row>
    <row r="836" spans="1:9" x14ac:dyDescent="0.2">
      <c r="A836" s="2">
        <v>17</v>
      </c>
      <c r="B836" s="1" t="s">
        <v>133</v>
      </c>
      <c r="C836" s="4">
        <v>1</v>
      </c>
      <c r="D836" s="8">
        <v>1.64</v>
      </c>
      <c r="E836" s="4">
        <v>1</v>
      </c>
      <c r="F836" s="8">
        <v>3.03</v>
      </c>
      <c r="G836" s="4">
        <v>0</v>
      </c>
      <c r="H836" s="8">
        <v>0</v>
      </c>
      <c r="I836" s="4">
        <v>0</v>
      </c>
    </row>
    <row r="837" spans="1:9" x14ac:dyDescent="0.2">
      <c r="A837" s="2">
        <v>17</v>
      </c>
      <c r="B837" s="1" t="s">
        <v>227</v>
      </c>
      <c r="C837" s="4">
        <v>1</v>
      </c>
      <c r="D837" s="8">
        <v>1.64</v>
      </c>
      <c r="E837" s="4">
        <v>1</v>
      </c>
      <c r="F837" s="8">
        <v>3.03</v>
      </c>
      <c r="G837" s="4">
        <v>0</v>
      </c>
      <c r="H837" s="8">
        <v>0</v>
      </c>
      <c r="I837" s="4">
        <v>0</v>
      </c>
    </row>
    <row r="838" spans="1:9" x14ac:dyDescent="0.2">
      <c r="A838" s="2">
        <v>17</v>
      </c>
      <c r="B838" s="1" t="s">
        <v>228</v>
      </c>
      <c r="C838" s="4">
        <v>1</v>
      </c>
      <c r="D838" s="8">
        <v>1.64</v>
      </c>
      <c r="E838" s="4">
        <v>0</v>
      </c>
      <c r="F838" s="8">
        <v>0</v>
      </c>
      <c r="G838" s="4">
        <v>1</v>
      </c>
      <c r="H838" s="8">
        <v>4</v>
      </c>
      <c r="I838" s="4">
        <v>0</v>
      </c>
    </row>
    <row r="839" spans="1:9" x14ac:dyDescent="0.2">
      <c r="A839" s="2">
        <v>17</v>
      </c>
      <c r="B839" s="1" t="s">
        <v>158</v>
      </c>
      <c r="C839" s="4">
        <v>1</v>
      </c>
      <c r="D839" s="8">
        <v>1.64</v>
      </c>
      <c r="E839" s="4">
        <v>1</v>
      </c>
      <c r="F839" s="8">
        <v>3.03</v>
      </c>
      <c r="G839" s="4">
        <v>0</v>
      </c>
      <c r="H839" s="8">
        <v>0</v>
      </c>
      <c r="I839" s="4">
        <v>0</v>
      </c>
    </row>
    <row r="840" spans="1:9" x14ac:dyDescent="0.2">
      <c r="A840" s="2">
        <v>17</v>
      </c>
      <c r="B840" s="1" t="s">
        <v>146</v>
      </c>
      <c r="C840" s="4">
        <v>1</v>
      </c>
      <c r="D840" s="8">
        <v>1.64</v>
      </c>
      <c r="E840" s="4">
        <v>1</v>
      </c>
      <c r="F840" s="8">
        <v>3.03</v>
      </c>
      <c r="G840" s="4">
        <v>0</v>
      </c>
      <c r="H840" s="8">
        <v>0</v>
      </c>
      <c r="I840" s="4">
        <v>0</v>
      </c>
    </row>
    <row r="841" spans="1:9" x14ac:dyDescent="0.2">
      <c r="A841" s="2">
        <v>17</v>
      </c>
      <c r="B841" s="1" t="s">
        <v>229</v>
      </c>
      <c r="C841" s="4">
        <v>1</v>
      </c>
      <c r="D841" s="8">
        <v>1.64</v>
      </c>
      <c r="E841" s="4">
        <v>1</v>
      </c>
      <c r="F841" s="8">
        <v>3.03</v>
      </c>
      <c r="G841" s="4">
        <v>0</v>
      </c>
      <c r="H841" s="8">
        <v>0</v>
      </c>
      <c r="I841" s="4">
        <v>0</v>
      </c>
    </row>
    <row r="842" spans="1:9" x14ac:dyDescent="0.2">
      <c r="A842" s="2">
        <v>17</v>
      </c>
      <c r="B842" s="1" t="s">
        <v>187</v>
      </c>
      <c r="C842" s="4">
        <v>1</v>
      </c>
      <c r="D842" s="8">
        <v>1.64</v>
      </c>
      <c r="E842" s="4">
        <v>0</v>
      </c>
      <c r="F842" s="8">
        <v>0</v>
      </c>
      <c r="G842" s="4">
        <v>0</v>
      </c>
      <c r="H842" s="8">
        <v>0</v>
      </c>
      <c r="I842" s="4">
        <v>0</v>
      </c>
    </row>
    <row r="843" spans="1:9" x14ac:dyDescent="0.2">
      <c r="A843" s="2">
        <v>17</v>
      </c>
      <c r="B843" s="1" t="s">
        <v>201</v>
      </c>
      <c r="C843" s="4">
        <v>1</v>
      </c>
      <c r="D843" s="8">
        <v>1.64</v>
      </c>
      <c r="E843" s="4">
        <v>0</v>
      </c>
      <c r="F843" s="8">
        <v>0</v>
      </c>
      <c r="G843" s="4">
        <v>1</v>
      </c>
      <c r="H843" s="8">
        <v>4</v>
      </c>
      <c r="I843" s="4">
        <v>0</v>
      </c>
    </row>
    <row r="844" spans="1:9" x14ac:dyDescent="0.2">
      <c r="A844" s="1"/>
      <c r="C844" s="4"/>
      <c r="D844" s="8"/>
      <c r="E844" s="4"/>
      <c r="F844" s="8"/>
      <c r="G844" s="4"/>
      <c r="H844" s="8"/>
      <c r="I844" s="4"/>
    </row>
    <row r="845" spans="1:9" x14ac:dyDescent="0.2">
      <c r="A845" s="1" t="s">
        <v>35</v>
      </c>
      <c r="C845" s="4"/>
      <c r="D845" s="8"/>
      <c r="E845" s="4"/>
      <c r="F845" s="8"/>
      <c r="G845" s="4"/>
      <c r="H845" s="8"/>
      <c r="I845" s="4"/>
    </row>
    <row r="846" spans="1:9" x14ac:dyDescent="0.2">
      <c r="A846" s="2">
        <v>1</v>
      </c>
      <c r="B846" s="1" t="s">
        <v>129</v>
      </c>
      <c r="C846" s="4">
        <v>27</v>
      </c>
      <c r="D846" s="8">
        <v>7.26</v>
      </c>
      <c r="E846" s="4">
        <v>23</v>
      </c>
      <c r="F846" s="8">
        <v>8.68</v>
      </c>
      <c r="G846" s="4">
        <v>4</v>
      </c>
      <c r="H846" s="8">
        <v>4.21</v>
      </c>
      <c r="I846" s="4">
        <v>0</v>
      </c>
    </row>
    <row r="847" spans="1:9" x14ac:dyDescent="0.2">
      <c r="A847" s="2">
        <v>2</v>
      </c>
      <c r="B847" s="1" t="s">
        <v>137</v>
      </c>
      <c r="C847" s="4">
        <v>23</v>
      </c>
      <c r="D847" s="8">
        <v>6.18</v>
      </c>
      <c r="E847" s="4">
        <v>23</v>
      </c>
      <c r="F847" s="8">
        <v>8.68</v>
      </c>
      <c r="G847" s="4">
        <v>0</v>
      </c>
      <c r="H847" s="8">
        <v>0</v>
      </c>
      <c r="I847" s="4">
        <v>0</v>
      </c>
    </row>
    <row r="848" spans="1:9" x14ac:dyDescent="0.2">
      <c r="A848" s="2">
        <v>3</v>
      </c>
      <c r="B848" s="1" t="s">
        <v>127</v>
      </c>
      <c r="C848" s="4">
        <v>20</v>
      </c>
      <c r="D848" s="8">
        <v>5.38</v>
      </c>
      <c r="E848" s="4">
        <v>16</v>
      </c>
      <c r="F848" s="8">
        <v>6.04</v>
      </c>
      <c r="G848" s="4">
        <v>4</v>
      </c>
      <c r="H848" s="8">
        <v>4.21</v>
      </c>
      <c r="I848" s="4">
        <v>0</v>
      </c>
    </row>
    <row r="849" spans="1:9" x14ac:dyDescent="0.2">
      <c r="A849" s="2">
        <v>4</v>
      </c>
      <c r="B849" s="1" t="s">
        <v>158</v>
      </c>
      <c r="C849" s="4">
        <v>18</v>
      </c>
      <c r="D849" s="8">
        <v>4.84</v>
      </c>
      <c r="E849" s="4">
        <v>18</v>
      </c>
      <c r="F849" s="8">
        <v>6.79</v>
      </c>
      <c r="G849" s="4">
        <v>0</v>
      </c>
      <c r="H849" s="8">
        <v>0</v>
      </c>
      <c r="I849" s="4">
        <v>0</v>
      </c>
    </row>
    <row r="850" spans="1:9" x14ac:dyDescent="0.2">
      <c r="A850" s="2">
        <v>5</v>
      </c>
      <c r="B850" s="1" t="s">
        <v>138</v>
      </c>
      <c r="C850" s="4">
        <v>16</v>
      </c>
      <c r="D850" s="8">
        <v>4.3</v>
      </c>
      <c r="E850" s="4">
        <v>14</v>
      </c>
      <c r="F850" s="8">
        <v>5.28</v>
      </c>
      <c r="G850" s="4">
        <v>2</v>
      </c>
      <c r="H850" s="8">
        <v>2.11</v>
      </c>
      <c r="I850" s="4">
        <v>0</v>
      </c>
    </row>
    <row r="851" spans="1:9" x14ac:dyDescent="0.2">
      <c r="A851" s="2">
        <v>5</v>
      </c>
      <c r="B851" s="1" t="s">
        <v>140</v>
      </c>
      <c r="C851" s="4">
        <v>16</v>
      </c>
      <c r="D851" s="8">
        <v>4.3</v>
      </c>
      <c r="E851" s="4">
        <v>16</v>
      </c>
      <c r="F851" s="8">
        <v>6.04</v>
      </c>
      <c r="G851" s="4">
        <v>0</v>
      </c>
      <c r="H851" s="8">
        <v>0</v>
      </c>
      <c r="I851" s="4">
        <v>0</v>
      </c>
    </row>
    <row r="852" spans="1:9" x14ac:dyDescent="0.2">
      <c r="A852" s="2">
        <v>7</v>
      </c>
      <c r="B852" s="1" t="s">
        <v>139</v>
      </c>
      <c r="C852" s="4">
        <v>13</v>
      </c>
      <c r="D852" s="8">
        <v>3.49</v>
      </c>
      <c r="E852" s="4">
        <v>13</v>
      </c>
      <c r="F852" s="8">
        <v>4.91</v>
      </c>
      <c r="G852" s="4">
        <v>0</v>
      </c>
      <c r="H852" s="8">
        <v>0</v>
      </c>
      <c r="I852" s="4">
        <v>0</v>
      </c>
    </row>
    <row r="853" spans="1:9" x14ac:dyDescent="0.2">
      <c r="A853" s="2">
        <v>8</v>
      </c>
      <c r="B853" s="1" t="s">
        <v>134</v>
      </c>
      <c r="C853" s="4">
        <v>10</v>
      </c>
      <c r="D853" s="8">
        <v>2.69</v>
      </c>
      <c r="E853" s="4">
        <v>4</v>
      </c>
      <c r="F853" s="8">
        <v>1.51</v>
      </c>
      <c r="G853" s="4">
        <v>6</v>
      </c>
      <c r="H853" s="8">
        <v>6.32</v>
      </c>
      <c r="I853" s="4">
        <v>0</v>
      </c>
    </row>
    <row r="854" spans="1:9" x14ac:dyDescent="0.2">
      <c r="A854" s="2">
        <v>8</v>
      </c>
      <c r="B854" s="1" t="s">
        <v>167</v>
      </c>
      <c r="C854" s="4">
        <v>10</v>
      </c>
      <c r="D854" s="8">
        <v>2.69</v>
      </c>
      <c r="E854" s="4">
        <v>10</v>
      </c>
      <c r="F854" s="8">
        <v>3.77</v>
      </c>
      <c r="G854" s="4">
        <v>0</v>
      </c>
      <c r="H854" s="8">
        <v>0</v>
      </c>
      <c r="I854" s="4">
        <v>0</v>
      </c>
    </row>
    <row r="855" spans="1:9" x14ac:dyDescent="0.2">
      <c r="A855" s="2">
        <v>10</v>
      </c>
      <c r="B855" s="1" t="s">
        <v>205</v>
      </c>
      <c r="C855" s="4">
        <v>9</v>
      </c>
      <c r="D855" s="8">
        <v>2.42</v>
      </c>
      <c r="E855" s="4">
        <v>8</v>
      </c>
      <c r="F855" s="8">
        <v>3.02</v>
      </c>
      <c r="G855" s="4">
        <v>1</v>
      </c>
      <c r="H855" s="8">
        <v>1.05</v>
      </c>
      <c r="I855" s="4">
        <v>0</v>
      </c>
    </row>
    <row r="856" spans="1:9" x14ac:dyDescent="0.2">
      <c r="A856" s="2">
        <v>11</v>
      </c>
      <c r="B856" s="1" t="s">
        <v>136</v>
      </c>
      <c r="C856" s="4">
        <v>8</v>
      </c>
      <c r="D856" s="8">
        <v>2.15</v>
      </c>
      <c r="E856" s="4">
        <v>8</v>
      </c>
      <c r="F856" s="8">
        <v>3.02</v>
      </c>
      <c r="G856" s="4">
        <v>0</v>
      </c>
      <c r="H856" s="8">
        <v>0</v>
      </c>
      <c r="I856" s="4">
        <v>0</v>
      </c>
    </row>
    <row r="857" spans="1:9" x14ac:dyDescent="0.2">
      <c r="A857" s="2">
        <v>12</v>
      </c>
      <c r="B857" s="1" t="s">
        <v>126</v>
      </c>
      <c r="C857" s="4">
        <v>7</v>
      </c>
      <c r="D857" s="8">
        <v>1.88</v>
      </c>
      <c r="E857" s="4">
        <v>1</v>
      </c>
      <c r="F857" s="8">
        <v>0.38</v>
      </c>
      <c r="G857" s="4">
        <v>6</v>
      </c>
      <c r="H857" s="8">
        <v>6.32</v>
      </c>
      <c r="I857" s="4">
        <v>0</v>
      </c>
    </row>
    <row r="858" spans="1:9" x14ac:dyDescent="0.2">
      <c r="A858" s="2">
        <v>12</v>
      </c>
      <c r="B858" s="1" t="s">
        <v>204</v>
      </c>
      <c r="C858" s="4">
        <v>7</v>
      </c>
      <c r="D858" s="8">
        <v>1.88</v>
      </c>
      <c r="E858" s="4">
        <v>7</v>
      </c>
      <c r="F858" s="8">
        <v>2.64</v>
      </c>
      <c r="G858" s="4">
        <v>0</v>
      </c>
      <c r="H858" s="8">
        <v>0</v>
      </c>
      <c r="I858" s="4">
        <v>0</v>
      </c>
    </row>
    <row r="859" spans="1:9" x14ac:dyDescent="0.2">
      <c r="A859" s="2">
        <v>12</v>
      </c>
      <c r="B859" s="1" t="s">
        <v>128</v>
      </c>
      <c r="C859" s="4">
        <v>7</v>
      </c>
      <c r="D859" s="8">
        <v>1.88</v>
      </c>
      <c r="E859" s="4">
        <v>6</v>
      </c>
      <c r="F859" s="8">
        <v>2.2599999999999998</v>
      </c>
      <c r="G859" s="4">
        <v>1</v>
      </c>
      <c r="H859" s="8">
        <v>1.05</v>
      </c>
      <c r="I859" s="4">
        <v>0</v>
      </c>
    </row>
    <row r="860" spans="1:9" x14ac:dyDescent="0.2">
      <c r="A860" s="2">
        <v>12</v>
      </c>
      <c r="B860" s="1" t="s">
        <v>156</v>
      </c>
      <c r="C860" s="4">
        <v>7</v>
      </c>
      <c r="D860" s="8">
        <v>1.88</v>
      </c>
      <c r="E860" s="4">
        <v>7</v>
      </c>
      <c r="F860" s="8">
        <v>2.64</v>
      </c>
      <c r="G860" s="4">
        <v>0</v>
      </c>
      <c r="H860" s="8">
        <v>0</v>
      </c>
      <c r="I860" s="4">
        <v>0</v>
      </c>
    </row>
    <row r="861" spans="1:9" x14ac:dyDescent="0.2">
      <c r="A861" s="2">
        <v>16</v>
      </c>
      <c r="B861" s="1" t="s">
        <v>124</v>
      </c>
      <c r="C861" s="4">
        <v>5</v>
      </c>
      <c r="D861" s="8">
        <v>1.34</v>
      </c>
      <c r="E861" s="4">
        <v>0</v>
      </c>
      <c r="F861" s="8">
        <v>0</v>
      </c>
      <c r="G861" s="4">
        <v>5</v>
      </c>
      <c r="H861" s="8">
        <v>5.26</v>
      </c>
      <c r="I861" s="4">
        <v>0</v>
      </c>
    </row>
    <row r="862" spans="1:9" x14ac:dyDescent="0.2">
      <c r="A862" s="2">
        <v>16</v>
      </c>
      <c r="B862" s="1" t="s">
        <v>132</v>
      </c>
      <c r="C862" s="4">
        <v>5</v>
      </c>
      <c r="D862" s="8">
        <v>1.34</v>
      </c>
      <c r="E862" s="4">
        <v>3</v>
      </c>
      <c r="F862" s="8">
        <v>1.1299999999999999</v>
      </c>
      <c r="G862" s="4">
        <v>2</v>
      </c>
      <c r="H862" s="8">
        <v>2.11</v>
      </c>
      <c r="I862" s="4">
        <v>0</v>
      </c>
    </row>
    <row r="863" spans="1:9" x14ac:dyDescent="0.2">
      <c r="A863" s="2">
        <v>16</v>
      </c>
      <c r="B863" s="1" t="s">
        <v>230</v>
      </c>
      <c r="C863" s="4">
        <v>5</v>
      </c>
      <c r="D863" s="8">
        <v>1.34</v>
      </c>
      <c r="E863" s="4">
        <v>3</v>
      </c>
      <c r="F863" s="8">
        <v>1.1299999999999999</v>
      </c>
      <c r="G863" s="4">
        <v>2</v>
      </c>
      <c r="H863" s="8">
        <v>2.11</v>
      </c>
      <c r="I863" s="4">
        <v>0</v>
      </c>
    </row>
    <row r="864" spans="1:9" x14ac:dyDescent="0.2">
      <c r="A864" s="2">
        <v>16</v>
      </c>
      <c r="B864" s="1" t="s">
        <v>133</v>
      </c>
      <c r="C864" s="4">
        <v>5</v>
      </c>
      <c r="D864" s="8">
        <v>1.34</v>
      </c>
      <c r="E864" s="4">
        <v>3</v>
      </c>
      <c r="F864" s="8">
        <v>1.1299999999999999</v>
      </c>
      <c r="G864" s="4">
        <v>2</v>
      </c>
      <c r="H864" s="8">
        <v>2.11</v>
      </c>
      <c r="I864" s="4">
        <v>0</v>
      </c>
    </row>
    <row r="865" spans="1:9" x14ac:dyDescent="0.2">
      <c r="A865" s="2">
        <v>20</v>
      </c>
      <c r="B865" s="1" t="s">
        <v>152</v>
      </c>
      <c r="C865" s="4">
        <v>4</v>
      </c>
      <c r="D865" s="8">
        <v>1.08</v>
      </c>
      <c r="E865" s="4">
        <v>3</v>
      </c>
      <c r="F865" s="8">
        <v>1.1299999999999999</v>
      </c>
      <c r="G865" s="4">
        <v>1</v>
      </c>
      <c r="H865" s="8">
        <v>1.05</v>
      </c>
      <c r="I865" s="4">
        <v>0</v>
      </c>
    </row>
    <row r="866" spans="1:9" x14ac:dyDescent="0.2">
      <c r="A866" s="2">
        <v>20</v>
      </c>
      <c r="B866" s="1" t="s">
        <v>135</v>
      </c>
      <c r="C866" s="4">
        <v>4</v>
      </c>
      <c r="D866" s="8">
        <v>1.08</v>
      </c>
      <c r="E866" s="4">
        <v>2</v>
      </c>
      <c r="F866" s="8">
        <v>0.75</v>
      </c>
      <c r="G866" s="4">
        <v>2</v>
      </c>
      <c r="H866" s="8">
        <v>2.11</v>
      </c>
      <c r="I866" s="4">
        <v>0</v>
      </c>
    </row>
    <row r="867" spans="1:9" x14ac:dyDescent="0.2">
      <c r="A867" s="2">
        <v>20</v>
      </c>
      <c r="B867" s="1" t="s">
        <v>183</v>
      </c>
      <c r="C867" s="4">
        <v>4</v>
      </c>
      <c r="D867" s="8">
        <v>1.08</v>
      </c>
      <c r="E867" s="4">
        <v>4</v>
      </c>
      <c r="F867" s="8">
        <v>1.51</v>
      </c>
      <c r="G867" s="4">
        <v>0</v>
      </c>
      <c r="H867" s="8">
        <v>0</v>
      </c>
      <c r="I867" s="4">
        <v>0</v>
      </c>
    </row>
    <row r="868" spans="1:9" x14ac:dyDescent="0.2">
      <c r="A868" s="2">
        <v>20</v>
      </c>
      <c r="B868" s="1" t="s">
        <v>141</v>
      </c>
      <c r="C868" s="4">
        <v>4</v>
      </c>
      <c r="D868" s="8">
        <v>1.08</v>
      </c>
      <c r="E868" s="4">
        <v>3</v>
      </c>
      <c r="F868" s="8">
        <v>1.1299999999999999</v>
      </c>
      <c r="G868" s="4">
        <v>1</v>
      </c>
      <c r="H868" s="8">
        <v>1.05</v>
      </c>
      <c r="I868" s="4">
        <v>0</v>
      </c>
    </row>
    <row r="869" spans="1:9" x14ac:dyDescent="0.2">
      <c r="A869" s="2">
        <v>20</v>
      </c>
      <c r="B869" s="1" t="s">
        <v>187</v>
      </c>
      <c r="C869" s="4">
        <v>4</v>
      </c>
      <c r="D869" s="8">
        <v>1.08</v>
      </c>
      <c r="E869" s="4">
        <v>0</v>
      </c>
      <c r="F869" s="8">
        <v>0</v>
      </c>
      <c r="G869" s="4">
        <v>0</v>
      </c>
      <c r="H869" s="8">
        <v>0</v>
      </c>
      <c r="I869" s="4">
        <v>0</v>
      </c>
    </row>
    <row r="870" spans="1:9" x14ac:dyDescent="0.2">
      <c r="A870" s="2">
        <v>20</v>
      </c>
      <c r="B870" s="1" t="s">
        <v>143</v>
      </c>
      <c r="C870" s="4">
        <v>4</v>
      </c>
      <c r="D870" s="8">
        <v>1.08</v>
      </c>
      <c r="E870" s="4">
        <v>3</v>
      </c>
      <c r="F870" s="8">
        <v>1.1299999999999999</v>
      </c>
      <c r="G870" s="4">
        <v>1</v>
      </c>
      <c r="H870" s="8">
        <v>1.05</v>
      </c>
      <c r="I870" s="4">
        <v>0</v>
      </c>
    </row>
    <row r="871" spans="1:9" x14ac:dyDescent="0.2">
      <c r="A871" s="1"/>
      <c r="C871" s="4"/>
      <c r="D871" s="8"/>
      <c r="E871" s="4"/>
      <c r="F871" s="8"/>
      <c r="G871" s="4"/>
      <c r="H871" s="8"/>
      <c r="I871" s="4"/>
    </row>
    <row r="872" spans="1:9" x14ac:dyDescent="0.2">
      <c r="A872" s="1" t="s">
        <v>36</v>
      </c>
      <c r="C872" s="4"/>
      <c r="D872" s="8"/>
      <c r="E872" s="4"/>
      <c r="F872" s="8"/>
      <c r="G872" s="4"/>
      <c r="H872" s="8"/>
      <c r="I872" s="4"/>
    </row>
    <row r="873" spans="1:9" x14ac:dyDescent="0.2">
      <c r="A873" s="2">
        <v>1</v>
      </c>
      <c r="B873" s="1" t="s">
        <v>183</v>
      </c>
      <c r="C873" s="4">
        <v>14</v>
      </c>
      <c r="D873" s="8">
        <v>5.88</v>
      </c>
      <c r="E873" s="4">
        <v>13</v>
      </c>
      <c r="F873" s="8">
        <v>8.39</v>
      </c>
      <c r="G873" s="4">
        <v>1</v>
      </c>
      <c r="H873" s="8">
        <v>1.3</v>
      </c>
      <c r="I873" s="4">
        <v>0</v>
      </c>
    </row>
    <row r="874" spans="1:9" x14ac:dyDescent="0.2">
      <c r="A874" s="2">
        <v>2</v>
      </c>
      <c r="B874" s="1" t="s">
        <v>140</v>
      </c>
      <c r="C874" s="4">
        <v>12</v>
      </c>
      <c r="D874" s="8">
        <v>5.04</v>
      </c>
      <c r="E874" s="4">
        <v>12</v>
      </c>
      <c r="F874" s="8">
        <v>7.74</v>
      </c>
      <c r="G874" s="4">
        <v>0</v>
      </c>
      <c r="H874" s="8">
        <v>0</v>
      </c>
      <c r="I874" s="4">
        <v>0</v>
      </c>
    </row>
    <row r="875" spans="1:9" x14ac:dyDescent="0.2">
      <c r="A875" s="2">
        <v>3</v>
      </c>
      <c r="B875" s="1" t="s">
        <v>130</v>
      </c>
      <c r="C875" s="4">
        <v>11</v>
      </c>
      <c r="D875" s="8">
        <v>4.62</v>
      </c>
      <c r="E875" s="4">
        <v>7</v>
      </c>
      <c r="F875" s="8">
        <v>4.5199999999999996</v>
      </c>
      <c r="G875" s="4">
        <v>4</v>
      </c>
      <c r="H875" s="8">
        <v>5.19</v>
      </c>
      <c r="I875" s="4">
        <v>0</v>
      </c>
    </row>
    <row r="876" spans="1:9" x14ac:dyDescent="0.2">
      <c r="A876" s="2">
        <v>4</v>
      </c>
      <c r="B876" s="1" t="s">
        <v>172</v>
      </c>
      <c r="C876" s="4">
        <v>10</v>
      </c>
      <c r="D876" s="8">
        <v>4.2</v>
      </c>
      <c r="E876" s="4">
        <v>8</v>
      </c>
      <c r="F876" s="8">
        <v>5.16</v>
      </c>
      <c r="G876" s="4">
        <v>2</v>
      </c>
      <c r="H876" s="8">
        <v>2.6</v>
      </c>
      <c r="I876" s="4">
        <v>0</v>
      </c>
    </row>
    <row r="877" spans="1:9" x14ac:dyDescent="0.2">
      <c r="A877" s="2">
        <v>5</v>
      </c>
      <c r="B877" s="1" t="s">
        <v>136</v>
      </c>
      <c r="C877" s="4">
        <v>9</v>
      </c>
      <c r="D877" s="8">
        <v>3.78</v>
      </c>
      <c r="E877" s="4">
        <v>8</v>
      </c>
      <c r="F877" s="8">
        <v>5.16</v>
      </c>
      <c r="G877" s="4">
        <v>1</v>
      </c>
      <c r="H877" s="8">
        <v>1.3</v>
      </c>
      <c r="I877" s="4">
        <v>0</v>
      </c>
    </row>
    <row r="878" spans="1:9" x14ac:dyDescent="0.2">
      <c r="A878" s="2">
        <v>5</v>
      </c>
      <c r="B878" s="1" t="s">
        <v>148</v>
      </c>
      <c r="C878" s="4">
        <v>9</v>
      </c>
      <c r="D878" s="8">
        <v>3.78</v>
      </c>
      <c r="E878" s="4">
        <v>8</v>
      </c>
      <c r="F878" s="8">
        <v>5.16</v>
      </c>
      <c r="G878" s="4">
        <v>1</v>
      </c>
      <c r="H878" s="8">
        <v>1.3</v>
      </c>
      <c r="I878" s="4">
        <v>0</v>
      </c>
    </row>
    <row r="879" spans="1:9" x14ac:dyDescent="0.2">
      <c r="A879" s="2">
        <v>7</v>
      </c>
      <c r="B879" s="1" t="s">
        <v>124</v>
      </c>
      <c r="C879" s="4">
        <v>7</v>
      </c>
      <c r="D879" s="8">
        <v>2.94</v>
      </c>
      <c r="E879" s="4">
        <v>0</v>
      </c>
      <c r="F879" s="8">
        <v>0</v>
      </c>
      <c r="G879" s="4">
        <v>7</v>
      </c>
      <c r="H879" s="8">
        <v>9.09</v>
      </c>
      <c r="I879" s="4">
        <v>0</v>
      </c>
    </row>
    <row r="880" spans="1:9" x14ac:dyDescent="0.2">
      <c r="A880" s="2">
        <v>7</v>
      </c>
      <c r="B880" s="1" t="s">
        <v>133</v>
      </c>
      <c r="C880" s="4">
        <v>7</v>
      </c>
      <c r="D880" s="8">
        <v>2.94</v>
      </c>
      <c r="E880" s="4">
        <v>4</v>
      </c>
      <c r="F880" s="8">
        <v>2.58</v>
      </c>
      <c r="G880" s="4">
        <v>2</v>
      </c>
      <c r="H880" s="8">
        <v>2.6</v>
      </c>
      <c r="I880" s="4">
        <v>0</v>
      </c>
    </row>
    <row r="881" spans="1:9" x14ac:dyDescent="0.2">
      <c r="A881" s="2">
        <v>7</v>
      </c>
      <c r="B881" s="1" t="s">
        <v>143</v>
      </c>
      <c r="C881" s="4">
        <v>7</v>
      </c>
      <c r="D881" s="8">
        <v>2.94</v>
      </c>
      <c r="E881" s="4">
        <v>6</v>
      </c>
      <c r="F881" s="8">
        <v>3.87</v>
      </c>
      <c r="G881" s="4">
        <v>1</v>
      </c>
      <c r="H881" s="8">
        <v>1.3</v>
      </c>
      <c r="I881" s="4">
        <v>0</v>
      </c>
    </row>
    <row r="882" spans="1:9" x14ac:dyDescent="0.2">
      <c r="A882" s="2">
        <v>10</v>
      </c>
      <c r="B882" s="1" t="s">
        <v>129</v>
      </c>
      <c r="C882" s="4">
        <v>6</v>
      </c>
      <c r="D882" s="8">
        <v>2.52</v>
      </c>
      <c r="E882" s="4">
        <v>6</v>
      </c>
      <c r="F882" s="8">
        <v>3.87</v>
      </c>
      <c r="G882" s="4">
        <v>0</v>
      </c>
      <c r="H882" s="8">
        <v>0</v>
      </c>
      <c r="I882" s="4">
        <v>0</v>
      </c>
    </row>
    <row r="883" spans="1:9" x14ac:dyDescent="0.2">
      <c r="A883" s="2">
        <v>10</v>
      </c>
      <c r="B883" s="1" t="s">
        <v>132</v>
      </c>
      <c r="C883" s="4">
        <v>6</v>
      </c>
      <c r="D883" s="8">
        <v>2.52</v>
      </c>
      <c r="E883" s="4">
        <v>2</v>
      </c>
      <c r="F883" s="8">
        <v>1.29</v>
      </c>
      <c r="G883" s="4">
        <v>4</v>
      </c>
      <c r="H883" s="8">
        <v>5.19</v>
      </c>
      <c r="I883" s="4">
        <v>0</v>
      </c>
    </row>
    <row r="884" spans="1:9" x14ac:dyDescent="0.2">
      <c r="A884" s="2">
        <v>10</v>
      </c>
      <c r="B884" s="1" t="s">
        <v>205</v>
      </c>
      <c r="C884" s="4">
        <v>6</v>
      </c>
      <c r="D884" s="8">
        <v>2.52</v>
      </c>
      <c r="E884" s="4">
        <v>6</v>
      </c>
      <c r="F884" s="8">
        <v>3.87</v>
      </c>
      <c r="G884" s="4">
        <v>0</v>
      </c>
      <c r="H884" s="8">
        <v>0</v>
      </c>
      <c r="I884" s="4">
        <v>0</v>
      </c>
    </row>
    <row r="885" spans="1:9" x14ac:dyDescent="0.2">
      <c r="A885" s="2">
        <v>13</v>
      </c>
      <c r="B885" s="1" t="s">
        <v>126</v>
      </c>
      <c r="C885" s="4">
        <v>5</v>
      </c>
      <c r="D885" s="8">
        <v>2.1</v>
      </c>
      <c r="E885" s="4">
        <v>4</v>
      </c>
      <c r="F885" s="8">
        <v>2.58</v>
      </c>
      <c r="G885" s="4">
        <v>1</v>
      </c>
      <c r="H885" s="8">
        <v>1.3</v>
      </c>
      <c r="I885" s="4">
        <v>0</v>
      </c>
    </row>
    <row r="886" spans="1:9" x14ac:dyDescent="0.2">
      <c r="A886" s="2">
        <v>13</v>
      </c>
      <c r="B886" s="1" t="s">
        <v>127</v>
      </c>
      <c r="C886" s="4">
        <v>5</v>
      </c>
      <c r="D886" s="8">
        <v>2.1</v>
      </c>
      <c r="E886" s="4">
        <v>5</v>
      </c>
      <c r="F886" s="8">
        <v>3.23</v>
      </c>
      <c r="G886" s="4">
        <v>0</v>
      </c>
      <c r="H886" s="8">
        <v>0</v>
      </c>
      <c r="I886" s="4">
        <v>0</v>
      </c>
    </row>
    <row r="887" spans="1:9" x14ac:dyDescent="0.2">
      <c r="A887" s="2">
        <v>13</v>
      </c>
      <c r="B887" s="1" t="s">
        <v>137</v>
      </c>
      <c r="C887" s="4">
        <v>5</v>
      </c>
      <c r="D887" s="8">
        <v>2.1</v>
      </c>
      <c r="E887" s="4">
        <v>5</v>
      </c>
      <c r="F887" s="8">
        <v>3.23</v>
      </c>
      <c r="G887" s="4">
        <v>0</v>
      </c>
      <c r="H887" s="8">
        <v>0</v>
      </c>
      <c r="I887" s="4">
        <v>0</v>
      </c>
    </row>
    <row r="888" spans="1:9" x14ac:dyDescent="0.2">
      <c r="A888" s="2">
        <v>13</v>
      </c>
      <c r="B888" s="1" t="s">
        <v>139</v>
      </c>
      <c r="C888" s="4">
        <v>5</v>
      </c>
      <c r="D888" s="8">
        <v>2.1</v>
      </c>
      <c r="E888" s="4">
        <v>5</v>
      </c>
      <c r="F888" s="8">
        <v>3.23</v>
      </c>
      <c r="G888" s="4">
        <v>0</v>
      </c>
      <c r="H888" s="8">
        <v>0</v>
      </c>
      <c r="I888" s="4">
        <v>0</v>
      </c>
    </row>
    <row r="889" spans="1:9" x14ac:dyDescent="0.2">
      <c r="A889" s="2">
        <v>17</v>
      </c>
      <c r="B889" s="1" t="s">
        <v>159</v>
      </c>
      <c r="C889" s="4">
        <v>4</v>
      </c>
      <c r="D889" s="8">
        <v>1.68</v>
      </c>
      <c r="E889" s="4">
        <v>0</v>
      </c>
      <c r="F889" s="8">
        <v>0</v>
      </c>
      <c r="G889" s="4">
        <v>4</v>
      </c>
      <c r="H889" s="8">
        <v>5.19</v>
      </c>
      <c r="I889" s="4">
        <v>0</v>
      </c>
    </row>
    <row r="890" spans="1:9" x14ac:dyDescent="0.2">
      <c r="A890" s="2">
        <v>17</v>
      </c>
      <c r="B890" s="1" t="s">
        <v>160</v>
      </c>
      <c r="C890" s="4">
        <v>4</v>
      </c>
      <c r="D890" s="8">
        <v>1.68</v>
      </c>
      <c r="E890" s="4">
        <v>4</v>
      </c>
      <c r="F890" s="8">
        <v>2.58</v>
      </c>
      <c r="G890" s="4">
        <v>0</v>
      </c>
      <c r="H890" s="8">
        <v>0</v>
      </c>
      <c r="I890" s="4">
        <v>0</v>
      </c>
    </row>
    <row r="891" spans="1:9" x14ac:dyDescent="0.2">
      <c r="A891" s="2">
        <v>17</v>
      </c>
      <c r="B891" s="1" t="s">
        <v>128</v>
      </c>
      <c r="C891" s="4">
        <v>4</v>
      </c>
      <c r="D891" s="8">
        <v>1.68</v>
      </c>
      <c r="E891" s="4">
        <v>3</v>
      </c>
      <c r="F891" s="8">
        <v>1.94</v>
      </c>
      <c r="G891" s="4">
        <v>1</v>
      </c>
      <c r="H891" s="8">
        <v>1.3</v>
      </c>
      <c r="I891" s="4">
        <v>0</v>
      </c>
    </row>
    <row r="892" spans="1:9" x14ac:dyDescent="0.2">
      <c r="A892" s="2">
        <v>17</v>
      </c>
      <c r="B892" s="1" t="s">
        <v>158</v>
      </c>
      <c r="C892" s="4">
        <v>4</v>
      </c>
      <c r="D892" s="8">
        <v>1.68</v>
      </c>
      <c r="E892" s="4">
        <v>3</v>
      </c>
      <c r="F892" s="8">
        <v>1.94</v>
      </c>
      <c r="G892" s="4">
        <v>1</v>
      </c>
      <c r="H892" s="8">
        <v>1.3</v>
      </c>
      <c r="I892" s="4">
        <v>0</v>
      </c>
    </row>
    <row r="893" spans="1:9" x14ac:dyDescent="0.2">
      <c r="A893" s="2">
        <v>17</v>
      </c>
      <c r="B893" s="1" t="s">
        <v>167</v>
      </c>
      <c r="C893" s="4">
        <v>4</v>
      </c>
      <c r="D893" s="8">
        <v>1.68</v>
      </c>
      <c r="E893" s="4">
        <v>4</v>
      </c>
      <c r="F893" s="8">
        <v>2.58</v>
      </c>
      <c r="G893" s="4">
        <v>0</v>
      </c>
      <c r="H893" s="8">
        <v>0</v>
      </c>
      <c r="I893" s="4">
        <v>0</v>
      </c>
    </row>
    <row r="894" spans="1:9" x14ac:dyDescent="0.2">
      <c r="A894" s="2">
        <v>17</v>
      </c>
      <c r="B894" s="1" t="s">
        <v>231</v>
      </c>
      <c r="C894" s="4">
        <v>4</v>
      </c>
      <c r="D894" s="8">
        <v>1.68</v>
      </c>
      <c r="E894" s="4">
        <v>4</v>
      </c>
      <c r="F894" s="8">
        <v>2.58</v>
      </c>
      <c r="G894" s="4">
        <v>0</v>
      </c>
      <c r="H894" s="8">
        <v>0</v>
      </c>
      <c r="I894" s="4">
        <v>0</v>
      </c>
    </row>
    <row r="895" spans="1:9" x14ac:dyDescent="0.2">
      <c r="A895" s="1"/>
      <c r="C895" s="4"/>
      <c r="D895" s="8"/>
      <c r="E895" s="4"/>
      <c r="F895" s="8"/>
      <c r="G895" s="4"/>
      <c r="H895" s="8"/>
      <c r="I895" s="4"/>
    </row>
    <row r="896" spans="1:9" x14ac:dyDescent="0.2">
      <c r="A896" s="1" t="s">
        <v>37</v>
      </c>
      <c r="C896" s="4"/>
      <c r="D896" s="8"/>
      <c r="E896" s="4"/>
      <c r="F896" s="8"/>
      <c r="G896" s="4"/>
      <c r="H896" s="8"/>
      <c r="I896" s="4"/>
    </row>
    <row r="897" spans="1:9" x14ac:dyDescent="0.2">
      <c r="A897" s="2">
        <v>1</v>
      </c>
      <c r="B897" s="1" t="s">
        <v>137</v>
      </c>
      <c r="C897" s="4">
        <v>20</v>
      </c>
      <c r="D897" s="8">
        <v>7.72</v>
      </c>
      <c r="E897" s="4">
        <v>20</v>
      </c>
      <c r="F897" s="8">
        <v>10.87</v>
      </c>
      <c r="G897" s="4">
        <v>0</v>
      </c>
      <c r="H897" s="8">
        <v>0</v>
      </c>
      <c r="I897" s="4">
        <v>0</v>
      </c>
    </row>
    <row r="898" spans="1:9" x14ac:dyDescent="0.2">
      <c r="A898" s="2">
        <v>2</v>
      </c>
      <c r="B898" s="1" t="s">
        <v>140</v>
      </c>
      <c r="C898" s="4">
        <v>14</v>
      </c>
      <c r="D898" s="8">
        <v>5.41</v>
      </c>
      <c r="E898" s="4">
        <v>14</v>
      </c>
      <c r="F898" s="8">
        <v>7.61</v>
      </c>
      <c r="G898" s="4">
        <v>0</v>
      </c>
      <c r="H898" s="8">
        <v>0</v>
      </c>
      <c r="I898" s="4">
        <v>0</v>
      </c>
    </row>
    <row r="899" spans="1:9" x14ac:dyDescent="0.2">
      <c r="A899" s="2">
        <v>3</v>
      </c>
      <c r="B899" s="1" t="s">
        <v>124</v>
      </c>
      <c r="C899" s="4">
        <v>12</v>
      </c>
      <c r="D899" s="8">
        <v>4.63</v>
      </c>
      <c r="E899" s="4">
        <v>0</v>
      </c>
      <c r="F899" s="8">
        <v>0</v>
      </c>
      <c r="G899" s="4">
        <v>12</v>
      </c>
      <c r="H899" s="8">
        <v>17.14</v>
      </c>
      <c r="I899" s="4">
        <v>0</v>
      </c>
    </row>
    <row r="900" spans="1:9" x14ac:dyDescent="0.2">
      <c r="A900" s="2">
        <v>3</v>
      </c>
      <c r="B900" s="1" t="s">
        <v>127</v>
      </c>
      <c r="C900" s="4">
        <v>12</v>
      </c>
      <c r="D900" s="8">
        <v>4.63</v>
      </c>
      <c r="E900" s="4">
        <v>12</v>
      </c>
      <c r="F900" s="8">
        <v>6.52</v>
      </c>
      <c r="G900" s="4">
        <v>0</v>
      </c>
      <c r="H900" s="8">
        <v>0</v>
      </c>
      <c r="I900" s="4">
        <v>0</v>
      </c>
    </row>
    <row r="901" spans="1:9" x14ac:dyDescent="0.2">
      <c r="A901" s="2">
        <v>5</v>
      </c>
      <c r="B901" s="1" t="s">
        <v>138</v>
      </c>
      <c r="C901" s="4">
        <v>10</v>
      </c>
      <c r="D901" s="8">
        <v>3.86</v>
      </c>
      <c r="E901" s="4">
        <v>10</v>
      </c>
      <c r="F901" s="8">
        <v>5.43</v>
      </c>
      <c r="G901" s="4">
        <v>0</v>
      </c>
      <c r="H901" s="8">
        <v>0</v>
      </c>
      <c r="I901" s="4">
        <v>0</v>
      </c>
    </row>
    <row r="902" spans="1:9" x14ac:dyDescent="0.2">
      <c r="A902" s="2">
        <v>6</v>
      </c>
      <c r="B902" s="1" t="s">
        <v>232</v>
      </c>
      <c r="C902" s="4">
        <v>8</v>
      </c>
      <c r="D902" s="8">
        <v>3.09</v>
      </c>
      <c r="E902" s="4">
        <v>7</v>
      </c>
      <c r="F902" s="8">
        <v>3.8</v>
      </c>
      <c r="G902" s="4">
        <v>1</v>
      </c>
      <c r="H902" s="8">
        <v>1.43</v>
      </c>
      <c r="I902" s="4">
        <v>0</v>
      </c>
    </row>
    <row r="903" spans="1:9" x14ac:dyDescent="0.2">
      <c r="A903" s="2">
        <v>6</v>
      </c>
      <c r="B903" s="1" t="s">
        <v>167</v>
      </c>
      <c r="C903" s="4">
        <v>8</v>
      </c>
      <c r="D903" s="8">
        <v>3.09</v>
      </c>
      <c r="E903" s="4">
        <v>8</v>
      </c>
      <c r="F903" s="8">
        <v>4.3499999999999996</v>
      </c>
      <c r="G903" s="4">
        <v>0</v>
      </c>
      <c r="H903" s="8">
        <v>0</v>
      </c>
      <c r="I903" s="4">
        <v>0</v>
      </c>
    </row>
    <row r="904" spans="1:9" x14ac:dyDescent="0.2">
      <c r="A904" s="2">
        <v>8</v>
      </c>
      <c r="B904" s="1" t="s">
        <v>129</v>
      </c>
      <c r="C904" s="4">
        <v>7</v>
      </c>
      <c r="D904" s="8">
        <v>2.7</v>
      </c>
      <c r="E904" s="4">
        <v>7</v>
      </c>
      <c r="F904" s="8">
        <v>3.8</v>
      </c>
      <c r="G904" s="4">
        <v>0</v>
      </c>
      <c r="H904" s="8">
        <v>0</v>
      </c>
      <c r="I904" s="4">
        <v>0</v>
      </c>
    </row>
    <row r="905" spans="1:9" x14ac:dyDescent="0.2">
      <c r="A905" s="2">
        <v>8</v>
      </c>
      <c r="B905" s="1" t="s">
        <v>139</v>
      </c>
      <c r="C905" s="4">
        <v>7</v>
      </c>
      <c r="D905" s="8">
        <v>2.7</v>
      </c>
      <c r="E905" s="4">
        <v>7</v>
      </c>
      <c r="F905" s="8">
        <v>3.8</v>
      </c>
      <c r="G905" s="4">
        <v>0</v>
      </c>
      <c r="H905" s="8">
        <v>0</v>
      </c>
      <c r="I905" s="4">
        <v>0</v>
      </c>
    </row>
    <row r="906" spans="1:9" x14ac:dyDescent="0.2">
      <c r="A906" s="2">
        <v>10</v>
      </c>
      <c r="B906" s="1" t="s">
        <v>158</v>
      </c>
      <c r="C906" s="4">
        <v>6</v>
      </c>
      <c r="D906" s="8">
        <v>2.3199999999999998</v>
      </c>
      <c r="E906" s="4">
        <v>5</v>
      </c>
      <c r="F906" s="8">
        <v>2.72</v>
      </c>
      <c r="G906" s="4">
        <v>1</v>
      </c>
      <c r="H906" s="8">
        <v>1.43</v>
      </c>
      <c r="I906" s="4">
        <v>0</v>
      </c>
    </row>
    <row r="907" spans="1:9" x14ac:dyDescent="0.2">
      <c r="A907" s="2">
        <v>10</v>
      </c>
      <c r="B907" s="1" t="s">
        <v>142</v>
      </c>
      <c r="C907" s="4">
        <v>6</v>
      </c>
      <c r="D907" s="8">
        <v>2.3199999999999998</v>
      </c>
      <c r="E907" s="4">
        <v>6</v>
      </c>
      <c r="F907" s="8">
        <v>3.26</v>
      </c>
      <c r="G907" s="4">
        <v>0</v>
      </c>
      <c r="H907" s="8">
        <v>0</v>
      </c>
      <c r="I907" s="4">
        <v>0</v>
      </c>
    </row>
    <row r="908" spans="1:9" x14ac:dyDescent="0.2">
      <c r="A908" s="2">
        <v>10</v>
      </c>
      <c r="B908" s="1" t="s">
        <v>143</v>
      </c>
      <c r="C908" s="4">
        <v>6</v>
      </c>
      <c r="D908" s="8">
        <v>2.3199999999999998</v>
      </c>
      <c r="E908" s="4">
        <v>2</v>
      </c>
      <c r="F908" s="8">
        <v>1.0900000000000001</v>
      </c>
      <c r="G908" s="4">
        <v>4</v>
      </c>
      <c r="H908" s="8">
        <v>5.71</v>
      </c>
      <c r="I908" s="4">
        <v>0</v>
      </c>
    </row>
    <row r="909" spans="1:9" x14ac:dyDescent="0.2">
      <c r="A909" s="2">
        <v>13</v>
      </c>
      <c r="B909" s="1" t="s">
        <v>233</v>
      </c>
      <c r="C909" s="4">
        <v>5</v>
      </c>
      <c r="D909" s="8">
        <v>1.93</v>
      </c>
      <c r="E909" s="4">
        <v>5</v>
      </c>
      <c r="F909" s="8">
        <v>2.72</v>
      </c>
      <c r="G909" s="4">
        <v>0</v>
      </c>
      <c r="H909" s="8">
        <v>0</v>
      </c>
      <c r="I909" s="4">
        <v>0</v>
      </c>
    </row>
    <row r="910" spans="1:9" x14ac:dyDescent="0.2">
      <c r="A910" s="2">
        <v>14</v>
      </c>
      <c r="B910" s="1" t="s">
        <v>126</v>
      </c>
      <c r="C910" s="4">
        <v>4</v>
      </c>
      <c r="D910" s="8">
        <v>1.54</v>
      </c>
      <c r="E910" s="4">
        <v>1</v>
      </c>
      <c r="F910" s="8">
        <v>0.54</v>
      </c>
      <c r="G910" s="4">
        <v>3</v>
      </c>
      <c r="H910" s="8">
        <v>4.29</v>
      </c>
      <c r="I910" s="4">
        <v>0</v>
      </c>
    </row>
    <row r="911" spans="1:9" x14ac:dyDescent="0.2">
      <c r="A911" s="2">
        <v>14</v>
      </c>
      <c r="B911" s="1" t="s">
        <v>207</v>
      </c>
      <c r="C911" s="4">
        <v>4</v>
      </c>
      <c r="D911" s="8">
        <v>1.54</v>
      </c>
      <c r="E911" s="4">
        <v>3</v>
      </c>
      <c r="F911" s="8">
        <v>1.63</v>
      </c>
      <c r="G911" s="4">
        <v>1</v>
      </c>
      <c r="H911" s="8">
        <v>1.43</v>
      </c>
      <c r="I911" s="4">
        <v>0</v>
      </c>
    </row>
    <row r="912" spans="1:9" x14ac:dyDescent="0.2">
      <c r="A912" s="2">
        <v>14</v>
      </c>
      <c r="B912" s="1" t="s">
        <v>191</v>
      </c>
      <c r="C912" s="4">
        <v>4</v>
      </c>
      <c r="D912" s="8">
        <v>1.54</v>
      </c>
      <c r="E912" s="4">
        <v>0</v>
      </c>
      <c r="F912" s="8">
        <v>0</v>
      </c>
      <c r="G912" s="4">
        <v>4</v>
      </c>
      <c r="H912" s="8">
        <v>5.71</v>
      </c>
      <c r="I912" s="4">
        <v>0</v>
      </c>
    </row>
    <row r="913" spans="1:9" x14ac:dyDescent="0.2">
      <c r="A913" s="2">
        <v>14</v>
      </c>
      <c r="B913" s="1" t="s">
        <v>152</v>
      </c>
      <c r="C913" s="4">
        <v>4</v>
      </c>
      <c r="D913" s="8">
        <v>1.54</v>
      </c>
      <c r="E913" s="4">
        <v>4</v>
      </c>
      <c r="F913" s="8">
        <v>2.17</v>
      </c>
      <c r="G913" s="4">
        <v>0</v>
      </c>
      <c r="H913" s="8">
        <v>0</v>
      </c>
      <c r="I913" s="4">
        <v>0</v>
      </c>
    </row>
    <row r="914" spans="1:9" x14ac:dyDescent="0.2">
      <c r="A914" s="2">
        <v>14</v>
      </c>
      <c r="B914" s="1" t="s">
        <v>147</v>
      </c>
      <c r="C914" s="4">
        <v>4</v>
      </c>
      <c r="D914" s="8">
        <v>1.54</v>
      </c>
      <c r="E914" s="4">
        <v>3</v>
      </c>
      <c r="F914" s="8">
        <v>1.63</v>
      </c>
      <c r="G914" s="4">
        <v>1</v>
      </c>
      <c r="H914" s="8">
        <v>1.43</v>
      </c>
      <c r="I914" s="4">
        <v>0</v>
      </c>
    </row>
    <row r="915" spans="1:9" x14ac:dyDescent="0.2">
      <c r="A915" s="2">
        <v>14</v>
      </c>
      <c r="B915" s="1" t="s">
        <v>132</v>
      </c>
      <c r="C915" s="4">
        <v>4</v>
      </c>
      <c r="D915" s="8">
        <v>1.54</v>
      </c>
      <c r="E915" s="4">
        <v>0</v>
      </c>
      <c r="F915" s="8">
        <v>0</v>
      </c>
      <c r="G915" s="4">
        <v>4</v>
      </c>
      <c r="H915" s="8">
        <v>5.71</v>
      </c>
      <c r="I915" s="4">
        <v>0</v>
      </c>
    </row>
    <row r="916" spans="1:9" x14ac:dyDescent="0.2">
      <c r="A916" s="2">
        <v>14</v>
      </c>
      <c r="B916" s="1" t="s">
        <v>133</v>
      </c>
      <c r="C916" s="4">
        <v>4</v>
      </c>
      <c r="D916" s="8">
        <v>1.54</v>
      </c>
      <c r="E916" s="4">
        <v>2</v>
      </c>
      <c r="F916" s="8">
        <v>1.0900000000000001</v>
      </c>
      <c r="G916" s="4">
        <v>2</v>
      </c>
      <c r="H916" s="8">
        <v>2.86</v>
      </c>
      <c r="I916" s="4">
        <v>0</v>
      </c>
    </row>
    <row r="917" spans="1:9" x14ac:dyDescent="0.2">
      <c r="A917" s="2">
        <v>14</v>
      </c>
      <c r="B917" s="1" t="s">
        <v>208</v>
      </c>
      <c r="C917" s="4">
        <v>4</v>
      </c>
      <c r="D917" s="8">
        <v>1.54</v>
      </c>
      <c r="E917" s="4">
        <v>1</v>
      </c>
      <c r="F917" s="8">
        <v>0.54</v>
      </c>
      <c r="G917" s="4">
        <v>3</v>
      </c>
      <c r="H917" s="8">
        <v>4.29</v>
      </c>
      <c r="I917" s="4">
        <v>0</v>
      </c>
    </row>
    <row r="918" spans="1:9" x14ac:dyDescent="0.2">
      <c r="A918" s="2">
        <v>14</v>
      </c>
      <c r="B918" s="1" t="s">
        <v>136</v>
      </c>
      <c r="C918" s="4">
        <v>4</v>
      </c>
      <c r="D918" s="8">
        <v>1.54</v>
      </c>
      <c r="E918" s="4">
        <v>4</v>
      </c>
      <c r="F918" s="8">
        <v>2.17</v>
      </c>
      <c r="G918" s="4">
        <v>0</v>
      </c>
      <c r="H918" s="8">
        <v>0</v>
      </c>
      <c r="I918" s="4">
        <v>0</v>
      </c>
    </row>
    <row r="919" spans="1:9" x14ac:dyDescent="0.2">
      <c r="A919" s="2">
        <v>14</v>
      </c>
      <c r="B919" s="1" t="s">
        <v>170</v>
      </c>
      <c r="C919" s="4">
        <v>4</v>
      </c>
      <c r="D919" s="8">
        <v>1.54</v>
      </c>
      <c r="E919" s="4">
        <v>2</v>
      </c>
      <c r="F919" s="8">
        <v>1.0900000000000001</v>
      </c>
      <c r="G919" s="4">
        <v>1</v>
      </c>
      <c r="H919" s="8">
        <v>1.43</v>
      </c>
      <c r="I919" s="4">
        <v>0</v>
      </c>
    </row>
    <row r="920" spans="1:9" x14ac:dyDescent="0.2">
      <c r="A920" s="1"/>
      <c r="C920" s="4"/>
      <c r="D920" s="8"/>
      <c r="E920" s="4"/>
      <c r="F920" s="8"/>
      <c r="G920" s="4"/>
      <c r="H920" s="8"/>
      <c r="I920" s="4"/>
    </row>
    <row r="921" spans="1:9" x14ac:dyDescent="0.2">
      <c r="A921" s="1" t="s">
        <v>38</v>
      </c>
      <c r="C921" s="4"/>
      <c r="D921" s="8"/>
      <c r="E921" s="4"/>
      <c r="F921" s="8"/>
      <c r="G921" s="4"/>
      <c r="H921" s="8"/>
      <c r="I921" s="4"/>
    </row>
    <row r="922" spans="1:9" x14ac:dyDescent="0.2">
      <c r="A922" s="2">
        <v>1</v>
      </c>
      <c r="B922" s="1" t="s">
        <v>134</v>
      </c>
      <c r="C922" s="4">
        <v>28</v>
      </c>
      <c r="D922" s="8">
        <v>6.05</v>
      </c>
      <c r="E922" s="4">
        <v>25</v>
      </c>
      <c r="F922" s="8">
        <v>7.81</v>
      </c>
      <c r="G922" s="4">
        <v>2</v>
      </c>
      <c r="H922" s="8">
        <v>1.47</v>
      </c>
      <c r="I922" s="4">
        <v>0</v>
      </c>
    </row>
    <row r="923" spans="1:9" x14ac:dyDescent="0.2">
      <c r="A923" s="2">
        <v>2</v>
      </c>
      <c r="B923" s="1" t="s">
        <v>138</v>
      </c>
      <c r="C923" s="4">
        <v>27</v>
      </c>
      <c r="D923" s="8">
        <v>5.83</v>
      </c>
      <c r="E923" s="4">
        <v>27</v>
      </c>
      <c r="F923" s="8">
        <v>8.44</v>
      </c>
      <c r="G923" s="4">
        <v>0</v>
      </c>
      <c r="H923" s="8">
        <v>0</v>
      </c>
      <c r="I923" s="4">
        <v>0</v>
      </c>
    </row>
    <row r="924" spans="1:9" x14ac:dyDescent="0.2">
      <c r="A924" s="2">
        <v>3</v>
      </c>
      <c r="B924" s="1" t="s">
        <v>140</v>
      </c>
      <c r="C924" s="4">
        <v>24</v>
      </c>
      <c r="D924" s="8">
        <v>5.18</v>
      </c>
      <c r="E924" s="4">
        <v>24</v>
      </c>
      <c r="F924" s="8">
        <v>7.5</v>
      </c>
      <c r="G924" s="4">
        <v>0</v>
      </c>
      <c r="H924" s="8">
        <v>0</v>
      </c>
      <c r="I924" s="4">
        <v>0</v>
      </c>
    </row>
    <row r="925" spans="1:9" x14ac:dyDescent="0.2">
      <c r="A925" s="2">
        <v>4</v>
      </c>
      <c r="B925" s="1" t="s">
        <v>137</v>
      </c>
      <c r="C925" s="4">
        <v>20</v>
      </c>
      <c r="D925" s="8">
        <v>4.32</v>
      </c>
      <c r="E925" s="4">
        <v>18</v>
      </c>
      <c r="F925" s="8">
        <v>5.63</v>
      </c>
      <c r="G925" s="4">
        <v>2</v>
      </c>
      <c r="H925" s="8">
        <v>1.47</v>
      </c>
      <c r="I925" s="4">
        <v>0</v>
      </c>
    </row>
    <row r="926" spans="1:9" x14ac:dyDescent="0.2">
      <c r="A926" s="2">
        <v>5</v>
      </c>
      <c r="B926" s="1" t="s">
        <v>124</v>
      </c>
      <c r="C926" s="4">
        <v>19</v>
      </c>
      <c r="D926" s="8">
        <v>4.0999999999999996</v>
      </c>
      <c r="E926" s="4">
        <v>0</v>
      </c>
      <c r="F926" s="8">
        <v>0</v>
      </c>
      <c r="G926" s="4">
        <v>19</v>
      </c>
      <c r="H926" s="8">
        <v>13.97</v>
      </c>
      <c r="I926" s="4">
        <v>0</v>
      </c>
    </row>
    <row r="927" spans="1:9" x14ac:dyDescent="0.2">
      <c r="A927" s="2">
        <v>6</v>
      </c>
      <c r="B927" s="1" t="s">
        <v>133</v>
      </c>
      <c r="C927" s="4">
        <v>14</v>
      </c>
      <c r="D927" s="8">
        <v>3.02</v>
      </c>
      <c r="E927" s="4">
        <v>8</v>
      </c>
      <c r="F927" s="8">
        <v>2.5</v>
      </c>
      <c r="G927" s="4">
        <v>6</v>
      </c>
      <c r="H927" s="8">
        <v>4.41</v>
      </c>
      <c r="I927" s="4">
        <v>0</v>
      </c>
    </row>
    <row r="928" spans="1:9" x14ac:dyDescent="0.2">
      <c r="A928" s="2">
        <v>6</v>
      </c>
      <c r="B928" s="1" t="s">
        <v>136</v>
      </c>
      <c r="C928" s="4">
        <v>14</v>
      </c>
      <c r="D928" s="8">
        <v>3.02</v>
      </c>
      <c r="E928" s="4">
        <v>11</v>
      </c>
      <c r="F928" s="8">
        <v>3.44</v>
      </c>
      <c r="G928" s="4">
        <v>3</v>
      </c>
      <c r="H928" s="8">
        <v>2.21</v>
      </c>
      <c r="I928" s="4">
        <v>0</v>
      </c>
    </row>
    <row r="929" spans="1:9" x14ac:dyDescent="0.2">
      <c r="A929" s="2">
        <v>6</v>
      </c>
      <c r="B929" s="1" t="s">
        <v>139</v>
      </c>
      <c r="C929" s="4">
        <v>14</v>
      </c>
      <c r="D929" s="8">
        <v>3.02</v>
      </c>
      <c r="E929" s="4">
        <v>14</v>
      </c>
      <c r="F929" s="8">
        <v>4.38</v>
      </c>
      <c r="G929" s="4">
        <v>0</v>
      </c>
      <c r="H929" s="8">
        <v>0</v>
      </c>
      <c r="I929" s="4">
        <v>0</v>
      </c>
    </row>
    <row r="930" spans="1:9" x14ac:dyDescent="0.2">
      <c r="A930" s="2">
        <v>6</v>
      </c>
      <c r="B930" s="1" t="s">
        <v>143</v>
      </c>
      <c r="C930" s="4">
        <v>14</v>
      </c>
      <c r="D930" s="8">
        <v>3.02</v>
      </c>
      <c r="E930" s="4">
        <v>11</v>
      </c>
      <c r="F930" s="8">
        <v>3.44</v>
      </c>
      <c r="G930" s="4">
        <v>3</v>
      </c>
      <c r="H930" s="8">
        <v>2.21</v>
      </c>
      <c r="I930" s="4">
        <v>0</v>
      </c>
    </row>
    <row r="931" spans="1:9" x14ac:dyDescent="0.2">
      <c r="A931" s="2">
        <v>10</v>
      </c>
      <c r="B931" s="1" t="s">
        <v>167</v>
      </c>
      <c r="C931" s="4">
        <v>13</v>
      </c>
      <c r="D931" s="8">
        <v>2.81</v>
      </c>
      <c r="E931" s="4">
        <v>13</v>
      </c>
      <c r="F931" s="8">
        <v>4.0599999999999996</v>
      </c>
      <c r="G931" s="4">
        <v>0</v>
      </c>
      <c r="H931" s="8">
        <v>0</v>
      </c>
      <c r="I931" s="4">
        <v>0</v>
      </c>
    </row>
    <row r="932" spans="1:9" x14ac:dyDescent="0.2">
      <c r="A932" s="2">
        <v>11</v>
      </c>
      <c r="B932" s="1" t="s">
        <v>129</v>
      </c>
      <c r="C932" s="4">
        <v>11</v>
      </c>
      <c r="D932" s="8">
        <v>2.38</v>
      </c>
      <c r="E932" s="4">
        <v>10</v>
      </c>
      <c r="F932" s="8">
        <v>3.13</v>
      </c>
      <c r="G932" s="4">
        <v>1</v>
      </c>
      <c r="H932" s="8">
        <v>0.74</v>
      </c>
      <c r="I932" s="4">
        <v>0</v>
      </c>
    </row>
    <row r="933" spans="1:9" x14ac:dyDescent="0.2">
      <c r="A933" s="2">
        <v>12</v>
      </c>
      <c r="B933" s="1" t="s">
        <v>132</v>
      </c>
      <c r="C933" s="4">
        <v>10</v>
      </c>
      <c r="D933" s="8">
        <v>2.16</v>
      </c>
      <c r="E933" s="4">
        <v>4</v>
      </c>
      <c r="F933" s="8">
        <v>1.25</v>
      </c>
      <c r="G933" s="4">
        <v>6</v>
      </c>
      <c r="H933" s="8">
        <v>4.41</v>
      </c>
      <c r="I933" s="4">
        <v>0</v>
      </c>
    </row>
    <row r="934" spans="1:9" x14ac:dyDescent="0.2">
      <c r="A934" s="2">
        <v>12</v>
      </c>
      <c r="B934" s="1" t="s">
        <v>156</v>
      </c>
      <c r="C934" s="4">
        <v>10</v>
      </c>
      <c r="D934" s="8">
        <v>2.16</v>
      </c>
      <c r="E934" s="4">
        <v>9</v>
      </c>
      <c r="F934" s="8">
        <v>2.81</v>
      </c>
      <c r="G934" s="4">
        <v>1</v>
      </c>
      <c r="H934" s="8">
        <v>0.74</v>
      </c>
      <c r="I934" s="4">
        <v>0</v>
      </c>
    </row>
    <row r="935" spans="1:9" x14ac:dyDescent="0.2">
      <c r="A935" s="2">
        <v>14</v>
      </c>
      <c r="B935" s="1" t="s">
        <v>127</v>
      </c>
      <c r="C935" s="4">
        <v>9</v>
      </c>
      <c r="D935" s="8">
        <v>1.94</v>
      </c>
      <c r="E935" s="4">
        <v>7</v>
      </c>
      <c r="F935" s="8">
        <v>2.19</v>
      </c>
      <c r="G935" s="4">
        <v>2</v>
      </c>
      <c r="H935" s="8">
        <v>1.47</v>
      </c>
      <c r="I935" s="4">
        <v>0</v>
      </c>
    </row>
    <row r="936" spans="1:9" x14ac:dyDescent="0.2">
      <c r="A936" s="2">
        <v>14</v>
      </c>
      <c r="B936" s="1" t="s">
        <v>130</v>
      </c>
      <c r="C936" s="4">
        <v>9</v>
      </c>
      <c r="D936" s="8">
        <v>1.94</v>
      </c>
      <c r="E936" s="4">
        <v>7</v>
      </c>
      <c r="F936" s="8">
        <v>2.19</v>
      </c>
      <c r="G936" s="4">
        <v>2</v>
      </c>
      <c r="H936" s="8">
        <v>1.47</v>
      </c>
      <c r="I936" s="4">
        <v>0</v>
      </c>
    </row>
    <row r="937" spans="1:9" x14ac:dyDescent="0.2">
      <c r="A937" s="2">
        <v>16</v>
      </c>
      <c r="B937" s="1" t="s">
        <v>155</v>
      </c>
      <c r="C937" s="4">
        <v>8</v>
      </c>
      <c r="D937" s="8">
        <v>1.73</v>
      </c>
      <c r="E937" s="4">
        <v>5</v>
      </c>
      <c r="F937" s="8">
        <v>1.56</v>
      </c>
      <c r="G937" s="4">
        <v>3</v>
      </c>
      <c r="H937" s="8">
        <v>2.21</v>
      </c>
      <c r="I937" s="4">
        <v>0</v>
      </c>
    </row>
    <row r="938" spans="1:9" x14ac:dyDescent="0.2">
      <c r="A938" s="2">
        <v>17</v>
      </c>
      <c r="B938" s="1" t="s">
        <v>204</v>
      </c>
      <c r="C938" s="4">
        <v>7</v>
      </c>
      <c r="D938" s="8">
        <v>1.51</v>
      </c>
      <c r="E938" s="4">
        <v>7</v>
      </c>
      <c r="F938" s="8">
        <v>2.19</v>
      </c>
      <c r="G938" s="4">
        <v>0</v>
      </c>
      <c r="H938" s="8">
        <v>0</v>
      </c>
      <c r="I938" s="4">
        <v>0</v>
      </c>
    </row>
    <row r="939" spans="1:9" x14ac:dyDescent="0.2">
      <c r="A939" s="2">
        <v>17</v>
      </c>
      <c r="B939" s="1" t="s">
        <v>216</v>
      </c>
      <c r="C939" s="4">
        <v>7</v>
      </c>
      <c r="D939" s="8">
        <v>1.51</v>
      </c>
      <c r="E939" s="4">
        <v>6</v>
      </c>
      <c r="F939" s="8">
        <v>1.88</v>
      </c>
      <c r="G939" s="4">
        <v>1</v>
      </c>
      <c r="H939" s="8">
        <v>0.74</v>
      </c>
      <c r="I939" s="4">
        <v>0</v>
      </c>
    </row>
    <row r="940" spans="1:9" x14ac:dyDescent="0.2">
      <c r="A940" s="2">
        <v>17</v>
      </c>
      <c r="B940" s="1" t="s">
        <v>199</v>
      </c>
      <c r="C940" s="4">
        <v>7</v>
      </c>
      <c r="D940" s="8">
        <v>1.51</v>
      </c>
      <c r="E940" s="4">
        <v>7</v>
      </c>
      <c r="F940" s="8">
        <v>2.19</v>
      </c>
      <c r="G940" s="4">
        <v>0</v>
      </c>
      <c r="H940" s="8">
        <v>0</v>
      </c>
      <c r="I940" s="4">
        <v>0</v>
      </c>
    </row>
    <row r="941" spans="1:9" x14ac:dyDescent="0.2">
      <c r="A941" s="2">
        <v>20</v>
      </c>
      <c r="B941" s="1" t="s">
        <v>125</v>
      </c>
      <c r="C941" s="4">
        <v>6</v>
      </c>
      <c r="D941" s="8">
        <v>1.3</v>
      </c>
      <c r="E941" s="4">
        <v>2</v>
      </c>
      <c r="F941" s="8">
        <v>0.63</v>
      </c>
      <c r="G941" s="4">
        <v>4</v>
      </c>
      <c r="H941" s="8">
        <v>2.94</v>
      </c>
      <c r="I941" s="4">
        <v>0</v>
      </c>
    </row>
    <row r="942" spans="1:9" x14ac:dyDescent="0.2">
      <c r="A942" s="2">
        <v>20</v>
      </c>
      <c r="B942" s="1" t="s">
        <v>159</v>
      </c>
      <c r="C942" s="4">
        <v>6</v>
      </c>
      <c r="D942" s="8">
        <v>1.3</v>
      </c>
      <c r="E942" s="4">
        <v>3</v>
      </c>
      <c r="F942" s="8">
        <v>0.94</v>
      </c>
      <c r="G942" s="4">
        <v>3</v>
      </c>
      <c r="H942" s="8">
        <v>2.21</v>
      </c>
      <c r="I942" s="4">
        <v>0</v>
      </c>
    </row>
    <row r="943" spans="1:9" x14ac:dyDescent="0.2">
      <c r="A943" s="2">
        <v>20</v>
      </c>
      <c r="B943" s="1" t="s">
        <v>154</v>
      </c>
      <c r="C943" s="4">
        <v>6</v>
      </c>
      <c r="D943" s="8">
        <v>1.3</v>
      </c>
      <c r="E943" s="4">
        <v>3</v>
      </c>
      <c r="F943" s="8">
        <v>0.94</v>
      </c>
      <c r="G943" s="4">
        <v>3</v>
      </c>
      <c r="H943" s="8">
        <v>2.21</v>
      </c>
      <c r="I943" s="4">
        <v>0</v>
      </c>
    </row>
    <row r="944" spans="1:9" x14ac:dyDescent="0.2">
      <c r="A944" s="2">
        <v>20</v>
      </c>
      <c r="B944" s="1" t="s">
        <v>234</v>
      </c>
      <c r="C944" s="4">
        <v>6</v>
      </c>
      <c r="D944" s="8">
        <v>1.3</v>
      </c>
      <c r="E944" s="4">
        <v>3</v>
      </c>
      <c r="F944" s="8">
        <v>0.94</v>
      </c>
      <c r="G944" s="4">
        <v>3</v>
      </c>
      <c r="H944" s="8">
        <v>2.21</v>
      </c>
      <c r="I944" s="4">
        <v>0</v>
      </c>
    </row>
    <row r="945" spans="1:9" x14ac:dyDescent="0.2">
      <c r="A945" s="2">
        <v>20</v>
      </c>
      <c r="B945" s="1" t="s">
        <v>145</v>
      </c>
      <c r="C945" s="4">
        <v>6</v>
      </c>
      <c r="D945" s="8">
        <v>1.3</v>
      </c>
      <c r="E945" s="4">
        <v>4</v>
      </c>
      <c r="F945" s="8">
        <v>1.25</v>
      </c>
      <c r="G945" s="4">
        <v>2</v>
      </c>
      <c r="H945" s="8">
        <v>1.47</v>
      </c>
      <c r="I945" s="4">
        <v>0</v>
      </c>
    </row>
    <row r="946" spans="1:9" x14ac:dyDescent="0.2">
      <c r="A946" s="2">
        <v>20</v>
      </c>
      <c r="B946" s="1" t="s">
        <v>135</v>
      </c>
      <c r="C946" s="4">
        <v>6</v>
      </c>
      <c r="D946" s="8">
        <v>1.3</v>
      </c>
      <c r="E946" s="4">
        <v>5</v>
      </c>
      <c r="F946" s="8">
        <v>1.56</v>
      </c>
      <c r="G946" s="4">
        <v>1</v>
      </c>
      <c r="H946" s="8">
        <v>0.74</v>
      </c>
      <c r="I946" s="4">
        <v>0</v>
      </c>
    </row>
    <row r="947" spans="1:9" x14ac:dyDescent="0.2">
      <c r="A947" s="1"/>
      <c r="C947" s="4"/>
      <c r="D947" s="8"/>
      <c r="E947" s="4"/>
      <c r="F947" s="8"/>
      <c r="G947" s="4"/>
      <c r="H947" s="8"/>
      <c r="I947" s="4"/>
    </row>
    <row r="948" spans="1:9" x14ac:dyDescent="0.2">
      <c r="A948" s="1" t="s">
        <v>39</v>
      </c>
      <c r="C948" s="4"/>
      <c r="D948" s="8"/>
      <c r="E948" s="4"/>
      <c r="F948" s="8"/>
      <c r="G948" s="4"/>
      <c r="H948" s="8"/>
      <c r="I948" s="4"/>
    </row>
    <row r="949" spans="1:9" x14ac:dyDescent="0.2">
      <c r="A949" s="2">
        <v>1</v>
      </c>
      <c r="B949" s="1" t="s">
        <v>124</v>
      </c>
      <c r="C949" s="4">
        <v>12</v>
      </c>
      <c r="D949" s="8">
        <v>6.38</v>
      </c>
      <c r="E949" s="4">
        <v>0</v>
      </c>
      <c r="F949" s="8">
        <v>0</v>
      </c>
      <c r="G949" s="4">
        <v>12</v>
      </c>
      <c r="H949" s="8">
        <v>14.81</v>
      </c>
      <c r="I949" s="4">
        <v>0</v>
      </c>
    </row>
    <row r="950" spans="1:9" x14ac:dyDescent="0.2">
      <c r="A950" s="2">
        <v>1</v>
      </c>
      <c r="B950" s="1" t="s">
        <v>140</v>
      </c>
      <c r="C950" s="4">
        <v>12</v>
      </c>
      <c r="D950" s="8">
        <v>6.38</v>
      </c>
      <c r="E950" s="4">
        <v>12</v>
      </c>
      <c r="F950" s="8">
        <v>11.88</v>
      </c>
      <c r="G950" s="4">
        <v>0</v>
      </c>
      <c r="H950" s="8">
        <v>0</v>
      </c>
      <c r="I950" s="4">
        <v>0</v>
      </c>
    </row>
    <row r="951" spans="1:9" x14ac:dyDescent="0.2">
      <c r="A951" s="2">
        <v>3</v>
      </c>
      <c r="B951" s="1" t="s">
        <v>127</v>
      </c>
      <c r="C951" s="4">
        <v>9</v>
      </c>
      <c r="D951" s="8">
        <v>4.79</v>
      </c>
      <c r="E951" s="4">
        <v>8</v>
      </c>
      <c r="F951" s="8">
        <v>7.92</v>
      </c>
      <c r="G951" s="4">
        <v>1</v>
      </c>
      <c r="H951" s="8">
        <v>1.23</v>
      </c>
      <c r="I951" s="4">
        <v>0</v>
      </c>
    </row>
    <row r="952" spans="1:9" x14ac:dyDescent="0.2">
      <c r="A952" s="2">
        <v>4</v>
      </c>
      <c r="B952" s="1" t="s">
        <v>129</v>
      </c>
      <c r="C952" s="4">
        <v>8</v>
      </c>
      <c r="D952" s="8">
        <v>4.26</v>
      </c>
      <c r="E952" s="4">
        <v>5</v>
      </c>
      <c r="F952" s="8">
        <v>4.95</v>
      </c>
      <c r="G952" s="4">
        <v>3</v>
      </c>
      <c r="H952" s="8">
        <v>3.7</v>
      </c>
      <c r="I952" s="4">
        <v>0</v>
      </c>
    </row>
    <row r="953" spans="1:9" x14ac:dyDescent="0.2">
      <c r="A953" s="2">
        <v>4</v>
      </c>
      <c r="B953" s="1" t="s">
        <v>139</v>
      </c>
      <c r="C953" s="4">
        <v>8</v>
      </c>
      <c r="D953" s="8">
        <v>4.26</v>
      </c>
      <c r="E953" s="4">
        <v>8</v>
      </c>
      <c r="F953" s="8">
        <v>7.92</v>
      </c>
      <c r="G953" s="4">
        <v>0</v>
      </c>
      <c r="H953" s="8">
        <v>0</v>
      </c>
      <c r="I953" s="4">
        <v>0</v>
      </c>
    </row>
    <row r="954" spans="1:9" x14ac:dyDescent="0.2">
      <c r="A954" s="2">
        <v>6</v>
      </c>
      <c r="B954" s="1" t="s">
        <v>137</v>
      </c>
      <c r="C954" s="4">
        <v>7</v>
      </c>
      <c r="D954" s="8">
        <v>3.72</v>
      </c>
      <c r="E954" s="4">
        <v>7</v>
      </c>
      <c r="F954" s="8">
        <v>6.93</v>
      </c>
      <c r="G954" s="4">
        <v>0</v>
      </c>
      <c r="H954" s="8">
        <v>0</v>
      </c>
      <c r="I954" s="4">
        <v>0</v>
      </c>
    </row>
    <row r="955" spans="1:9" x14ac:dyDescent="0.2">
      <c r="A955" s="2">
        <v>7</v>
      </c>
      <c r="B955" s="1" t="s">
        <v>152</v>
      </c>
      <c r="C955" s="4">
        <v>6</v>
      </c>
      <c r="D955" s="8">
        <v>3.19</v>
      </c>
      <c r="E955" s="4">
        <v>6</v>
      </c>
      <c r="F955" s="8">
        <v>5.94</v>
      </c>
      <c r="G955" s="4">
        <v>0</v>
      </c>
      <c r="H955" s="8">
        <v>0</v>
      </c>
      <c r="I955" s="4">
        <v>0</v>
      </c>
    </row>
    <row r="956" spans="1:9" x14ac:dyDescent="0.2">
      <c r="A956" s="2">
        <v>7</v>
      </c>
      <c r="B956" s="1" t="s">
        <v>132</v>
      </c>
      <c r="C956" s="4">
        <v>6</v>
      </c>
      <c r="D956" s="8">
        <v>3.19</v>
      </c>
      <c r="E956" s="4">
        <v>3</v>
      </c>
      <c r="F956" s="8">
        <v>2.97</v>
      </c>
      <c r="G956" s="4">
        <v>3</v>
      </c>
      <c r="H956" s="8">
        <v>3.7</v>
      </c>
      <c r="I956" s="4">
        <v>0</v>
      </c>
    </row>
    <row r="957" spans="1:9" x14ac:dyDescent="0.2">
      <c r="A957" s="2">
        <v>9</v>
      </c>
      <c r="B957" s="1" t="s">
        <v>197</v>
      </c>
      <c r="C957" s="4">
        <v>5</v>
      </c>
      <c r="D957" s="8">
        <v>2.66</v>
      </c>
      <c r="E957" s="4">
        <v>0</v>
      </c>
      <c r="F957" s="8">
        <v>0</v>
      </c>
      <c r="G957" s="4">
        <v>5</v>
      </c>
      <c r="H957" s="8">
        <v>6.17</v>
      </c>
      <c r="I957" s="4">
        <v>0</v>
      </c>
    </row>
    <row r="958" spans="1:9" x14ac:dyDescent="0.2">
      <c r="A958" s="2">
        <v>9</v>
      </c>
      <c r="B958" s="1" t="s">
        <v>130</v>
      </c>
      <c r="C958" s="4">
        <v>5</v>
      </c>
      <c r="D958" s="8">
        <v>2.66</v>
      </c>
      <c r="E958" s="4">
        <v>2</v>
      </c>
      <c r="F958" s="8">
        <v>1.98</v>
      </c>
      <c r="G958" s="4">
        <v>3</v>
      </c>
      <c r="H958" s="8">
        <v>3.7</v>
      </c>
      <c r="I958" s="4">
        <v>0</v>
      </c>
    </row>
    <row r="959" spans="1:9" x14ac:dyDescent="0.2">
      <c r="A959" s="2">
        <v>9</v>
      </c>
      <c r="B959" s="1" t="s">
        <v>138</v>
      </c>
      <c r="C959" s="4">
        <v>5</v>
      </c>
      <c r="D959" s="8">
        <v>2.66</v>
      </c>
      <c r="E959" s="4">
        <v>5</v>
      </c>
      <c r="F959" s="8">
        <v>4.95</v>
      </c>
      <c r="G959" s="4">
        <v>0</v>
      </c>
      <c r="H959" s="8">
        <v>0</v>
      </c>
      <c r="I959" s="4">
        <v>0</v>
      </c>
    </row>
    <row r="960" spans="1:9" x14ac:dyDescent="0.2">
      <c r="A960" s="2">
        <v>12</v>
      </c>
      <c r="B960" s="1" t="s">
        <v>131</v>
      </c>
      <c r="C960" s="4">
        <v>4</v>
      </c>
      <c r="D960" s="8">
        <v>2.13</v>
      </c>
      <c r="E960" s="4">
        <v>2</v>
      </c>
      <c r="F960" s="8">
        <v>1.98</v>
      </c>
      <c r="G960" s="4">
        <v>2</v>
      </c>
      <c r="H960" s="8">
        <v>2.4700000000000002</v>
      </c>
      <c r="I960" s="4">
        <v>0</v>
      </c>
    </row>
    <row r="961" spans="1:9" x14ac:dyDescent="0.2">
      <c r="A961" s="2">
        <v>12</v>
      </c>
      <c r="B961" s="1" t="s">
        <v>156</v>
      </c>
      <c r="C961" s="4">
        <v>4</v>
      </c>
      <c r="D961" s="8">
        <v>2.13</v>
      </c>
      <c r="E961" s="4">
        <v>3</v>
      </c>
      <c r="F961" s="8">
        <v>2.97</v>
      </c>
      <c r="G961" s="4">
        <v>1</v>
      </c>
      <c r="H961" s="8">
        <v>1.23</v>
      </c>
      <c r="I961" s="4">
        <v>0</v>
      </c>
    </row>
    <row r="962" spans="1:9" x14ac:dyDescent="0.2">
      <c r="A962" s="2">
        <v>12</v>
      </c>
      <c r="B962" s="1" t="s">
        <v>136</v>
      </c>
      <c r="C962" s="4">
        <v>4</v>
      </c>
      <c r="D962" s="8">
        <v>2.13</v>
      </c>
      <c r="E962" s="4">
        <v>4</v>
      </c>
      <c r="F962" s="8">
        <v>3.96</v>
      </c>
      <c r="G962" s="4">
        <v>0</v>
      </c>
      <c r="H962" s="8">
        <v>0</v>
      </c>
      <c r="I962" s="4">
        <v>0</v>
      </c>
    </row>
    <row r="963" spans="1:9" x14ac:dyDescent="0.2">
      <c r="A963" s="2">
        <v>12</v>
      </c>
      <c r="B963" s="1" t="s">
        <v>143</v>
      </c>
      <c r="C963" s="4">
        <v>4</v>
      </c>
      <c r="D963" s="8">
        <v>2.13</v>
      </c>
      <c r="E963" s="4">
        <v>3</v>
      </c>
      <c r="F963" s="8">
        <v>2.97</v>
      </c>
      <c r="G963" s="4">
        <v>1</v>
      </c>
      <c r="H963" s="8">
        <v>1.23</v>
      </c>
      <c r="I963" s="4">
        <v>0</v>
      </c>
    </row>
    <row r="964" spans="1:9" x14ac:dyDescent="0.2">
      <c r="A964" s="2">
        <v>16</v>
      </c>
      <c r="B964" s="1" t="s">
        <v>125</v>
      </c>
      <c r="C964" s="4">
        <v>3</v>
      </c>
      <c r="D964" s="8">
        <v>1.6</v>
      </c>
      <c r="E964" s="4">
        <v>1</v>
      </c>
      <c r="F964" s="8">
        <v>0.99</v>
      </c>
      <c r="G964" s="4">
        <v>2</v>
      </c>
      <c r="H964" s="8">
        <v>2.4700000000000002</v>
      </c>
      <c r="I964" s="4">
        <v>0</v>
      </c>
    </row>
    <row r="965" spans="1:9" x14ac:dyDescent="0.2">
      <c r="A965" s="2">
        <v>16</v>
      </c>
      <c r="B965" s="1" t="s">
        <v>126</v>
      </c>
      <c r="C965" s="4">
        <v>3</v>
      </c>
      <c r="D965" s="8">
        <v>1.6</v>
      </c>
      <c r="E965" s="4">
        <v>0</v>
      </c>
      <c r="F965" s="8">
        <v>0</v>
      </c>
      <c r="G965" s="4">
        <v>3</v>
      </c>
      <c r="H965" s="8">
        <v>3.7</v>
      </c>
      <c r="I965" s="4">
        <v>0</v>
      </c>
    </row>
    <row r="966" spans="1:9" x14ac:dyDescent="0.2">
      <c r="A966" s="2">
        <v>16</v>
      </c>
      <c r="B966" s="1" t="s">
        <v>232</v>
      </c>
      <c r="C966" s="4">
        <v>3</v>
      </c>
      <c r="D966" s="8">
        <v>1.6</v>
      </c>
      <c r="E966" s="4">
        <v>3</v>
      </c>
      <c r="F966" s="8">
        <v>2.97</v>
      </c>
      <c r="G966" s="4">
        <v>0</v>
      </c>
      <c r="H966" s="8">
        <v>0</v>
      </c>
      <c r="I966" s="4">
        <v>0</v>
      </c>
    </row>
    <row r="967" spans="1:9" x14ac:dyDescent="0.2">
      <c r="A967" s="2">
        <v>16</v>
      </c>
      <c r="B967" s="1" t="s">
        <v>235</v>
      </c>
      <c r="C967" s="4">
        <v>3</v>
      </c>
      <c r="D967" s="8">
        <v>1.6</v>
      </c>
      <c r="E967" s="4">
        <v>0</v>
      </c>
      <c r="F967" s="8">
        <v>0</v>
      </c>
      <c r="G967" s="4">
        <v>3</v>
      </c>
      <c r="H967" s="8">
        <v>3.7</v>
      </c>
      <c r="I967" s="4">
        <v>0</v>
      </c>
    </row>
    <row r="968" spans="1:9" x14ac:dyDescent="0.2">
      <c r="A968" s="2">
        <v>16</v>
      </c>
      <c r="B968" s="1" t="s">
        <v>154</v>
      </c>
      <c r="C968" s="4">
        <v>3</v>
      </c>
      <c r="D968" s="8">
        <v>1.6</v>
      </c>
      <c r="E968" s="4">
        <v>1</v>
      </c>
      <c r="F968" s="8">
        <v>0.99</v>
      </c>
      <c r="G968" s="4">
        <v>2</v>
      </c>
      <c r="H968" s="8">
        <v>2.4700000000000002</v>
      </c>
      <c r="I968" s="4">
        <v>0</v>
      </c>
    </row>
    <row r="969" spans="1:9" x14ac:dyDescent="0.2">
      <c r="A969" s="2">
        <v>16</v>
      </c>
      <c r="B969" s="1" t="s">
        <v>155</v>
      </c>
      <c r="C969" s="4">
        <v>3</v>
      </c>
      <c r="D969" s="8">
        <v>1.6</v>
      </c>
      <c r="E969" s="4">
        <v>1</v>
      </c>
      <c r="F969" s="8">
        <v>0.99</v>
      </c>
      <c r="G969" s="4">
        <v>2</v>
      </c>
      <c r="H969" s="8">
        <v>2.4700000000000002</v>
      </c>
      <c r="I969" s="4">
        <v>0</v>
      </c>
    </row>
    <row r="970" spans="1:9" x14ac:dyDescent="0.2">
      <c r="A970" s="2">
        <v>16</v>
      </c>
      <c r="B970" s="1" t="s">
        <v>133</v>
      </c>
      <c r="C970" s="4">
        <v>3</v>
      </c>
      <c r="D970" s="8">
        <v>1.6</v>
      </c>
      <c r="E970" s="4">
        <v>1</v>
      </c>
      <c r="F970" s="8">
        <v>0.99</v>
      </c>
      <c r="G970" s="4">
        <v>2</v>
      </c>
      <c r="H970" s="8">
        <v>2.4700000000000002</v>
      </c>
      <c r="I970" s="4">
        <v>0</v>
      </c>
    </row>
    <row r="971" spans="1:9" x14ac:dyDescent="0.2">
      <c r="A971" s="1"/>
      <c r="C971" s="4"/>
      <c r="D971" s="8"/>
      <c r="E971" s="4"/>
      <c r="F971" s="8"/>
      <c r="G971" s="4"/>
      <c r="H971" s="8"/>
      <c r="I971" s="4"/>
    </row>
    <row r="972" spans="1:9" x14ac:dyDescent="0.2">
      <c r="A972" s="1" t="s">
        <v>40</v>
      </c>
      <c r="C972" s="4"/>
      <c r="D972" s="8"/>
      <c r="E972" s="4"/>
      <c r="F972" s="8"/>
      <c r="G972" s="4"/>
      <c r="H972" s="8"/>
      <c r="I972" s="4"/>
    </row>
    <row r="973" spans="1:9" x14ac:dyDescent="0.2">
      <c r="A973" s="2">
        <v>1</v>
      </c>
      <c r="B973" s="1" t="s">
        <v>124</v>
      </c>
      <c r="C973" s="4">
        <v>16</v>
      </c>
      <c r="D973" s="8">
        <v>9.64</v>
      </c>
      <c r="E973" s="4">
        <v>2</v>
      </c>
      <c r="F973" s="8">
        <v>1.71</v>
      </c>
      <c r="G973" s="4">
        <v>14</v>
      </c>
      <c r="H973" s="8">
        <v>30.43</v>
      </c>
      <c r="I973" s="4">
        <v>0</v>
      </c>
    </row>
    <row r="974" spans="1:9" x14ac:dyDescent="0.2">
      <c r="A974" s="2">
        <v>2</v>
      </c>
      <c r="B974" s="1" t="s">
        <v>129</v>
      </c>
      <c r="C974" s="4">
        <v>12</v>
      </c>
      <c r="D974" s="8">
        <v>7.23</v>
      </c>
      <c r="E974" s="4">
        <v>12</v>
      </c>
      <c r="F974" s="8">
        <v>10.26</v>
      </c>
      <c r="G974" s="4">
        <v>0</v>
      </c>
      <c r="H974" s="8">
        <v>0</v>
      </c>
      <c r="I974" s="4">
        <v>0</v>
      </c>
    </row>
    <row r="975" spans="1:9" x14ac:dyDescent="0.2">
      <c r="A975" s="2">
        <v>2</v>
      </c>
      <c r="B975" s="1" t="s">
        <v>139</v>
      </c>
      <c r="C975" s="4">
        <v>12</v>
      </c>
      <c r="D975" s="8">
        <v>7.23</v>
      </c>
      <c r="E975" s="4">
        <v>12</v>
      </c>
      <c r="F975" s="8">
        <v>10.26</v>
      </c>
      <c r="G975" s="4">
        <v>0</v>
      </c>
      <c r="H975" s="8">
        <v>0</v>
      </c>
      <c r="I975" s="4">
        <v>0</v>
      </c>
    </row>
    <row r="976" spans="1:9" x14ac:dyDescent="0.2">
      <c r="A976" s="2">
        <v>4</v>
      </c>
      <c r="B976" s="1" t="s">
        <v>140</v>
      </c>
      <c r="C976" s="4">
        <v>11</v>
      </c>
      <c r="D976" s="8">
        <v>6.63</v>
      </c>
      <c r="E976" s="4">
        <v>11</v>
      </c>
      <c r="F976" s="8">
        <v>9.4</v>
      </c>
      <c r="G976" s="4">
        <v>0</v>
      </c>
      <c r="H976" s="8">
        <v>0</v>
      </c>
      <c r="I976" s="4">
        <v>0</v>
      </c>
    </row>
    <row r="977" spans="1:9" x14ac:dyDescent="0.2">
      <c r="A977" s="2">
        <v>5</v>
      </c>
      <c r="B977" s="1" t="s">
        <v>132</v>
      </c>
      <c r="C977" s="4">
        <v>8</v>
      </c>
      <c r="D977" s="8">
        <v>4.82</v>
      </c>
      <c r="E977" s="4">
        <v>4</v>
      </c>
      <c r="F977" s="8">
        <v>3.42</v>
      </c>
      <c r="G977" s="4">
        <v>4</v>
      </c>
      <c r="H977" s="8">
        <v>8.6999999999999993</v>
      </c>
      <c r="I977" s="4">
        <v>0</v>
      </c>
    </row>
    <row r="978" spans="1:9" x14ac:dyDescent="0.2">
      <c r="A978" s="2">
        <v>6</v>
      </c>
      <c r="B978" s="1" t="s">
        <v>127</v>
      </c>
      <c r="C978" s="4">
        <v>7</v>
      </c>
      <c r="D978" s="8">
        <v>4.22</v>
      </c>
      <c r="E978" s="4">
        <v>6</v>
      </c>
      <c r="F978" s="8">
        <v>5.13</v>
      </c>
      <c r="G978" s="4">
        <v>1</v>
      </c>
      <c r="H978" s="8">
        <v>2.17</v>
      </c>
      <c r="I978" s="4">
        <v>0</v>
      </c>
    </row>
    <row r="979" spans="1:9" x14ac:dyDescent="0.2">
      <c r="A979" s="2">
        <v>7</v>
      </c>
      <c r="B979" s="1" t="s">
        <v>167</v>
      </c>
      <c r="C979" s="4">
        <v>6</v>
      </c>
      <c r="D979" s="8">
        <v>3.61</v>
      </c>
      <c r="E979" s="4">
        <v>5</v>
      </c>
      <c r="F979" s="8">
        <v>4.2699999999999996</v>
      </c>
      <c r="G979" s="4">
        <v>1</v>
      </c>
      <c r="H979" s="8">
        <v>2.17</v>
      </c>
      <c r="I979" s="4">
        <v>0</v>
      </c>
    </row>
    <row r="980" spans="1:9" x14ac:dyDescent="0.2">
      <c r="A980" s="2">
        <v>8</v>
      </c>
      <c r="B980" s="1" t="s">
        <v>130</v>
      </c>
      <c r="C980" s="4">
        <v>5</v>
      </c>
      <c r="D980" s="8">
        <v>3.01</v>
      </c>
      <c r="E980" s="4">
        <v>4</v>
      </c>
      <c r="F980" s="8">
        <v>3.42</v>
      </c>
      <c r="G980" s="4">
        <v>1</v>
      </c>
      <c r="H980" s="8">
        <v>2.17</v>
      </c>
      <c r="I980" s="4">
        <v>0</v>
      </c>
    </row>
    <row r="981" spans="1:9" x14ac:dyDescent="0.2">
      <c r="A981" s="2">
        <v>8</v>
      </c>
      <c r="B981" s="1" t="s">
        <v>156</v>
      </c>
      <c r="C981" s="4">
        <v>5</v>
      </c>
      <c r="D981" s="8">
        <v>3.01</v>
      </c>
      <c r="E981" s="4">
        <v>5</v>
      </c>
      <c r="F981" s="8">
        <v>4.2699999999999996</v>
      </c>
      <c r="G981" s="4">
        <v>0</v>
      </c>
      <c r="H981" s="8">
        <v>0</v>
      </c>
      <c r="I981" s="4">
        <v>0</v>
      </c>
    </row>
    <row r="982" spans="1:9" x14ac:dyDescent="0.2">
      <c r="A982" s="2">
        <v>8</v>
      </c>
      <c r="B982" s="1" t="s">
        <v>143</v>
      </c>
      <c r="C982" s="4">
        <v>5</v>
      </c>
      <c r="D982" s="8">
        <v>3.01</v>
      </c>
      <c r="E982" s="4">
        <v>4</v>
      </c>
      <c r="F982" s="8">
        <v>3.42</v>
      </c>
      <c r="G982" s="4">
        <v>1</v>
      </c>
      <c r="H982" s="8">
        <v>2.17</v>
      </c>
      <c r="I982" s="4">
        <v>0</v>
      </c>
    </row>
    <row r="983" spans="1:9" x14ac:dyDescent="0.2">
      <c r="A983" s="2">
        <v>11</v>
      </c>
      <c r="B983" s="1" t="s">
        <v>157</v>
      </c>
      <c r="C983" s="4">
        <v>4</v>
      </c>
      <c r="D983" s="8">
        <v>2.41</v>
      </c>
      <c r="E983" s="4">
        <v>3</v>
      </c>
      <c r="F983" s="8">
        <v>2.56</v>
      </c>
      <c r="G983" s="4">
        <v>1</v>
      </c>
      <c r="H983" s="8">
        <v>2.17</v>
      </c>
      <c r="I983" s="4">
        <v>0</v>
      </c>
    </row>
    <row r="984" spans="1:9" x14ac:dyDescent="0.2">
      <c r="A984" s="2">
        <v>11</v>
      </c>
      <c r="B984" s="1" t="s">
        <v>159</v>
      </c>
      <c r="C984" s="4">
        <v>4</v>
      </c>
      <c r="D984" s="8">
        <v>2.41</v>
      </c>
      <c r="E984" s="4">
        <v>4</v>
      </c>
      <c r="F984" s="8">
        <v>3.42</v>
      </c>
      <c r="G984" s="4">
        <v>0</v>
      </c>
      <c r="H984" s="8">
        <v>0</v>
      </c>
      <c r="I984" s="4">
        <v>0</v>
      </c>
    </row>
    <row r="985" spans="1:9" x14ac:dyDescent="0.2">
      <c r="A985" s="2">
        <v>13</v>
      </c>
      <c r="B985" s="1" t="s">
        <v>126</v>
      </c>
      <c r="C985" s="4">
        <v>3</v>
      </c>
      <c r="D985" s="8">
        <v>1.81</v>
      </c>
      <c r="E985" s="4">
        <v>1</v>
      </c>
      <c r="F985" s="8">
        <v>0.85</v>
      </c>
      <c r="G985" s="4">
        <v>2</v>
      </c>
      <c r="H985" s="8">
        <v>4.3499999999999996</v>
      </c>
      <c r="I985" s="4">
        <v>0</v>
      </c>
    </row>
    <row r="986" spans="1:9" x14ac:dyDescent="0.2">
      <c r="A986" s="2">
        <v>13</v>
      </c>
      <c r="B986" s="1" t="s">
        <v>160</v>
      </c>
      <c r="C986" s="4">
        <v>3</v>
      </c>
      <c r="D986" s="8">
        <v>1.81</v>
      </c>
      <c r="E986" s="4">
        <v>3</v>
      </c>
      <c r="F986" s="8">
        <v>2.56</v>
      </c>
      <c r="G986" s="4">
        <v>0</v>
      </c>
      <c r="H986" s="8">
        <v>0</v>
      </c>
      <c r="I986" s="4">
        <v>0</v>
      </c>
    </row>
    <row r="987" spans="1:9" x14ac:dyDescent="0.2">
      <c r="A987" s="2">
        <v>13</v>
      </c>
      <c r="B987" s="1" t="s">
        <v>204</v>
      </c>
      <c r="C987" s="4">
        <v>3</v>
      </c>
      <c r="D987" s="8">
        <v>1.81</v>
      </c>
      <c r="E987" s="4">
        <v>3</v>
      </c>
      <c r="F987" s="8">
        <v>2.56</v>
      </c>
      <c r="G987" s="4">
        <v>0</v>
      </c>
      <c r="H987" s="8">
        <v>0</v>
      </c>
      <c r="I987" s="4">
        <v>0</v>
      </c>
    </row>
    <row r="988" spans="1:9" x14ac:dyDescent="0.2">
      <c r="A988" s="2">
        <v>16</v>
      </c>
      <c r="B988" s="1" t="s">
        <v>125</v>
      </c>
      <c r="C988" s="4">
        <v>2</v>
      </c>
      <c r="D988" s="8">
        <v>1.2</v>
      </c>
      <c r="E988" s="4">
        <v>1</v>
      </c>
      <c r="F988" s="8">
        <v>0.85</v>
      </c>
      <c r="G988" s="4">
        <v>1</v>
      </c>
      <c r="H988" s="8">
        <v>2.17</v>
      </c>
      <c r="I988" s="4">
        <v>0</v>
      </c>
    </row>
    <row r="989" spans="1:9" x14ac:dyDescent="0.2">
      <c r="A989" s="2">
        <v>16</v>
      </c>
      <c r="B989" s="1" t="s">
        <v>236</v>
      </c>
      <c r="C989" s="4">
        <v>2</v>
      </c>
      <c r="D989" s="8">
        <v>1.2</v>
      </c>
      <c r="E989" s="4">
        <v>0</v>
      </c>
      <c r="F989" s="8">
        <v>0</v>
      </c>
      <c r="G989" s="4">
        <v>2</v>
      </c>
      <c r="H989" s="8">
        <v>4.3499999999999996</v>
      </c>
      <c r="I989" s="4">
        <v>0</v>
      </c>
    </row>
    <row r="990" spans="1:9" x14ac:dyDescent="0.2">
      <c r="A990" s="2">
        <v>16</v>
      </c>
      <c r="B990" s="1" t="s">
        <v>232</v>
      </c>
      <c r="C990" s="4">
        <v>2</v>
      </c>
      <c r="D990" s="8">
        <v>1.2</v>
      </c>
      <c r="E990" s="4">
        <v>1</v>
      </c>
      <c r="F990" s="8">
        <v>0.85</v>
      </c>
      <c r="G990" s="4">
        <v>1</v>
      </c>
      <c r="H990" s="8">
        <v>2.17</v>
      </c>
      <c r="I990" s="4">
        <v>0</v>
      </c>
    </row>
    <row r="991" spans="1:9" x14ac:dyDescent="0.2">
      <c r="A991" s="2">
        <v>16</v>
      </c>
      <c r="B991" s="1" t="s">
        <v>207</v>
      </c>
      <c r="C991" s="4">
        <v>2</v>
      </c>
      <c r="D991" s="8">
        <v>1.2</v>
      </c>
      <c r="E991" s="4">
        <v>2</v>
      </c>
      <c r="F991" s="8">
        <v>1.71</v>
      </c>
      <c r="G991" s="4">
        <v>0</v>
      </c>
      <c r="H991" s="8">
        <v>0</v>
      </c>
      <c r="I991" s="4">
        <v>0</v>
      </c>
    </row>
    <row r="992" spans="1:9" x14ac:dyDescent="0.2">
      <c r="A992" s="2">
        <v>16</v>
      </c>
      <c r="B992" s="1" t="s">
        <v>162</v>
      </c>
      <c r="C992" s="4">
        <v>2</v>
      </c>
      <c r="D992" s="8">
        <v>1.2</v>
      </c>
      <c r="E992" s="4">
        <v>1</v>
      </c>
      <c r="F992" s="8">
        <v>0.85</v>
      </c>
      <c r="G992" s="4">
        <v>1</v>
      </c>
      <c r="H992" s="8">
        <v>2.17</v>
      </c>
      <c r="I992" s="4">
        <v>0</v>
      </c>
    </row>
    <row r="993" spans="1:9" x14ac:dyDescent="0.2">
      <c r="A993" s="2">
        <v>16</v>
      </c>
      <c r="B993" s="1" t="s">
        <v>154</v>
      </c>
      <c r="C993" s="4">
        <v>2</v>
      </c>
      <c r="D993" s="8">
        <v>1.2</v>
      </c>
      <c r="E993" s="4">
        <v>1</v>
      </c>
      <c r="F993" s="8">
        <v>0.85</v>
      </c>
      <c r="G993" s="4">
        <v>1</v>
      </c>
      <c r="H993" s="8">
        <v>2.17</v>
      </c>
      <c r="I993" s="4">
        <v>0</v>
      </c>
    </row>
    <row r="994" spans="1:9" x14ac:dyDescent="0.2">
      <c r="A994" s="2">
        <v>16</v>
      </c>
      <c r="B994" s="1" t="s">
        <v>136</v>
      </c>
      <c r="C994" s="4">
        <v>2</v>
      </c>
      <c r="D994" s="8">
        <v>1.2</v>
      </c>
      <c r="E994" s="4">
        <v>2</v>
      </c>
      <c r="F994" s="8">
        <v>1.71</v>
      </c>
      <c r="G994" s="4">
        <v>0</v>
      </c>
      <c r="H994" s="8">
        <v>0</v>
      </c>
      <c r="I994" s="4">
        <v>0</v>
      </c>
    </row>
    <row r="995" spans="1:9" x14ac:dyDescent="0.2">
      <c r="A995" s="2">
        <v>16</v>
      </c>
      <c r="B995" s="1" t="s">
        <v>237</v>
      </c>
      <c r="C995" s="4">
        <v>2</v>
      </c>
      <c r="D995" s="8">
        <v>1.2</v>
      </c>
      <c r="E995" s="4">
        <v>2</v>
      </c>
      <c r="F995" s="8">
        <v>1.71</v>
      </c>
      <c r="G995" s="4">
        <v>0</v>
      </c>
      <c r="H995" s="8">
        <v>0</v>
      </c>
      <c r="I995" s="4">
        <v>0</v>
      </c>
    </row>
    <row r="996" spans="1:9" x14ac:dyDescent="0.2">
      <c r="A996" s="2">
        <v>16</v>
      </c>
      <c r="B996" s="1" t="s">
        <v>137</v>
      </c>
      <c r="C996" s="4">
        <v>2</v>
      </c>
      <c r="D996" s="8">
        <v>1.2</v>
      </c>
      <c r="E996" s="4">
        <v>2</v>
      </c>
      <c r="F996" s="8">
        <v>1.71</v>
      </c>
      <c r="G996" s="4">
        <v>0</v>
      </c>
      <c r="H996" s="8">
        <v>0</v>
      </c>
      <c r="I996" s="4">
        <v>0</v>
      </c>
    </row>
    <row r="997" spans="1:9" x14ac:dyDescent="0.2">
      <c r="A997" s="2">
        <v>16</v>
      </c>
      <c r="B997" s="1" t="s">
        <v>209</v>
      </c>
      <c r="C997" s="4">
        <v>2</v>
      </c>
      <c r="D997" s="8">
        <v>1.2</v>
      </c>
      <c r="E997" s="4">
        <v>2</v>
      </c>
      <c r="F997" s="8">
        <v>1.71</v>
      </c>
      <c r="G997" s="4">
        <v>0</v>
      </c>
      <c r="H997" s="8">
        <v>0</v>
      </c>
      <c r="I997" s="4">
        <v>0</v>
      </c>
    </row>
    <row r="998" spans="1:9" x14ac:dyDescent="0.2">
      <c r="A998" s="2">
        <v>16</v>
      </c>
      <c r="B998" s="1" t="s">
        <v>199</v>
      </c>
      <c r="C998" s="4">
        <v>2</v>
      </c>
      <c r="D998" s="8">
        <v>1.2</v>
      </c>
      <c r="E998" s="4">
        <v>2</v>
      </c>
      <c r="F998" s="8">
        <v>1.71</v>
      </c>
      <c r="G998" s="4">
        <v>0</v>
      </c>
      <c r="H998" s="8">
        <v>0</v>
      </c>
      <c r="I998" s="4">
        <v>0</v>
      </c>
    </row>
    <row r="999" spans="1:9" x14ac:dyDescent="0.2">
      <c r="A999" s="2">
        <v>16</v>
      </c>
      <c r="B999" s="1" t="s">
        <v>165</v>
      </c>
      <c r="C999" s="4">
        <v>2</v>
      </c>
      <c r="D999" s="8">
        <v>1.2</v>
      </c>
      <c r="E999" s="4">
        <v>0</v>
      </c>
      <c r="F999" s="8">
        <v>0</v>
      </c>
      <c r="G999" s="4">
        <v>0</v>
      </c>
      <c r="H999" s="8">
        <v>0</v>
      </c>
      <c r="I999" s="4">
        <v>0</v>
      </c>
    </row>
    <row r="1000" spans="1:9" x14ac:dyDescent="0.2">
      <c r="A1000" s="2">
        <v>16</v>
      </c>
      <c r="B1000" s="1" t="s">
        <v>142</v>
      </c>
      <c r="C1000" s="4">
        <v>2</v>
      </c>
      <c r="D1000" s="8">
        <v>1.2</v>
      </c>
      <c r="E1000" s="4">
        <v>2</v>
      </c>
      <c r="F1000" s="8">
        <v>1.71</v>
      </c>
      <c r="G1000" s="4">
        <v>0</v>
      </c>
      <c r="H1000" s="8">
        <v>0</v>
      </c>
      <c r="I1000" s="4">
        <v>0</v>
      </c>
    </row>
    <row r="1001" spans="1:9" x14ac:dyDescent="0.2">
      <c r="A1001" s="1"/>
      <c r="C1001" s="4"/>
      <c r="D1001" s="8"/>
      <c r="E1001" s="4"/>
      <c r="F1001" s="8"/>
      <c r="G1001" s="4"/>
      <c r="H1001" s="8"/>
      <c r="I1001" s="4"/>
    </row>
    <row r="1002" spans="1:9" x14ac:dyDescent="0.2">
      <c r="A1002" s="1" t="s">
        <v>41</v>
      </c>
      <c r="C1002" s="4"/>
      <c r="D1002" s="8"/>
      <c r="E1002" s="4"/>
      <c r="F1002" s="8"/>
      <c r="G1002" s="4"/>
      <c r="H1002" s="8"/>
      <c r="I1002" s="4"/>
    </row>
    <row r="1003" spans="1:9" x14ac:dyDescent="0.2">
      <c r="A1003" s="2">
        <v>1</v>
      </c>
      <c r="B1003" s="1" t="s">
        <v>137</v>
      </c>
      <c r="C1003" s="4">
        <v>22</v>
      </c>
      <c r="D1003" s="8">
        <v>7.77</v>
      </c>
      <c r="E1003" s="4">
        <v>20</v>
      </c>
      <c r="F1003" s="8">
        <v>10</v>
      </c>
      <c r="G1003" s="4">
        <v>2</v>
      </c>
      <c r="H1003" s="8">
        <v>2.7</v>
      </c>
      <c r="I1003" s="4">
        <v>0</v>
      </c>
    </row>
    <row r="1004" spans="1:9" x14ac:dyDescent="0.2">
      <c r="A1004" s="2">
        <v>2</v>
      </c>
      <c r="B1004" s="1" t="s">
        <v>127</v>
      </c>
      <c r="C1004" s="4">
        <v>12</v>
      </c>
      <c r="D1004" s="8">
        <v>4.24</v>
      </c>
      <c r="E1004" s="4">
        <v>12</v>
      </c>
      <c r="F1004" s="8">
        <v>6</v>
      </c>
      <c r="G1004" s="4">
        <v>0</v>
      </c>
      <c r="H1004" s="8">
        <v>0</v>
      </c>
      <c r="I1004" s="4">
        <v>0</v>
      </c>
    </row>
    <row r="1005" spans="1:9" x14ac:dyDescent="0.2">
      <c r="A1005" s="2">
        <v>3</v>
      </c>
      <c r="B1005" s="1" t="s">
        <v>134</v>
      </c>
      <c r="C1005" s="4">
        <v>11</v>
      </c>
      <c r="D1005" s="8">
        <v>3.89</v>
      </c>
      <c r="E1005" s="4">
        <v>9</v>
      </c>
      <c r="F1005" s="8">
        <v>4.5</v>
      </c>
      <c r="G1005" s="4">
        <v>2</v>
      </c>
      <c r="H1005" s="8">
        <v>2.7</v>
      </c>
      <c r="I1005" s="4">
        <v>0</v>
      </c>
    </row>
    <row r="1006" spans="1:9" x14ac:dyDescent="0.2">
      <c r="A1006" s="2">
        <v>4</v>
      </c>
      <c r="B1006" s="1" t="s">
        <v>156</v>
      </c>
      <c r="C1006" s="4">
        <v>9</v>
      </c>
      <c r="D1006" s="8">
        <v>3.18</v>
      </c>
      <c r="E1006" s="4">
        <v>9</v>
      </c>
      <c r="F1006" s="8">
        <v>4.5</v>
      </c>
      <c r="G1006" s="4">
        <v>0</v>
      </c>
      <c r="H1006" s="8">
        <v>0</v>
      </c>
      <c r="I1006" s="4">
        <v>0</v>
      </c>
    </row>
    <row r="1007" spans="1:9" x14ac:dyDescent="0.2">
      <c r="A1007" s="2">
        <v>4</v>
      </c>
      <c r="B1007" s="1" t="s">
        <v>136</v>
      </c>
      <c r="C1007" s="4">
        <v>9</v>
      </c>
      <c r="D1007" s="8">
        <v>3.18</v>
      </c>
      <c r="E1007" s="4">
        <v>9</v>
      </c>
      <c r="F1007" s="8">
        <v>4.5</v>
      </c>
      <c r="G1007" s="4">
        <v>0</v>
      </c>
      <c r="H1007" s="8">
        <v>0</v>
      </c>
      <c r="I1007" s="4">
        <v>0</v>
      </c>
    </row>
    <row r="1008" spans="1:9" x14ac:dyDescent="0.2">
      <c r="A1008" s="2">
        <v>4</v>
      </c>
      <c r="B1008" s="1" t="s">
        <v>138</v>
      </c>
      <c r="C1008" s="4">
        <v>9</v>
      </c>
      <c r="D1008" s="8">
        <v>3.18</v>
      </c>
      <c r="E1008" s="4">
        <v>7</v>
      </c>
      <c r="F1008" s="8">
        <v>3.5</v>
      </c>
      <c r="G1008" s="4">
        <v>2</v>
      </c>
      <c r="H1008" s="8">
        <v>2.7</v>
      </c>
      <c r="I1008" s="4">
        <v>0</v>
      </c>
    </row>
    <row r="1009" spans="1:9" x14ac:dyDescent="0.2">
      <c r="A1009" s="2">
        <v>4</v>
      </c>
      <c r="B1009" s="1" t="s">
        <v>140</v>
      </c>
      <c r="C1009" s="4">
        <v>9</v>
      </c>
      <c r="D1009" s="8">
        <v>3.18</v>
      </c>
      <c r="E1009" s="4">
        <v>9</v>
      </c>
      <c r="F1009" s="8">
        <v>4.5</v>
      </c>
      <c r="G1009" s="4">
        <v>0</v>
      </c>
      <c r="H1009" s="8">
        <v>0</v>
      </c>
      <c r="I1009" s="4">
        <v>0</v>
      </c>
    </row>
    <row r="1010" spans="1:9" x14ac:dyDescent="0.2">
      <c r="A1010" s="2">
        <v>8</v>
      </c>
      <c r="B1010" s="1" t="s">
        <v>129</v>
      </c>
      <c r="C1010" s="4">
        <v>8</v>
      </c>
      <c r="D1010" s="8">
        <v>2.83</v>
      </c>
      <c r="E1010" s="4">
        <v>7</v>
      </c>
      <c r="F1010" s="8">
        <v>3.5</v>
      </c>
      <c r="G1010" s="4">
        <v>1</v>
      </c>
      <c r="H1010" s="8">
        <v>1.35</v>
      </c>
      <c r="I1010" s="4">
        <v>0</v>
      </c>
    </row>
    <row r="1011" spans="1:9" x14ac:dyDescent="0.2">
      <c r="A1011" s="2">
        <v>8</v>
      </c>
      <c r="B1011" s="1" t="s">
        <v>133</v>
      </c>
      <c r="C1011" s="4">
        <v>8</v>
      </c>
      <c r="D1011" s="8">
        <v>2.83</v>
      </c>
      <c r="E1011" s="4">
        <v>3</v>
      </c>
      <c r="F1011" s="8">
        <v>1.5</v>
      </c>
      <c r="G1011" s="4">
        <v>5</v>
      </c>
      <c r="H1011" s="8">
        <v>6.76</v>
      </c>
      <c r="I1011" s="4">
        <v>0</v>
      </c>
    </row>
    <row r="1012" spans="1:9" x14ac:dyDescent="0.2">
      <c r="A1012" s="2">
        <v>10</v>
      </c>
      <c r="B1012" s="1" t="s">
        <v>167</v>
      </c>
      <c r="C1012" s="4">
        <v>7</v>
      </c>
      <c r="D1012" s="8">
        <v>2.4700000000000002</v>
      </c>
      <c r="E1012" s="4">
        <v>6</v>
      </c>
      <c r="F1012" s="8">
        <v>3</v>
      </c>
      <c r="G1012" s="4">
        <v>1</v>
      </c>
      <c r="H1012" s="8">
        <v>1.35</v>
      </c>
      <c r="I1012" s="4">
        <v>0</v>
      </c>
    </row>
    <row r="1013" spans="1:9" x14ac:dyDescent="0.2">
      <c r="A1013" s="2">
        <v>10</v>
      </c>
      <c r="B1013" s="1" t="s">
        <v>141</v>
      </c>
      <c r="C1013" s="4">
        <v>7</v>
      </c>
      <c r="D1013" s="8">
        <v>2.4700000000000002</v>
      </c>
      <c r="E1013" s="4">
        <v>5</v>
      </c>
      <c r="F1013" s="8">
        <v>2.5</v>
      </c>
      <c r="G1013" s="4">
        <v>1</v>
      </c>
      <c r="H1013" s="8">
        <v>1.35</v>
      </c>
      <c r="I1013" s="4">
        <v>1</v>
      </c>
    </row>
    <row r="1014" spans="1:9" x14ac:dyDescent="0.2">
      <c r="A1014" s="2">
        <v>10</v>
      </c>
      <c r="B1014" s="1" t="s">
        <v>143</v>
      </c>
      <c r="C1014" s="4">
        <v>7</v>
      </c>
      <c r="D1014" s="8">
        <v>2.4700000000000002</v>
      </c>
      <c r="E1014" s="4">
        <v>5</v>
      </c>
      <c r="F1014" s="8">
        <v>2.5</v>
      </c>
      <c r="G1014" s="4">
        <v>2</v>
      </c>
      <c r="H1014" s="8">
        <v>2.7</v>
      </c>
      <c r="I1014" s="4">
        <v>0</v>
      </c>
    </row>
    <row r="1015" spans="1:9" x14ac:dyDescent="0.2">
      <c r="A1015" s="2">
        <v>13</v>
      </c>
      <c r="B1015" s="1" t="s">
        <v>147</v>
      </c>
      <c r="C1015" s="4">
        <v>6</v>
      </c>
      <c r="D1015" s="8">
        <v>2.12</v>
      </c>
      <c r="E1015" s="4">
        <v>3</v>
      </c>
      <c r="F1015" s="8">
        <v>1.5</v>
      </c>
      <c r="G1015" s="4">
        <v>3</v>
      </c>
      <c r="H1015" s="8">
        <v>4.05</v>
      </c>
      <c r="I1015" s="4">
        <v>0</v>
      </c>
    </row>
    <row r="1016" spans="1:9" x14ac:dyDescent="0.2">
      <c r="A1016" s="2">
        <v>13</v>
      </c>
      <c r="B1016" s="1" t="s">
        <v>132</v>
      </c>
      <c r="C1016" s="4">
        <v>6</v>
      </c>
      <c r="D1016" s="8">
        <v>2.12</v>
      </c>
      <c r="E1016" s="4">
        <v>4</v>
      </c>
      <c r="F1016" s="8">
        <v>2</v>
      </c>
      <c r="G1016" s="4">
        <v>2</v>
      </c>
      <c r="H1016" s="8">
        <v>2.7</v>
      </c>
      <c r="I1016" s="4">
        <v>0</v>
      </c>
    </row>
    <row r="1017" spans="1:9" x14ac:dyDescent="0.2">
      <c r="A1017" s="2">
        <v>13</v>
      </c>
      <c r="B1017" s="1" t="s">
        <v>158</v>
      </c>
      <c r="C1017" s="4">
        <v>6</v>
      </c>
      <c r="D1017" s="8">
        <v>2.12</v>
      </c>
      <c r="E1017" s="4">
        <v>4</v>
      </c>
      <c r="F1017" s="8">
        <v>2</v>
      </c>
      <c r="G1017" s="4">
        <v>2</v>
      </c>
      <c r="H1017" s="8">
        <v>2.7</v>
      </c>
      <c r="I1017" s="4">
        <v>0</v>
      </c>
    </row>
    <row r="1018" spans="1:9" x14ac:dyDescent="0.2">
      <c r="A1018" s="2">
        <v>13</v>
      </c>
      <c r="B1018" s="1" t="s">
        <v>139</v>
      </c>
      <c r="C1018" s="4">
        <v>6</v>
      </c>
      <c r="D1018" s="8">
        <v>2.12</v>
      </c>
      <c r="E1018" s="4">
        <v>6</v>
      </c>
      <c r="F1018" s="8">
        <v>3</v>
      </c>
      <c r="G1018" s="4">
        <v>0</v>
      </c>
      <c r="H1018" s="8">
        <v>0</v>
      </c>
      <c r="I1018" s="4">
        <v>0</v>
      </c>
    </row>
    <row r="1019" spans="1:9" x14ac:dyDescent="0.2">
      <c r="A1019" s="2">
        <v>13</v>
      </c>
      <c r="B1019" s="1" t="s">
        <v>142</v>
      </c>
      <c r="C1019" s="4">
        <v>6</v>
      </c>
      <c r="D1019" s="8">
        <v>2.12</v>
      </c>
      <c r="E1019" s="4">
        <v>6</v>
      </c>
      <c r="F1019" s="8">
        <v>3</v>
      </c>
      <c r="G1019" s="4">
        <v>0</v>
      </c>
      <c r="H1019" s="8">
        <v>0</v>
      </c>
      <c r="I1019" s="4">
        <v>0</v>
      </c>
    </row>
    <row r="1020" spans="1:9" x14ac:dyDescent="0.2">
      <c r="A1020" s="2">
        <v>18</v>
      </c>
      <c r="B1020" s="1" t="s">
        <v>124</v>
      </c>
      <c r="C1020" s="4">
        <v>5</v>
      </c>
      <c r="D1020" s="8">
        <v>1.77</v>
      </c>
      <c r="E1020" s="4">
        <v>2</v>
      </c>
      <c r="F1020" s="8">
        <v>1</v>
      </c>
      <c r="G1020" s="4">
        <v>3</v>
      </c>
      <c r="H1020" s="8">
        <v>4.05</v>
      </c>
      <c r="I1020" s="4">
        <v>0</v>
      </c>
    </row>
    <row r="1021" spans="1:9" x14ac:dyDescent="0.2">
      <c r="A1021" s="2">
        <v>18</v>
      </c>
      <c r="B1021" s="1" t="s">
        <v>159</v>
      </c>
      <c r="C1021" s="4">
        <v>5</v>
      </c>
      <c r="D1021" s="8">
        <v>1.77</v>
      </c>
      <c r="E1021" s="4">
        <v>4</v>
      </c>
      <c r="F1021" s="8">
        <v>2</v>
      </c>
      <c r="G1021" s="4">
        <v>0</v>
      </c>
      <c r="H1021" s="8">
        <v>0</v>
      </c>
      <c r="I1021" s="4">
        <v>1</v>
      </c>
    </row>
    <row r="1022" spans="1:9" x14ac:dyDescent="0.2">
      <c r="A1022" s="2">
        <v>18</v>
      </c>
      <c r="B1022" s="1" t="s">
        <v>128</v>
      </c>
      <c r="C1022" s="4">
        <v>5</v>
      </c>
      <c r="D1022" s="8">
        <v>1.77</v>
      </c>
      <c r="E1022" s="4">
        <v>2</v>
      </c>
      <c r="F1022" s="8">
        <v>1</v>
      </c>
      <c r="G1022" s="4">
        <v>3</v>
      </c>
      <c r="H1022" s="8">
        <v>4.05</v>
      </c>
      <c r="I1022" s="4">
        <v>0</v>
      </c>
    </row>
    <row r="1023" spans="1:9" x14ac:dyDescent="0.2">
      <c r="A1023" s="2">
        <v>18</v>
      </c>
      <c r="B1023" s="1" t="s">
        <v>130</v>
      </c>
      <c r="C1023" s="4">
        <v>5</v>
      </c>
      <c r="D1023" s="8">
        <v>1.77</v>
      </c>
      <c r="E1023" s="4">
        <v>4</v>
      </c>
      <c r="F1023" s="8">
        <v>2</v>
      </c>
      <c r="G1023" s="4">
        <v>1</v>
      </c>
      <c r="H1023" s="8">
        <v>1.35</v>
      </c>
      <c r="I1023" s="4">
        <v>0</v>
      </c>
    </row>
    <row r="1024" spans="1:9" x14ac:dyDescent="0.2">
      <c r="A1024" s="2">
        <v>18</v>
      </c>
      <c r="B1024" s="1" t="s">
        <v>166</v>
      </c>
      <c r="C1024" s="4">
        <v>5</v>
      </c>
      <c r="D1024" s="8">
        <v>1.77</v>
      </c>
      <c r="E1024" s="4">
        <v>5</v>
      </c>
      <c r="F1024" s="8">
        <v>2.5</v>
      </c>
      <c r="G1024" s="4">
        <v>0</v>
      </c>
      <c r="H1024" s="8">
        <v>0</v>
      </c>
      <c r="I1024" s="4">
        <v>0</v>
      </c>
    </row>
    <row r="1025" spans="1:9" x14ac:dyDescent="0.2">
      <c r="A1025" s="1"/>
      <c r="C1025" s="4"/>
      <c r="D1025" s="8"/>
      <c r="E1025" s="4"/>
      <c r="F1025" s="8"/>
      <c r="G1025" s="4"/>
      <c r="H1025" s="8"/>
      <c r="I1025" s="4"/>
    </row>
    <row r="1026" spans="1:9" x14ac:dyDescent="0.2">
      <c r="A1026" s="1" t="s">
        <v>42</v>
      </c>
      <c r="C1026" s="4"/>
      <c r="D1026" s="8"/>
      <c r="E1026" s="4"/>
      <c r="F1026" s="8"/>
      <c r="G1026" s="4"/>
      <c r="H1026" s="8"/>
      <c r="I1026" s="4"/>
    </row>
    <row r="1027" spans="1:9" x14ac:dyDescent="0.2">
      <c r="A1027" s="2">
        <v>1</v>
      </c>
      <c r="B1027" s="1" t="s">
        <v>140</v>
      </c>
      <c r="C1027" s="4">
        <v>18</v>
      </c>
      <c r="D1027" s="8">
        <v>6.64</v>
      </c>
      <c r="E1027" s="4">
        <v>18</v>
      </c>
      <c r="F1027" s="8">
        <v>8.7799999999999994</v>
      </c>
      <c r="G1027" s="4">
        <v>0</v>
      </c>
      <c r="H1027" s="8">
        <v>0</v>
      </c>
      <c r="I1027" s="4">
        <v>0</v>
      </c>
    </row>
    <row r="1028" spans="1:9" x14ac:dyDescent="0.2">
      <c r="A1028" s="2">
        <v>2</v>
      </c>
      <c r="B1028" s="1" t="s">
        <v>134</v>
      </c>
      <c r="C1028" s="4">
        <v>15</v>
      </c>
      <c r="D1028" s="8">
        <v>5.54</v>
      </c>
      <c r="E1028" s="4">
        <v>15</v>
      </c>
      <c r="F1028" s="8">
        <v>7.32</v>
      </c>
      <c r="G1028" s="4">
        <v>0</v>
      </c>
      <c r="H1028" s="8">
        <v>0</v>
      </c>
      <c r="I1028" s="4">
        <v>0</v>
      </c>
    </row>
    <row r="1029" spans="1:9" x14ac:dyDescent="0.2">
      <c r="A1029" s="2">
        <v>2</v>
      </c>
      <c r="B1029" s="1" t="s">
        <v>137</v>
      </c>
      <c r="C1029" s="4">
        <v>15</v>
      </c>
      <c r="D1029" s="8">
        <v>5.54</v>
      </c>
      <c r="E1029" s="4">
        <v>15</v>
      </c>
      <c r="F1029" s="8">
        <v>7.32</v>
      </c>
      <c r="G1029" s="4">
        <v>0</v>
      </c>
      <c r="H1029" s="8">
        <v>0</v>
      </c>
      <c r="I1029" s="4">
        <v>0</v>
      </c>
    </row>
    <row r="1030" spans="1:9" x14ac:dyDescent="0.2">
      <c r="A1030" s="2">
        <v>2</v>
      </c>
      <c r="B1030" s="1" t="s">
        <v>141</v>
      </c>
      <c r="C1030" s="4">
        <v>15</v>
      </c>
      <c r="D1030" s="8">
        <v>5.54</v>
      </c>
      <c r="E1030" s="4">
        <v>14</v>
      </c>
      <c r="F1030" s="8">
        <v>6.83</v>
      </c>
      <c r="G1030" s="4">
        <v>1</v>
      </c>
      <c r="H1030" s="8">
        <v>1.72</v>
      </c>
      <c r="I1030" s="4">
        <v>0</v>
      </c>
    </row>
    <row r="1031" spans="1:9" x14ac:dyDescent="0.2">
      <c r="A1031" s="2">
        <v>5</v>
      </c>
      <c r="B1031" s="1" t="s">
        <v>129</v>
      </c>
      <c r="C1031" s="4">
        <v>14</v>
      </c>
      <c r="D1031" s="8">
        <v>5.17</v>
      </c>
      <c r="E1031" s="4">
        <v>13</v>
      </c>
      <c r="F1031" s="8">
        <v>6.34</v>
      </c>
      <c r="G1031" s="4">
        <v>1</v>
      </c>
      <c r="H1031" s="8">
        <v>1.72</v>
      </c>
      <c r="I1031" s="4">
        <v>0</v>
      </c>
    </row>
    <row r="1032" spans="1:9" x14ac:dyDescent="0.2">
      <c r="A1032" s="2">
        <v>6</v>
      </c>
      <c r="B1032" s="1" t="s">
        <v>127</v>
      </c>
      <c r="C1032" s="4">
        <v>9</v>
      </c>
      <c r="D1032" s="8">
        <v>3.32</v>
      </c>
      <c r="E1032" s="4">
        <v>9</v>
      </c>
      <c r="F1032" s="8">
        <v>4.3899999999999997</v>
      </c>
      <c r="G1032" s="4">
        <v>0</v>
      </c>
      <c r="H1032" s="8">
        <v>0</v>
      </c>
      <c r="I1032" s="4">
        <v>0</v>
      </c>
    </row>
    <row r="1033" spans="1:9" x14ac:dyDescent="0.2">
      <c r="A1033" s="2">
        <v>7</v>
      </c>
      <c r="B1033" s="1" t="s">
        <v>138</v>
      </c>
      <c r="C1033" s="4">
        <v>8</v>
      </c>
      <c r="D1033" s="8">
        <v>2.95</v>
      </c>
      <c r="E1033" s="4">
        <v>8</v>
      </c>
      <c r="F1033" s="8">
        <v>3.9</v>
      </c>
      <c r="G1033" s="4">
        <v>0</v>
      </c>
      <c r="H1033" s="8">
        <v>0</v>
      </c>
      <c r="I1033" s="4">
        <v>0</v>
      </c>
    </row>
    <row r="1034" spans="1:9" x14ac:dyDescent="0.2">
      <c r="A1034" s="2">
        <v>8</v>
      </c>
      <c r="B1034" s="1" t="s">
        <v>167</v>
      </c>
      <c r="C1034" s="4">
        <v>7</v>
      </c>
      <c r="D1034" s="8">
        <v>2.58</v>
      </c>
      <c r="E1034" s="4">
        <v>7</v>
      </c>
      <c r="F1034" s="8">
        <v>3.41</v>
      </c>
      <c r="G1034" s="4">
        <v>0</v>
      </c>
      <c r="H1034" s="8">
        <v>0</v>
      </c>
      <c r="I1034" s="4">
        <v>0</v>
      </c>
    </row>
    <row r="1035" spans="1:9" x14ac:dyDescent="0.2">
      <c r="A1035" s="2">
        <v>8</v>
      </c>
      <c r="B1035" s="1" t="s">
        <v>139</v>
      </c>
      <c r="C1035" s="4">
        <v>7</v>
      </c>
      <c r="D1035" s="8">
        <v>2.58</v>
      </c>
      <c r="E1035" s="4">
        <v>7</v>
      </c>
      <c r="F1035" s="8">
        <v>3.41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10</v>
      </c>
      <c r="B1036" s="1" t="s">
        <v>125</v>
      </c>
      <c r="C1036" s="4">
        <v>5</v>
      </c>
      <c r="D1036" s="8">
        <v>1.85</v>
      </c>
      <c r="E1036" s="4">
        <v>1</v>
      </c>
      <c r="F1036" s="8">
        <v>0.49</v>
      </c>
      <c r="G1036" s="4">
        <v>4</v>
      </c>
      <c r="H1036" s="8">
        <v>6.9</v>
      </c>
      <c r="I1036" s="4">
        <v>0</v>
      </c>
    </row>
    <row r="1037" spans="1:9" x14ac:dyDescent="0.2">
      <c r="A1037" s="2">
        <v>10</v>
      </c>
      <c r="B1037" s="1" t="s">
        <v>169</v>
      </c>
      <c r="C1037" s="4">
        <v>5</v>
      </c>
      <c r="D1037" s="8">
        <v>1.85</v>
      </c>
      <c r="E1037" s="4">
        <v>4</v>
      </c>
      <c r="F1037" s="8">
        <v>1.95</v>
      </c>
      <c r="G1037" s="4">
        <v>1</v>
      </c>
      <c r="H1037" s="8">
        <v>1.72</v>
      </c>
      <c r="I1037" s="4">
        <v>0</v>
      </c>
    </row>
    <row r="1038" spans="1:9" x14ac:dyDescent="0.2">
      <c r="A1038" s="2">
        <v>10</v>
      </c>
      <c r="B1038" s="1" t="s">
        <v>132</v>
      </c>
      <c r="C1038" s="4">
        <v>5</v>
      </c>
      <c r="D1038" s="8">
        <v>1.85</v>
      </c>
      <c r="E1038" s="4">
        <v>1</v>
      </c>
      <c r="F1038" s="8">
        <v>0.49</v>
      </c>
      <c r="G1038" s="4">
        <v>4</v>
      </c>
      <c r="H1038" s="8">
        <v>6.9</v>
      </c>
      <c r="I1038" s="4">
        <v>0</v>
      </c>
    </row>
    <row r="1039" spans="1:9" x14ac:dyDescent="0.2">
      <c r="A1039" s="2">
        <v>10</v>
      </c>
      <c r="B1039" s="1" t="s">
        <v>158</v>
      </c>
      <c r="C1039" s="4">
        <v>5</v>
      </c>
      <c r="D1039" s="8">
        <v>1.85</v>
      </c>
      <c r="E1039" s="4">
        <v>4</v>
      </c>
      <c r="F1039" s="8">
        <v>1.95</v>
      </c>
      <c r="G1039" s="4">
        <v>1</v>
      </c>
      <c r="H1039" s="8">
        <v>1.72</v>
      </c>
      <c r="I1039" s="4">
        <v>0</v>
      </c>
    </row>
    <row r="1040" spans="1:9" x14ac:dyDescent="0.2">
      <c r="A1040" s="2">
        <v>14</v>
      </c>
      <c r="B1040" s="1" t="s">
        <v>124</v>
      </c>
      <c r="C1040" s="4">
        <v>4</v>
      </c>
      <c r="D1040" s="8">
        <v>1.48</v>
      </c>
      <c r="E1040" s="4">
        <v>1</v>
      </c>
      <c r="F1040" s="8">
        <v>0.49</v>
      </c>
      <c r="G1040" s="4">
        <v>3</v>
      </c>
      <c r="H1040" s="8">
        <v>5.17</v>
      </c>
      <c r="I1040" s="4">
        <v>0</v>
      </c>
    </row>
    <row r="1041" spans="1:9" x14ac:dyDescent="0.2">
      <c r="A1041" s="2">
        <v>14</v>
      </c>
      <c r="B1041" s="1" t="s">
        <v>189</v>
      </c>
      <c r="C1041" s="4">
        <v>4</v>
      </c>
      <c r="D1041" s="8">
        <v>1.48</v>
      </c>
      <c r="E1041" s="4">
        <v>4</v>
      </c>
      <c r="F1041" s="8">
        <v>1.95</v>
      </c>
      <c r="G1041" s="4">
        <v>0</v>
      </c>
      <c r="H1041" s="8">
        <v>0</v>
      </c>
      <c r="I1041" s="4">
        <v>0</v>
      </c>
    </row>
    <row r="1042" spans="1:9" x14ac:dyDescent="0.2">
      <c r="A1042" s="2">
        <v>14</v>
      </c>
      <c r="B1042" s="1" t="s">
        <v>126</v>
      </c>
      <c r="C1042" s="4">
        <v>4</v>
      </c>
      <c r="D1042" s="8">
        <v>1.48</v>
      </c>
      <c r="E1042" s="4">
        <v>4</v>
      </c>
      <c r="F1042" s="8">
        <v>1.95</v>
      </c>
      <c r="G1042" s="4">
        <v>0</v>
      </c>
      <c r="H1042" s="8">
        <v>0</v>
      </c>
      <c r="I1042" s="4">
        <v>0</v>
      </c>
    </row>
    <row r="1043" spans="1:9" x14ac:dyDescent="0.2">
      <c r="A1043" s="2">
        <v>14</v>
      </c>
      <c r="B1043" s="1" t="s">
        <v>179</v>
      </c>
      <c r="C1043" s="4">
        <v>4</v>
      </c>
      <c r="D1043" s="8">
        <v>1.48</v>
      </c>
      <c r="E1043" s="4">
        <v>0</v>
      </c>
      <c r="F1043" s="8">
        <v>0</v>
      </c>
      <c r="G1043" s="4">
        <v>4</v>
      </c>
      <c r="H1043" s="8">
        <v>6.9</v>
      </c>
      <c r="I1043" s="4">
        <v>0</v>
      </c>
    </row>
    <row r="1044" spans="1:9" x14ac:dyDescent="0.2">
      <c r="A1044" s="2">
        <v>14</v>
      </c>
      <c r="B1044" s="1" t="s">
        <v>128</v>
      </c>
      <c r="C1044" s="4">
        <v>4</v>
      </c>
      <c r="D1044" s="8">
        <v>1.48</v>
      </c>
      <c r="E1044" s="4">
        <v>2</v>
      </c>
      <c r="F1044" s="8">
        <v>0.98</v>
      </c>
      <c r="G1044" s="4">
        <v>2</v>
      </c>
      <c r="H1044" s="8">
        <v>3.45</v>
      </c>
      <c r="I1044" s="4">
        <v>0</v>
      </c>
    </row>
    <row r="1045" spans="1:9" x14ac:dyDescent="0.2">
      <c r="A1045" s="2">
        <v>14</v>
      </c>
      <c r="B1045" s="1" t="s">
        <v>130</v>
      </c>
      <c r="C1045" s="4">
        <v>4</v>
      </c>
      <c r="D1045" s="8">
        <v>1.48</v>
      </c>
      <c r="E1045" s="4">
        <v>4</v>
      </c>
      <c r="F1045" s="8">
        <v>1.95</v>
      </c>
      <c r="G1045" s="4">
        <v>0</v>
      </c>
      <c r="H1045" s="8">
        <v>0</v>
      </c>
      <c r="I1045" s="4">
        <v>0</v>
      </c>
    </row>
    <row r="1046" spans="1:9" x14ac:dyDescent="0.2">
      <c r="A1046" s="2">
        <v>14</v>
      </c>
      <c r="B1046" s="1" t="s">
        <v>147</v>
      </c>
      <c r="C1046" s="4">
        <v>4</v>
      </c>
      <c r="D1046" s="8">
        <v>1.48</v>
      </c>
      <c r="E1046" s="4">
        <v>4</v>
      </c>
      <c r="F1046" s="8">
        <v>1.95</v>
      </c>
      <c r="G1046" s="4">
        <v>0</v>
      </c>
      <c r="H1046" s="8">
        <v>0</v>
      </c>
      <c r="I1046" s="4">
        <v>0</v>
      </c>
    </row>
    <row r="1047" spans="1:9" x14ac:dyDescent="0.2">
      <c r="A1047" s="2">
        <v>14</v>
      </c>
      <c r="B1047" s="1" t="s">
        <v>133</v>
      </c>
      <c r="C1047" s="4">
        <v>4</v>
      </c>
      <c r="D1047" s="8">
        <v>1.48</v>
      </c>
      <c r="E1047" s="4">
        <v>1</v>
      </c>
      <c r="F1047" s="8">
        <v>0.49</v>
      </c>
      <c r="G1047" s="4">
        <v>3</v>
      </c>
      <c r="H1047" s="8">
        <v>5.17</v>
      </c>
      <c r="I1047" s="4">
        <v>0</v>
      </c>
    </row>
    <row r="1048" spans="1:9" x14ac:dyDescent="0.2">
      <c r="A1048" s="2">
        <v>14</v>
      </c>
      <c r="B1048" s="1" t="s">
        <v>136</v>
      </c>
      <c r="C1048" s="4">
        <v>4</v>
      </c>
      <c r="D1048" s="8">
        <v>1.48</v>
      </c>
      <c r="E1048" s="4">
        <v>4</v>
      </c>
      <c r="F1048" s="8">
        <v>1.95</v>
      </c>
      <c r="G1048" s="4">
        <v>0</v>
      </c>
      <c r="H1048" s="8">
        <v>0</v>
      </c>
      <c r="I1048" s="4">
        <v>0</v>
      </c>
    </row>
    <row r="1049" spans="1:9" x14ac:dyDescent="0.2">
      <c r="A1049" s="2">
        <v>14</v>
      </c>
      <c r="B1049" s="1" t="s">
        <v>143</v>
      </c>
      <c r="C1049" s="4">
        <v>4</v>
      </c>
      <c r="D1049" s="8">
        <v>1.48</v>
      </c>
      <c r="E1049" s="4">
        <v>3</v>
      </c>
      <c r="F1049" s="8">
        <v>1.46</v>
      </c>
      <c r="G1049" s="4">
        <v>1</v>
      </c>
      <c r="H1049" s="8">
        <v>1.72</v>
      </c>
      <c r="I1049" s="4">
        <v>0</v>
      </c>
    </row>
    <row r="1050" spans="1:9" x14ac:dyDescent="0.2">
      <c r="A1050" s="1"/>
      <c r="C1050" s="4"/>
      <c r="D1050" s="8"/>
      <c r="E1050" s="4"/>
      <c r="F1050" s="8"/>
      <c r="G1050" s="4"/>
      <c r="H1050" s="8"/>
      <c r="I1050" s="4"/>
    </row>
    <row r="1051" spans="1:9" x14ac:dyDescent="0.2">
      <c r="A1051" s="1" t="s">
        <v>43</v>
      </c>
      <c r="C1051" s="4"/>
      <c r="D1051" s="8"/>
      <c r="E1051" s="4"/>
      <c r="F1051" s="8"/>
      <c r="G1051" s="4"/>
      <c r="H1051" s="8"/>
      <c r="I1051" s="4"/>
    </row>
    <row r="1052" spans="1:9" x14ac:dyDescent="0.2">
      <c r="A1052" s="2">
        <v>1</v>
      </c>
      <c r="B1052" s="1" t="s">
        <v>158</v>
      </c>
      <c r="C1052" s="4">
        <v>17</v>
      </c>
      <c r="D1052" s="8">
        <v>6.67</v>
      </c>
      <c r="E1052" s="4">
        <v>17</v>
      </c>
      <c r="F1052" s="8">
        <v>9.44</v>
      </c>
      <c r="G1052" s="4">
        <v>0</v>
      </c>
      <c r="H1052" s="8">
        <v>0</v>
      </c>
      <c r="I1052" s="4">
        <v>0</v>
      </c>
    </row>
    <row r="1053" spans="1:9" x14ac:dyDescent="0.2">
      <c r="A1053" s="2">
        <v>2</v>
      </c>
      <c r="B1053" s="1" t="s">
        <v>140</v>
      </c>
      <c r="C1053" s="4">
        <v>13</v>
      </c>
      <c r="D1053" s="8">
        <v>5.0999999999999996</v>
      </c>
      <c r="E1053" s="4">
        <v>13</v>
      </c>
      <c r="F1053" s="8">
        <v>7.22</v>
      </c>
      <c r="G1053" s="4">
        <v>0</v>
      </c>
      <c r="H1053" s="8">
        <v>0</v>
      </c>
      <c r="I1053" s="4">
        <v>0</v>
      </c>
    </row>
    <row r="1054" spans="1:9" x14ac:dyDescent="0.2">
      <c r="A1054" s="2">
        <v>3</v>
      </c>
      <c r="B1054" s="1" t="s">
        <v>133</v>
      </c>
      <c r="C1054" s="4">
        <v>10</v>
      </c>
      <c r="D1054" s="8">
        <v>3.92</v>
      </c>
      <c r="E1054" s="4">
        <v>9</v>
      </c>
      <c r="F1054" s="8">
        <v>5</v>
      </c>
      <c r="G1054" s="4">
        <v>1</v>
      </c>
      <c r="H1054" s="8">
        <v>1.61</v>
      </c>
      <c r="I1054" s="4">
        <v>0</v>
      </c>
    </row>
    <row r="1055" spans="1:9" x14ac:dyDescent="0.2">
      <c r="A1055" s="2">
        <v>4</v>
      </c>
      <c r="B1055" s="1" t="s">
        <v>167</v>
      </c>
      <c r="C1055" s="4">
        <v>9</v>
      </c>
      <c r="D1055" s="8">
        <v>3.53</v>
      </c>
      <c r="E1055" s="4">
        <v>6</v>
      </c>
      <c r="F1055" s="8">
        <v>3.33</v>
      </c>
      <c r="G1055" s="4">
        <v>3</v>
      </c>
      <c r="H1055" s="8">
        <v>4.84</v>
      </c>
      <c r="I1055" s="4">
        <v>0</v>
      </c>
    </row>
    <row r="1056" spans="1:9" x14ac:dyDescent="0.2">
      <c r="A1056" s="2">
        <v>5</v>
      </c>
      <c r="B1056" s="1" t="s">
        <v>136</v>
      </c>
      <c r="C1056" s="4">
        <v>8</v>
      </c>
      <c r="D1056" s="8">
        <v>3.14</v>
      </c>
      <c r="E1056" s="4">
        <v>7</v>
      </c>
      <c r="F1056" s="8">
        <v>3.89</v>
      </c>
      <c r="G1056" s="4">
        <v>1</v>
      </c>
      <c r="H1056" s="8">
        <v>1.61</v>
      </c>
      <c r="I1056" s="4">
        <v>0</v>
      </c>
    </row>
    <row r="1057" spans="1:9" x14ac:dyDescent="0.2">
      <c r="A1057" s="2">
        <v>5</v>
      </c>
      <c r="B1057" s="1" t="s">
        <v>137</v>
      </c>
      <c r="C1057" s="4">
        <v>8</v>
      </c>
      <c r="D1057" s="8">
        <v>3.14</v>
      </c>
      <c r="E1057" s="4">
        <v>8</v>
      </c>
      <c r="F1057" s="8">
        <v>4.4400000000000004</v>
      </c>
      <c r="G1057" s="4">
        <v>0</v>
      </c>
      <c r="H1057" s="8">
        <v>0</v>
      </c>
      <c r="I1057" s="4">
        <v>0</v>
      </c>
    </row>
    <row r="1058" spans="1:9" x14ac:dyDescent="0.2">
      <c r="A1058" s="2">
        <v>5</v>
      </c>
      <c r="B1058" s="1" t="s">
        <v>138</v>
      </c>
      <c r="C1058" s="4">
        <v>8</v>
      </c>
      <c r="D1058" s="8">
        <v>3.14</v>
      </c>
      <c r="E1058" s="4">
        <v>8</v>
      </c>
      <c r="F1058" s="8">
        <v>4.4400000000000004</v>
      </c>
      <c r="G1058" s="4">
        <v>0</v>
      </c>
      <c r="H1058" s="8">
        <v>0</v>
      </c>
      <c r="I1058" s="4">
        <v>0</v>
      </c>
    </row>
    <row r="1059" spans="1:9" x14ac:dyDescent="0.2">
      <c r="A1059" s="2">
        <v>5</v>
      </c>
      <c r="B1059" s="1" t="s">
        <v>205</v>
      </c>
      <c r="C1059" s="4">
        <v>8</v>
      </c>
      <c r="D1059" s="8">
        <v>3.14</v>
      </c>
      <c r="E1059" s="4">
        <v>7</v>
      </c>
      <c r="F1059" s="8">
        <v>3.89</v>
      </c>
      <c r="G1059" s="4">
        <v>1</v>
      </c>
      <c r="H1059" s="8">
        <v>1.61</v>
      </c>
      <c r="I1059" s="4">
        <v>0</v>
      </c>
    </row>
    <row r="1060" spans="1:9" x14ac:dyDescent="0.2">
      <c r="A1060" s="2">
        <v>9</v>
      </c>
      <c r="B1060" s="1" t="s">
        <v>127</v>
      </c>
      <c r="C1060" s="4">
        <v>7</v>
      </c>
      <c r="D1060" s="8">
        <v>2.75</v>
      </c>
      <c r="E1060" s="4">
        <v>7</v>
      </c>
      <c r="F1060" s="8">
        <v>3.89</v>
      </c>
      <c r="G1060" s="4">
        <v>0</v>
      </c>
      <c r="H1060" s="8">
        <v>0</v>
      </c>
      <c r="I1060" s="4">
        <v>0</v>
      </c>
    </row>
    <row r="1061" spans="1:9" x14ac:dyDescent="0.2">
      <c r="A1061" s="2">
        <v>9</v>
      </c>
      <c r="B1061" s="1" t="s">
        <v>129</v>
      </c>
      <c r="C1061" s="4">
        <v>7</v>
      </c>
      <c r="D1061" s="8">
        <v>2.75</v>
      </c>
      <c r="E1061" s="4">
        <v>7</v>
      </c>
      <c r="F1061" s="8">
        <v>3.89</v>
      </c>
      <c r="G1061" s="4">
        <v>0</v>
      </c>
      <c r="H1061" s="8">
        <v>0</v>
      </c>
      <c r="I1061" s="4">
        <v>0</v>
      </c>
    </row>
    <row r="1062" spans="1:9" x14ac:dyDescent="0.2">
      <c r="A1062" s="2">
        <v>9</v>
      </c>
      <c r="B1062" s="1" t="s">
        <v>132</v>
      </c>
      <c r="C1062" s="4">
        <v>7</v>
      </c>
      <c r="D1062" s="8">
        <v>2.75</v>
      </c>
      <c r="E1062" s="4">
        <v>6</v>
      </c>
      <c r="F1062" s="8">
        <v>3.33</v>
      </c>
      <c r="G1062" s="4">
        <v>1</v>
      </c>
      <c r="H1062" s="8">
        <v>1.61</v>
      </c>
      <c r="I1062" s="4">
        <v>0</v>
      </c>
    </row>
    <row r="1063" spans="1:9" x14ac:dyDescent="0.2">
      <c r="A1063" s="2">
        <v>9</v>
      </c>
      <c r="B1063" s="1" t="s">
        <v>165</v>
      </c>
      <c r="C1063" s="4">
        <v>7</v>
      </c>
      <c r="D1063" s="8">
        <v>2.75</v>
      </c>
      <c r="E1063" s="4">
        <v>2</v>
      </c>
      <c r="F1063" s="8">
        <v>1.1100000000000001</v>
      </c>
      <c r="G1063" s="4">
        <v>2</v>
      </c>
      <c r="H1063" s="8">
        <v>3.23</v>
      </c>
      <c r="I1063" s="4">
        <v>3</v>
      </c>
    </row>
    <row r="1064" spans="1:9" x14ac:dyDescent="0.2">
      <c r="A1064" s="2">
        <v>13</v>
      </c>
      <c r="B1064" s="1" t="s">
        <v>139</v>
      </c>
      <c r="C1064" s="4">
        <v>6</v>
      </c>
      <c r="D1064" s="8">
        <v>2.35</v>
      </c>
      <c r="E1064" s="4">
        <v>6</v>
      </c>
      <c r="F1064" s="8">
        <v>3.33</v>
      </c>
      <c r="G1064" s="4">
        <v>0</v>
      </c>
      <c r="H1064" s="8">
        <v>0</v>
      </c>
      <c r="I1064" s="4">
        <v>0</v>
      </c>
    </row>
    <row r="1065" spans="1:9" x14ac:dyDescent="0.2">
      <c r="A1065" s="2">
        <v>13</v>
      </c>
      <c r="B1065" s="1" t="s">
        <v>142</v>
      </c>
      <c r="C1065" s="4">
        <v>6</v>
      </c>
      <c r="D1065" s="8">
        <v>2.35</v>
      </c>
      <c r="E1065" s="4">
        <v>6</v>
      </c>
      <c r="F1065" s="8">
        <v>3.33</v>
      </c>
      <c r="G1065" s="4">
        <v>0</v>
      </c>
      <c r="H1065" s="8">
        <v>0</v>
      </c>
      <c r="I1065" s="4">
        <v>0</v>
      </c>
    </row>
    <row r="1066" spans="1:9" x14ac:dyDescent="0.2">
      <c r="A1066" s="2">
        <v>15</v>
      </c>
      <c r="B1066" s="1" t="s">
        <v>207</v>
      </c>
      <c r="C1066" s="4">
        <v>5</v>
      </c>
      <c r="D1066" s="8">
        <v>1.96</v>
      </c>
      <c r="E1066" s="4">
        <v>2</v>
      </c>
      <c r="F1066" s="8">
        <v>1.1100000000000001</v>
      </c>
      <c r="G1066" s="4">
        <v>3</v>
      </c>
      <c r="H1066" s="8">
        <v>4.84</v>
      </c>
      <c r="I1066" s="4">
        <v>0</v>
      </c>
    </row>
    <row r="1067" spans="1:9" x14ac:dyDescent="0.2">
      <c r="A1067" s="2">
        <v>15</v>
      </c>
      <c r="B1067" s="1" t="s">
        <v>130</v>
      </c>
      <c r="C1067" s="4">
        <v>5</v>
      </c>
      <c r="D1067" s="8">
        <v>1.96</v>
      </c>
      <c r="E1067" s="4">
        <v>5</v>
      </c>
      <c r="F1067" s="8">
        <v>2.78</v>
      </c>
      <c r="G1067" s="4">
        <v>0</v>
      </c>
      <c r="H1067" s="8">
        <v>0</v>
      </c>
      <c r="I1067" s="4">
        <v>0</v>
      </c>
    </row>
    <row r="1068" spans="1:9" x14ac:dyDescent="0.2">
      <c r="A1068" s="2">
        <v>15</v>
      </c>
      <c r="B1068" s="1" t="s">
        <v>143</v>
      </c>
      <c r="C1068" s="4">
        <v>5</v>
      </c>
      <c r="D1068" s="8">
        <v>1.96</v>
      </c>
      <c r="E1068" s="4">
        <v>2</v>
      </c>
      <c r="F1068" s="8">
        <v>1.1100000000000001</v>
      </c>
      <c r="G1068" s="4">
        <v>3</v>
      </c>
      <c r="H1068" s="8">
        <v>4.84</v>
      </c>
      <c r="I1068" s="4">
        <v>0</v>
      </c>
    </row>
    <row r="1069" spans="1:9" x14ac:dyDescent="0.2">
      <c r="A1069" s="2">
        <v>18</v>
      </c>
      <c r="B1069" s="1" t="s">
        <v>155</v>
      </c>
      <c r="C1069" s="4">
        <v>4</v>
      </c>
      <c r="D1069" s="8">
        <v>1.57</v>
      </c>
      <c r="E1069" s="4">
        <v>2</v>
      </c>
      <c r="F1069" s="8">
        <v>1.1100000000000001</v>
      </c>
      <c r="G1069" s="4">
        <v>2</v>
      </c>
      <c r="H1069" s="8">
        <v>3.23</v>
      </c>
      <c r="I1069" s="4">
        <v>0</v>
      </c>
    </row>
    <row r="1070" spans="1:9" x14ac:dyDescent="0.2">
      <c r="A1070" s="2">
        <v>18</v>
      </c>
      <c r="B1070" s="1" t="s">
        <v>152</v>
      </c>
      <c r="C1070" s="4">
        <v>4</v>
      </c>
      <c r="D1070" s="8">
        <v>1.57</v>
      </c>
      <c r="E1070" s="4">
        <v>4</v>
      </c>
      <c r="F1070" s="8">
        <v>2.2200000000000002</v>
      </c>
      <c r="G1070" s="4">
        <v>0</v>
      </c>
      <c r="H1070" s="8">
        <v>0</v>
      </c>
      <c r="I1070" s="4">
        <v>0</v>
      </c>
    </row>
    <row r="1071" spans="1:9" x14ac:dyDescent="0.2">
      <c r="A1071" s="2">
        <v>20</v>
      </c>
      <c r="B1071" s="1" t="s">
        <v>126</v>
      </c>
      <c r="C1071" s="4">
        <v>3</v>
      </c>
      <c r="D1071" s="8">
        <v>1.18</v>
      </c>
      <c r="E1071" s="4">
        <v>1</v>
      </c>
      <c r="F1071" s="8">
        <v>0.56000000000000005</v>
      </c>
      <c r="G1071" s="4">
        <v>2</v>
      </c>
      <c r="H1071" s="8">
        <v>3.23</v>
      </c>
      <c r="I1071" s="4">
        <v>0</v>
      </c>
    </row>
    <row r="1072" spans="1:9" x14ac:dyDescent="0.2">
      <c r="A1072" s="2">
        <v>20</v>
      </c>
      <c r="B1072" s="1" t="s">
        <v>172</v>
      </c>
      <c r="C1072" s="4">
        <v>3</v>
      </c>
      <c r="D1072" s="8">
        <v>1.18</v>
      </c>
      <c r="E1072" s="4">
        <v>3</v>
      </c>
      <c r="F1072" s="8">
        <v>1.67</v>
      </c>
      <c r="G1072" s="4">
        <v>0</v>
      </c>
      <c r="H1072" s="8">
        <v>0</v>
      </c>
      <c r="I1072" s="4">
        <v>0</v>
      </c>
    </row>
    <row r="1073" spans="1:9" x14ac:dyDescent="0.2">
      <c r="A1073" s="2">
        <v>20</v>
      </c>
      <c r="B1073" s="1" t="s">
        <v>204</v>
      </c>
      <c r="C1073" s="4">
        <v>3</v>
      </c>
      <c r="D1073" s="8">
        <v>1.18</v>
      </c>
      <c r="E1073" s="4">
        <v>3</v>
      </c>
      <c r="F1073" s="8">
        <v>1.67</v>
      </c>
      <c r="G1073" s="4">
        <v>0</v>
      </c>
      <c r="H1073" s="8">
        <v>0</v>
      </c>
      <c r="I1073" s="4">
        <v>0</v>
      </c>
    </row>
    <row r="1074" spans="1:9" x14ac:dyDescent="0.2">
      <c r="A1074" s="2">
        <v>20</v>
      </c>
      <c r="B1074" s="1" t="s">
        <v>147</v>
      </c>
      <c r="C1074" s="4">
        <v>3</v>
      </c>
      <c r="D1074" s="8">
        <v>1.18</v>
      </c>
      <c r="E1074" s="4">
        <v>2</v>
      </c>
      <c r="F1074" s="8">
        <v>1.1100000000000001</v>
      </c>
      <c r="G1074" s="4">
        <v>1</v>
      </c>
      <c r="H1074" s="8">
        <v>1.61</v>
      </c>
      <c r="I1074" s="4">
        <v>0</v>
      </c>
    </row>
    <row r="1075" spans="1:9" x14ac:dyDescent="0.2">
      <c r="A1075" s="2">
        <v>20</v>
      </c>
      <c r="B1075" s="1" t="s">
        <v>208</v>
      </c>
      <c r="C1075" s="4">
        <v>3</v>
      </c>
      <c r="D1075" s="8">
        <v>1.18</v>
      </c>
      <c r="E1075" s="4">
        <v>1</v>
      </c>
      <c r="F1075" s="8">
        <v>0.56000000000000005</v>
      </c>
      <c r="G1075" s="4">
        <v>2</v>
      </c>
      <c r="H1075" s="8">
        <v>3.23</v>
      </c>
      <c r="I1075" s="4">
        <v>0</v>
      </c>
    </row>
    <row r="1076" spans="1:9" x14ac:dyDescent="0.2">
      <c r="A1076" s="2">
        <v>20</v>
      </c>
      <c r="B1076" s="1" t="s">
        <v>156</v>
      </c>
      <c r="C1076" s="4">
        <v>3</v>
      </c>
      <c r="D1076" s="8">
        <v>1.18</v>
      </c>
      <c r="E1076" s="4">
        <v>3</v>
      </c>
      <c r="F1076" s="8">
        <v>1.67</v>
      </c>
      <c r="G1076" s="4">
        <v>0</v>
      </c>
      <c r="H1076" s="8">
        <v>0</v>
      </c>
      <c r="I1076" s="4">
        <v>0</v>
      </c>
    </row>
    <row r="1077" spans="1:9" x14ac:dyDescent="0.2">
      <c r="A1077" s="1"/>
      <c r="C1077" s="4"/>
      <c r="D1077" s="8"/>
      <c r="E1077" s="4"/>
      <c r="F1077" s="8"/>
      <c r="G1077" s="4"/>
      <c r="H1077" s="8"/>
      <c r="I107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3952-5108-4732-9464-B9ADE401986D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23</v>
      </c>
      <c r="D6" s="8">
        <v>6.18</v>
      </c>
      <c r="E6" s="12">
        <v>5</v>
      </c>
      <c r="F6" s="8">
        <v>1.89</v>
      </c>
      <c r="G6" s="12">
        <v>18</v>
      </c>
      <c r="H6" s="8">
        <v>18.95</v>
      </c>
      <c r="I6" s="12">
        <v>0</v>
      </c>
    </row>
    <row r="7" spans="2:9" ht="15" customHeight="1" x14ac:dyDescent="0.2">
      <c r="B7" t="s">
        <v>46</v>
      </c>
      <c r="C7" s="12">
        <v>21</v>
      </c>
      <c r="D7" s="8">
        <v>5.65</v>
      </c>
      <c r="E7" s="12">
        <v>12</v>
      </c>
      <c r="F7" s="8">
        <v>4.53</v>
      </c>
      <c r="G7" s="12">
        <v>9</v>
      </c>
      <c r="H7" s="8">
        <v>9.4700000000000006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11</v>
      </c>
      <c r="D10" s="8">
        <v>2.96</v>
      </c>
      <c r="E10" s="12">
        <v>6</v>
      </c>
      <c r="F10" s="8">
        <v>2.2599999999999998</v>
      </c>
      <c r="G10" s="12">
        <v>5</v>
      </c>
      <c r="H10" s="8">
        <v>5.26</v>
      </c>
      <c r="I10" s="12">
        <v>0</v>
      </c>
    </row>
    <row r="11" spans="2:9" ht="15" customHeight="1" x14ac:dyDescent="0.2">
      <c r="B11" t="s">
        <v>50</v>
      </c>
      <c r="C11" s="12">
        <v>108</v>
      </c>
      <c r="D11" s="8">
        <v>29.03</v>
      </c>
      <c r="E11" s="12">
        <v>83</v>
      </c>
      <c r="F11" s="8">
        <v>31.32</v>
      </c>
      <c r="G11" s="12">
        <v>25</v>
      </c>
      <c r="H11" s="8">
        <v>26.32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0.27</v>
      </c>
      <c r="E12" s="12">
        <v>0</v>
      </c>
      <c r="F12" s="8">
        <v>0</v>
      </c>
      <c r="G12" s="12">
        <v>1</v>
      </c>
      <c r="H12" s="8">
        <v>1.05</v>
      </c>
      <c r="I12" s="12">
        <v>0</v>
      </c>
    </row>
    <row r="13" spans="2:9" ht="15" customHeight="1" x14ac:dyDescent="0.2">
      <c r="B13" t="s">
        <v>52</v>
      </c>
      <c r="C13" s="12">
        <v>23</v>
      </c>
      <c r="D13" s="8">
        <v>6.18</v>
      </c>
      <c r="E13" s="12">
        <v>8</v>
      </c>
      <c r="F13" s="8">
        <v>3.02</v>
      </c>
      <c r="G13" s="12">
        <v>15</v>
      </c>
      <c r="H13" s="8">
        <v>15.79</v>
      </c>
      <c r="I13" s="12">
        <v>0</v>
      </c>
    </row>
    <row r="14" spans="2:9" ht="15" customHeight="1" x14ac:dyDescent="0.2">
      <c r="B14" t="s">
        <v>53</v>
      </c>
      <c r="C14" s="12">
        <v>11</v>
      </c>
      <c r="D14" s="8">
        <v>2.96</v>
      </c>
      <c r="E14" s="12">
        <v>6</v>
      </c>
      <c r="F14" s="8">
        <v>2.2599999999999998</v>
      </c>
      <c r="G14" s="12">
        <v>4</v>
      </c>
      <c r="H14" s="8">
        <v>4.21</v>
      </c>
      <c r="I14" s="12">
        <v>0</v>
      </c>
    </row>
    <row r="15" spans="2:9" ht="15" customHeight="1" x14ac:dyDescent="0.2">
      <c r="B15" t="s">
        <v>54</v>
      </c>
      <c r="C15" s="12">
        <v>94</v>
      </c>
      <c r="D15" s="8">
        <v>25.27</v>
      </c>
      <c r="E15" s="12">
        <v>91</v>
      </c>
      <c r="F15" s="8">
        <v>34.340000000000003</v>
      </c>
      <c r="G15" s="12">
        <v>3</v>
      </c>
      <c r="H15" s="8">
        <v>3.16</v>
      </c>
      <c r="I15" s="12">
        <v>0</v>
      </c>
    </row>
    <row r="16" spans="2:9" ht="15" customHeight="1" x14ac:dyDescent="0.2">
      <c r="B16" t="s">
        <v>55</v>
      </c>
      <c r="C16" s="12">
        <v>51</v>
      </c>
      <c r="D16" s="8">
        <v>13.71</v>
      </c>
      <c r="E16" s="12">
        <v>44</v>
      </c>
      <c r="F16" s="8">
        <v>16.600000000000001</v>
      </c>
      <c r="G16" s="12">
        <v>5</v>
      </c>
      <c r="H16" s="8">
        <v>5.26</v>
      </c>
      <c r="I16" s="12">
        <v>0</v>
      </c>
    </row>
    <row r="17" spans="2:9" ht="15" customHeight="1" x14ac:dyDescent="0.2">
      <c r="B17" t="s">
        <v>56</v>
      </c>
      <c r="C17" s="12">
        <v>8</v>
      </c>
      <c r="D17" s="8">
        <v>2.15</v>
      </c>
      <c r="E17" s="12">
        <v>3</v>
      </c>
      <c r="F17" s="8">
        <v>1.1299999999999999</v>
      </c>
      <c r="G17" s="12">
        <v>2</v>
      </c>
      <c r="H17" s="8">
        <v>2.11</v>
      </c>
      <c r="I17" s="12">
        <v>0</v>
      </c>
    </row>
    <row r="18" spans="2:9" ht="15" customHeight="1" x14ac:dyDescent="0.2">
      <c r="B18" t="s">
        <v>57</v>
      </c>
      <c r="C18" s="12">
        <v>11</v>
      </c>
      <c r="D18" s="8">
        <v>2.96</v>
      </c>
      <c r="E18" s="12">
        <v>2</v>
      </c>
      <c r="F18" s="8">
        <v>0.75</v>
      </c>
      <c r="G18" s="12">
        <v>5</v>
      </c>
      <c r="H18" s="8">
        <v>5.26</v>
      </c>
      <c r="I18" s="12">
        <v>0</v>
      </c>
    </row>
    <row r="19" spans="2:9" ht="15" customHeight="1" x14ac:dyDescent="0.2">
      <c r="B19" t="s">
        <v>58</v>
      </c>
      <c r="C19" s="12">
        <v>10</v>
      </c>
      <c r="D19" s="8">
        <v>2.69</v>
      </c>
      <c r="E19" s="12">
        <v>5</v>
      </c>
      <c r="F19" s="8">
        <v>1.89</v>
      </c>
      <c r="G19" s="12">
        <v>3</v>
      </c>
      <c r="H19" s="8">
        <v>3.16</v>
      </c>
      <c r="I19" s="12">
        <v>0</v>
      </c>
    </row>
    <row r="20" spans="2:9" ht="15" customHeight="1" x14ac:dyDescent="0.2">
      <c r="B20" s="9" t="s">
        <v>241</v>
      </c>
      <c r="C20" s="12">
        <f>SUM(LTBL_46525[総数／事業所数])</f>
        <v>372</v>
      </c>
      <c r="E20" s="12">
        <f>SUBTOTAL(109,LTBL_46525[個人／事業所数])</f>
        <v>265</v>
      </c>
      <c r="G20" s="12">
        <f>SUBTOTAL(109,LTBL_46525[法人／事業所数])</f>
        <v>95</v>
      </c>
      <c r="I20" s="12">
        <f>SUBTOTAL(109,LTBL_46525[法人以外の団体／事業所数])</f>
        <v>0</v>
      </c>
    </row>
    <row r="21" spans="2:9" ht="15" customHeight="1" x14ac:dyDescent="0.2">
      <c r="E21" s="11">
        <f>LTBL_46525[[#Totals],[個人／事業所数]]/LTBL_46525[[#Totals],[総数／事業所数]]</f>
        <v>0.7123655913978495</v>
      </c>
      <c r="G21" s="11">
        <f>LTBL_46525[[#Totals],[法人／事業所数]]/LTBL_46525[[#Totals],[総数／事業所数]]</f>
        <v>0.2553763440860215</v>
      </c>
      <c r="I21" s="11">
        <f>LTBL_46525[[#Totals],[法人以外の団体／事業所数]]/LTBL_46525[[#Totals],[総数／事業所数]]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68</v>
      </c>
      <c r="D24" s="8">
        <v>18.28</v>
      </c>
      <c r="E24" s="12">
        <v>66</v>
      </c>
      <c r="F24" s="8">
        <v>24.91</v>
      </c>
      <c r="G24" s="12">
        <v>2</v>
      </c>
      <c r="H24" s="8">
        <v>2.11</v>
      </c>
      <c r="I24" s="12">
        <v>0</v>
      </c>
    </row>
    <row r="25" spans="2:9" ht="15" customHeight="1" x14ac:dyDescent="0.2">
      <c r="B25" t="s">
        <v>73</v>
      </c>
      <c r="C25" s="12">
        <v>63</v>
      </c>
      <c r="D25" s="8">
        <v>16.940000000000001</v>
      </c>
      <c r="E25" s="12">
        <v>54</v>
      </c>
      <c r="F25" s="8">
        <v>20.38</v>
      </c>
      <c r="G25" s="12">
        <v>9</v>
      </c>
      <c r="H25" s="8">
        <v>9.4700000000000006</v>
      </c>
      <c r="I25" s="12">
        <v>0</v>
      </c>
    </row>
    <row r="26" spans="2:9" ht="15" customHeight="1" x14ac:dyDescent="0.2">
      <c r="B26" t="s">
        <v>82</v>
      </c>
      <c r="C26" s="12">
        <v>34</v>
      </c>
      <c r="D26" s="8">
        <v>9.14</v>
      </c>
      <c r="E26" s="12">
        <v>33</v>
      </c>
      <c r="F26" s="8">
        <v>12.45</v>
      </c>
      <c r="G26" s="12">
        <v>1</v>
      </c>
      <c r="H26" s="8">
        <v>1.05</v>
      </c>
      <c r="I26" s="12">
        <v>0</v>
      </c>
    </row>
    <row r="27" spans="2:9" ht="15" customHeight="1" x14ac:dyDescent="0.2">
      <c r="B27" t="s">
        <v>75</v>
      </c>
      <c r="C27" s="12">
        <v>23</v>
      </c>
      <c r="D27" s="8">
        <v>6.18</v>
      </c>
      <c r="E27" s="12">
        <v>14</v>
      </c>
      <c r="F27" s="8">
        <v>5.28</v>
      </c>
      <c r="G27" s="12">
        <v>9</v>
      </c>
      <c r="H27" s="8">
        <v>9.4700000000000006</v>
      </c>
      <c r="I27" s="12">
        <v>0</v>
      </c>
    </row>
    <row r="28" spans="2:9" ht="15" customHeight="1" x14ac:dyDescent="0.2">
      <c r="B28" t="s">
        <v>80</v>
      </c>
      <c r="C28" s="12">
        <v>22</v>
      </c>
      <c r="D28" s="8">
        <v>5.91</v>
      </c>
      <c r="E28" s="12">
        <v>22</v>
      </c>
      <c r="F28" s="8">
        <v>8.3000000000000007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77</v>
      </c>
      <c r="C29" s="12">
        <v>15</v>
      </c>
      <c r="D29" s="8">
        <v>4.03</v>
      </c>
      <c r="E29" s="12">
        <v>6</v>
      </c>
      <c r="F29" s="8">
        <v>2.2599999999999998</v>
      </c>
      <c r="G29" s="12">
        <v>9</v>
      </c>
      <c r="H29" s="8">
        <v>9.4700000000000006</v>
      </c>
      <c r="I29" s="12">
        <v>0</v>
      </c>
    </row>
    <row r="30" spans="2:9" ht="15" customHeight="1" x14ac:dyDescent="0.2">
      <c r="B30" t="s">
        <v>94</v>
      </c>
      <c r="C30" s="12">
        <v>11</v>
      </c>
      <c r="D30" s="8">
        <v>2.96</v>
      </c>
      <c r="E30" s="12">
        <v>8</v>
      </c>
      <c r="F30" s="8">
        <v>3.02</v>
      </c>
      <c r="G30" s="12">
        <v>2</v>
      </c>
      <c r="H30" s="8">
        <v>2.11</v>
      </c>
      <c r="I30" s="12">
        <v>0</v>
      </c>
    </row>
    <row r="31" spans="2:9" ht="15" customHeight="1" x14ac:dyDescent="0.2">
      <c r="B31" t="s">
        <v>69</v>
      </c>
      <c r="C31" s="12">
        <v>9</v>
      </c>
      <c r="D31" s="8">
        <v>2.42</v>
      </c>
      <c r="E31" s="12">
        <v>2</v>
      </c>
      <c r="F31" s="8">
        <v>0.75</v>
      </c>
      <c r="G31" s="12">
        <v>7</v>
      </c>
      <c r="H31" s="8">
        <v>7.37</v>
      </c>
      <c r="I31" s="12">
        <v>0</v>
      </c>
    </row>
    <row r="32" spans="2:9" ht="15" customHeight="1" x14ac:dyDescent="0.2">
      <c r="B32" t="s">
        <v>70</v>
      </c>
      <c r="C32" s="12">
        <v>9</v>
      </c>
      <c r="D32" s="8">
        <v>2.42</v>
      </c>
      <c r="E32" s="12">
        <v>9</v>
      </c>
      <c r="F32" s="8">
        <v>3.4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67</v>
      </c>
      <c r="C33" s="12">
        <v>8</v>
      </c>
      <c r="D33" s="8">
        <v>2.15</v>
      </c>
      <c r="E33" s="12">
        <v>1</v>
      </c>
      <c r="F33" s="8">
        <v>0.38</v>
      </c>
      <c r="G33" s="12">
        <v>7</v>
      </c>
      <c r="H33" s="8">
        <v>7.37</v>
      </c>
      <c r="I33" s="12">
        <v>0</v>
      </c>
    </row>
    <row r="34" spans="2:9" ht="15" customHeight="1" x14ac:dyDescent="0.2">
      <c r="B34" t="s">
        <v>72</v>
      </c>
      <c r="C34" s="12">
        <v>8</v>
      </c>
      <c r="D34" s="8">
        <v>2.15</v>
      </c>
      <c r="E34" s="12">
        <v>6</v>
      </c>
      <c r="F34" s="8">
        <v>2.2599999999999998</v>
      </c>
      <c r="G34" s="12">
        <v>2</v>
      </c>
      <c r="H34" s="8">
        <v>2.11</v>
      </c>
      <c r="I34" s="12">
        <v>0</v>
      </c>
    </row>
    <row r="35" spans="2:9" ht="15" customHeight="1" x14ac:dyDescent="0.2">
      <c r="B35" t="s">
        <v>83</v>
      </c>
      <c r="C35" s="12">
        <v>8</v>
      </c>
      <c r="D35" s="8">
        <v>2.15</v>
      </c>
      <c r="E35" s="12">
        <v>3</v>
      </c>
      <c r="F35" s="8">
        <v>1.1299999999999999</v>
      </c>
      <c r="G35" s="12">
        <v>2</v>
      </c>
      <c r="H35" s="8">
        <v>2.11</v>
      </c>
      <c r="I35" s="12">
        <v>0</v>
      </c>
    </row>
    <row r="36" spans="2:9" ht="15" customHeight="1" x14ac:dyDescent="0.2">
      <c r="B36" t="s">
        <v>85</v>
      </c>
      <c r="C36" s="12">
        <v>7</v>
      </c>
      <c r="D36" s="8">
        <v>1.88</v>
      </c>
      <c r="E36" s="12">
        <v>0</v>
      </c>
      <c r="F36" s="8">
        <v>0</v>
      </c>
      <c r="G36" s="12">
        <v>3</v>
      </c>
      <c r="H36" s="8">
        <v>3.16</v>
      </c>
      <c r="I36" s="12">
        <v>0</v>
      </c>
    </row>
    <row r="37" spans="2:9" ht="15" customHeight="1" x14ac:dyDescent="0.2">
      <c r="B37" t="s">
        <v>68</v>
      </c>
      <c r="C37" s="12">
        <v>6</v>
      </c>
      <c r="D37" s="8">
        <v>1.61</v>
      </c>
      <c r="E37" s="12">
        <v>2</v>
      </c>
      <c r="F37" s="8">
        <v>0.75</v>
      </c>
      <c r="G37" s="12">
        <v>4</v>
      </c>
      <c r="H37" s="8">
        <v>4.21</v>
      </c>
      <c r="I37" s="12">
        <v>0</v>
      </c>
    </row>
    <row r="38" spans="2:9" ht="15" customHeight="1" x14ac:dyDescent="0.2">
      <c r="B38" t="s">
        <v>91</v>
      </c>
      <c r="C38" s="12">
        <v>6</v>
      </c>
      <c r="D38" s="8">
        <v>1.61</v>
      </c>
      <c r="E38" s="12">
        <v>3</v>
      </c>
      <c r="F38" s="8">
        <v>1.1299999999999999</v>
      </c>
      <c r="G38" s="12">
        <v>2</v>
      </c>
      <c r="H38" s="8">
        <v>2.11</v>
      </c>
      <c r="I38" s="12">
        <v>0</v>
      </c>
    </row>
    <row r="39" spans="2:9" ht="15" customHeight="1" x14ac:dyDescent="0.2">
      <c r="B39" t="s">
        <v>119</v>
      </c>
      <c r="C39" s="12">
        <v>5</v>
      </c>
      <c r="D39" s="8">
        <v>1.34</v>
      </c>
      <c r="E39" s="12">
        <v>3</v>
      </c>
      <c r="F39" s="8">
        <v>1.1299999999999999</v>
      </c>
      <c r="G39" s="12">
        <v>2</v>
      </c>
      <c r="H39" s="8">
        <v>2.11</v>
      </c>
      <c r="I39" s="12">
        <v>0</v>
      </c>
    </row>
    <row r="40" spans="2:9" ht="15" customHeight="1" x14ac:dyDescent="0.2">
      <c r="B40" t="s">
        <v>113</v>
      </c>
      <c r="C40" s="12">
        <v>5</v>
      </c>
      <c r="D40" s="8">
        <v>1.34</v>
      </c>
      <c r="E40" s="12">
        <v>1</v>
      </c>
      <c r="F40" s="8">
        <v>0.38</v>
      </c>
      <c r="G40" s="12">
        <v>4</v>
      </c>
      <c r="H40" s="8">
        <v>4.21</v>
      </c>
      <c r="I40" s="12">
        <v>0</v>
      </c>
    </row>
    <row r="41" spans="2:9" ht="15" customHeight="1" x14ac:dyDescent="0.2">
      <c r="B41" t="s">
        <v>79</v>
      </c>
      <c r="C41" s="12">
        <v>5</v>
      </c>
      <c r="D41" s="8">
        <v>1.34</v>
      </c>
      <c r="E41" s="12">
        <v>3</v>
      </c>
      <c r="F41" s="8">
        <v>1.1299999999999999</v>
      </c>
      <c r="G41" s="12">
        <v>2</v>
      </c>
      <c r="H41" s="8">
        <v>2.11</v>
      </c>
      <c r="I41" s="12">
        <v>0</v>
      </c>
    </row>
    <row r="42" spans="2:9" ht="15" customHeight="1" x14ac:dyDescent="0.2">
      <c r="B42" t="s">
        <v>98</v>
      </c>
      <c r="C42" s="12">
        <v>4</v>
      </c>
      <c r="D42" s="8">
        <v>1.08</v>
      </c>
      <c r="E42" s="12">
        <v>1</v>
      </c>
      <c r="F42" s="8">
        <v>0.38</v>
      </c>
      <c r="G42" s="12">
        <v>3</v>
      </c>
      <c r="H42" s="8">
        <v>3.16</v>
      </c>
      <c r="I42" s="12">
        <v>0</v>
      </c>
    </row>
    <row r="43" spans="2:9" ht="15" customHeight="1" x14ac:dyDescent="0.2">
      <c r="B43" t="s">
        <v>71</v>
      </c>
      <c r="C43" s="12">
        <v>4</v>
      </c>
      <c r="D43" s="8">
        <v>1.08</v>
      </c>
      <c r="E43" s="12">
        <v>1</v>
      </c>
      <c r="F43" s="8">
        <v>0.38</v>
      </c>
      <c r="G43" s="12">
        <v>3</v>
      </c>
      <c r="H43" s="8">
        <v>3.16</v>
      </c>
      <c r="I43" s="12">
        <v>0</v>
      </c>
    </row>
    <row r="44" spans="2:9" ht="15" customHeight="1" x14ac:dyDescent="0.2">
      <c r="B44" t="s">
        <v>74</v>
      </c>
      <c r="C44" s="12">
        <v>4</v>
      </c>
      <c r="D44" s="8">
        <v>1.08</v>
      </c>
      <c r="E44" s="12">
        <v>4</v>
      </c>
      <c r="F44" s="8">
        <v>1.51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93</v>
      </c>
      <c r="C45" s="12">
        <v>4</v>
      </c>
      <c r="D45" s="8">
        <v>1.08</v>
      </c>
      <c r="E45" s="12">
        <v>3</v>
      </c>
      <c r="F45" s="8">
        <v>1.1299999999999999</v>
      </c>
      <c r="G45" s="12">
        <v>1</v>
      </c>
      <c r="H45" s="8">
        <v>1.05</v>
      </c>
      <c r="I45" s="12">
        <v>0</v>
      </c>
    </row>
    <row r="46" spans="2:9" ht="15" customHeight="1" x14ac:dyDescent="0.2">
      <c r="B46" t="s">
        <v>84</v>
      </c>
      <c r="C46" s="12">
        <v>4</v>
      </c>
      <c r="D46" s="8">
        <v>1.08</v>
      </c>
      <c r="E46" s="12">
        <v>2</v>
      </c>
      <c r="F46" s="8">
        <v>0.75</v>
      </c>
      <c r="G46" s="12">
        <v>2</v>
      </c>
      <c r="H46" s="8">
        <v>2.11</v>
      </c>
      <c r="I46" s="12">
        <v>0</v>
      </c>
    </row>
    <row r="47" spans="2:9" ht="15" customHeight="1" x14ac:dyDescent="0.2">
      <c r="B47" t="s">
        <v>86</v>
      </c>
      <c r="C47" s="12">
        <v>4</v>
      </c>
      <c r="D47" s="8">
        <v>1.08</v>
      </c>
      <c r="E47" s="12">
        <v>3</v>
      </c>
      <c r="F47" s="8">
        <v>1.1299999999999999</v>
      </c>
      <c r="G47" s="12">
        <v>1</v>
      </c>
      <c r="H47" s="8">
        <v>1.05</v>
      </c>
      <c r="I47" s="12">
        <v>0</v>
      </c>
    </row>
    <row r="50" spans="2:9" ht="33" customHeight="1" x14ac:dyDescent="0.2">
      <c r="B50" t="s">
        <v>243</v>
      </c>
      <c r="C50" s="10" t="s">
        <v>60</v>
      </c>
      <c r="D50" s="10" t="s">
        <v>61</v>
      </c>
      <c r="E50" s="10" t="s">
        <v>62</v>
      </c>
      <c r="F50" s="10" t="s">
        <v>63</v>
      </c>
      <c r="G50" s="10" t="s">
        <v>64</v>
      </c>
      <c r="H50" s="10" t="s">
        <v>65</v>
      </c>
      <c r="I50" s="10" t="s">
        <v>66</v>
      </c>
    </row>
    <row r="51" spans="2:9" ht="15" customHeight="1" x14ac:dyDescent="0.2">
      <c r="B51" t="s">
        <v>129</v>
      </c>
      <c r="C51" s="12">
        <v>27</v>
      </c>
      <c r="D51" s="8">
        <v>7.26</v>
      </c>
      <c r="E51" s="12">
        <v>23</v>
      </c>
      <c r="F51" s="8">
        <v>8.68</v>
      </c>
      <c r="G51" s="12">
        <v>4</v>
      </c>
      <c r="H51" s="8">
        <v>4.21</v>
      </c>
      <c r="I51" s="12">
        <v>0</v>
      </c>
    </row>
    <row r="52" spans="2:9" ht="15" customHeight="1" x14ac:dyDescent="0.2">
      <c r="B52" t="s">
        <v>137</v>
      </c>
      <c r="C52" s="12">
        <v>23</v>
      </c>
      <c r="D52" s="8">
        <v>6.18</v>
      </c>
      <c r="E52" s="12">
        <v>23</v>
      </c>
      <c r="F52" s="8">
        <v>8.68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127</v>
      </c>
      <c r="C53" s="12">
        <v>20</v>
      </c>
      <c r="D53" s="8">
        <v>5.38</v>
      </c>
      <c r="E53" s="12">
        <v>16</v>
      </c>
      <c r="F53" s="8">
        <v>6.04</v>
      </c>
      <c r="G53" s="12">
        <v>4</v>
      </c>
      <c r="H53" s="8">
        <v>4.21</v>
      </c>
      <c r="I53" s="12">
        <v>0</v>
      </c>
    </row>
    <row r="54" spans="2:9" ht="15" customHeight="1" x14ac:dyDescent="0.2">
      <c r="B54" t="s">
        <v>158</v>
      </c>
      <c r="C54" s="12">
        <v>18</v>
      </c>
      <c r="D54" s="8">
        <v>4.84</v>
      </c>
      <c r="E54" s="12">
        <v>18</v>
      </c>
      <c r="F54" s="8">
        <v>6.79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138</v>
      </c>
      <c r="C55" s="12">
        <v>16</v>
      </c>
      <c r="D55" s="8">
        <v>4.3</v>
      </c>
      <c r="E55" s="12">
        <v>14</v>
      </c>
      <c r="F55" s="8">
        <v>5.28</v>
      </c>
      <c r="G55" s="12">
        <v>2</v>
      </c>
      <c r="H55" s="8">
        <v>2.11</v>
      </c>
      <c r="I55" s="12">
        <v>0</v>
      </c>
    </row>
    <row r="56" spans="2:9" ht="15" customHeight="1" x14ac:dyDescent="0.2">
      <c r="B56" t="s">
        <v>140</v>
      </c>
      <c r="C56" s="12">
        <v>16</v>
      </c>
      <c r="D56" s="8">
        <v>4.3</v>
      </c>
      <c r="E56" s="12">
        <v>16</v>
      </c>
      <c r="F56" s="8">
        <v>6.04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13</v>
      </c>
      <c r="D57" s="8">
        <v>3.49</v>
      </c>
      <c r="E57" s="12">
        <v>13</v>
      </c>
      <c r="F57" s="8">
        <v>4.91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134</v>
      </c>
      <c r="C58" s="12">
        <v>10</v>
      </c>
      <c r="D58" s="8">
        <v>2.69</v>
      </c>
      <c r="E58" s="12">
        <v>4</v>
      </c>
      <c r="F58" s="8">
        <v>1.51</v>
      </c>
      <c r="G58" s="12">
        <v>6</v>
      </c>
      <c r="H58" s="8">
        <v>6.32</v>
      </c>
      <c r="I58" s="12">
        <v>0</v>
      </c>
    </row>
    <row r="59" spans="2:9" ht="15" customHeight="1" x14ac:dyDescent="0.2">
      <c r="B59" t="s">
        <v>167</v>
      </c>
      <c r="C59" s="12">
        <v>10</v>
      </c>
      <c r="D59" s="8">
        <v>2.69</v>
      </c>
      <c r="E59" s="12">
        <v>10</v>
      </c>
      <c r="F59" s="8">
        <v>3.77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205</v>
      </c>
      <c r="C60" s="12">
        <v>9</v>
      </c>
      <c r="D60" s="8">
        <v>2.42</v>
      </c>
      <c r="E60" s="12">
        <v>8</v>
      </c>
      <c r="F60" s="8">
        <v>3.02</v>
      </c>
      <c r="G60" s="12">
        <v>1</v>
      </c>
      <c r="H60" s="8">
        <v>1.05</v>
      </c>
      <c r="I60" s="12">
        <v>0</v>
      </c>
    </row>
    <row r="61" spans="2:9" ht="15" customHeight="1" x14ac:dyDescent="0.2">
      <c r="B61" t="s">
        <v>136</v>
      </c>
      <c r="C61" s="12">
        <v>8</v>
      </c>
      <c r="D61" s="8">
        <v>2.15</v>
      </c>
      <c r="E61" s="12">
        <v>8</v>
      </c>
      <c r="F61" s="8">
        <v>3.02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126</v>
      </c>
      <c r="C62" s="12">
        <v>7</v>
      </c>
      <c r="D62" s="8">
        <v>1.88</v>
      </c>
      <c r="E62" s="12">
        <v>1</v>
      </c>
      <c r="F62" s="8">
        <v>0.38</v>
      </c>
      <c r="G62" s="12">
        <v>6</v>
      </c>
      <c r="H62" s="8">
        <v>6.32</v>
      </c>
      <c r="I62" s="12">
        <v>0</v>
      </c>
    </row>
    <row r="63" spans="2:9" ht="15" customHeight="1" x14ac:dyDescent="0.2">
      <c r="B63" t="s">
        <v>204</v>
      </c>
      <c r="C63" s="12">
        <v>7</v>
      </c>
      <c r="D63" s="8">
        <v>1.88</v>
      </c>
      <c r="E63" s="12">
        <v>7</v>
      </c>
      <c r="F63" s="8">
        <v>2.64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128</v>
      </c>
      <c r="C64" s="12">
        <v>7</v>
      </c>
      <c r="D64" s="8">
        <v>1.88</v>
      </c>
      <c r="E64" s="12">
        <v>6</v>
      </c>
      <c r="F64" s="8">
        <v>2.2599999999999998</v>
      </c>
      <c r="G64" s="12">
        <v>1</v>
      </c>
      <c r="H64" s="8">
        <v>1.05</v>
      </c>
      <c r="I64" s="12">
        <v>0</v>
      </c>
    </row>
    <row r="65" spans="2:9" ht="15" customHeight="1" x14ac:dyDescent="0.2">
      <c r="B65" t="s">
        <v>156</v>
      </c>
      <c r="C65" s="12">
        <v>7</v>
      </c>
      <c r="D65" s="8">
        <v>1.88</v>
      </c>
      <c r="E65" s="12">
        <v>7</v>
      </c>
      <c r="F65" s="8">
        <v>2.64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124</v>
      </c>
      <c r="C66" s="12">
        <v>5</v>
      </c>
      <c r="D66" s="8">
        <v>1.34</v>
      </c>
      <c r="E66" s="12">
        <v>0</v>
      </c>
      <c r="F66" s="8">
        <v>0</v>
      </c>
      <c r="G66" s="12">
        <v>5</v>
      </c>
      <c r="H66" s="8">
        <v>5.26</v>
      </c>
      <c r="I66" s="12">
        <v>0</v>
      </c>
    </row>
    <row r="67" spans="2:9" ht="15" customHeight="1" x14ac:dyDescent="0.2">
      <c r="B67" t="s">
        <v>132</v>
      </c>
      <c r="C67" s="12">
        <v>5</v>
      </c>
      <c r="D67" s="8">
        <v>1.34</v>
      </c>
      <c r="E67" s="12">
        <v>3</v>
      </c>
      <c r="F67" s="8">
        <v>1.1299999999999999</v>
      </c>
      <c r="G67" s="12">
        <v>2</v>
      </c>
      <c r="H67" s="8">
        <v>2.11</v>
      </c>
      <c r="I67" s="12">
        <v>0</v>
      </c>
    </row>
    <row r="68" spans="2:9" ht="15" customHeight="1" x14ac:dyDescent="0.2">
      <c r="B68" t="s">
        <v>230</v>
      </c>
      <c r="C68" s="12">
        <v>5</v>
      </c>
      <c r="D68" s="8">
        <v>1.34</v>
      </c>
      <c r="E68" s="12">
        <v>3</v>
      </c>
      <c r="F68" s="8">
        <v>1.1299999999999999</v>
      </c>
      <c r="G68" s="12">
        <v>2</v>
      </c>
      <c r="H68" s="8">
        <v>2.11</v>
      </c>
      <c r="I68" s="12">
        <v>0</v>
      </c>
    </row>
    <row r="69" spans="2:9" ht="15" customHeight="1" x14ac:dyDescent="0.2">
      <c r="B69" t="s">
        <v>133</v>
      </c>
      <c r="C69" s="12">
        <v>5</v>
      </c>
      <c r="D69" s="8">
        <v>1.34</v>
      </c>
      <c r="E69" s="12">
        <v>3</v>
      </c>
      <c r="F69" s="8">
        <v>1.1299999999999999</v>
      </c>
      <c r="G69" s="12">
        <v>2</v>
      </c>
      <c r="H69" s="8">
        <v>2.11</v>
      </c>
      <c r="I69" s="12">
        <v>0</v>
      </c>
    </row>
    <row r="70" spans="2:9" ht="15" customHeight="1" x14ac:dyDescent="0.2">
      <c r="B70" t="s">
        <v>152</v>
      </c>
      <c r="C70" s="12">
        <v>4</v>
      </c>
      <c r="D70" s="8">
        <v>1.08</v>
      </c>
      <c r="E70" s="12">
        <v>3</v>
      </c>
      <c r="F70" s="8">
        <v>1.1299999999999999</v>
      </c>
      <c r="G70" s="12">
        <v>1</v>
      </c>
      <c r="H70" s="8">
        <v>1.05</v>
      </c>
      <c r="I70" s="12">
        <v>0</v>
      </c>
    </row>
    <row r="71" spans="2:9" ht="15" customHeight="1" x14ac:dyDescent="0.2">
      <c r="B71" t="s">
        <v>135</v>
      </c>
      <c r="C71" s="12">
        <v>4</v>
      </c>
      <c r="D71" s="8">
        <v>1.08</v>
      </c>
      <c r="E71" s="12">
        <v>2</v>
      </c>
      <c r="F71" s="8">
        <v>0.75</v>
      </c>
      <c r="G71" s="12">
        <v>2</v>
      </c>
      <c r="H71" s="8">
        <v>2.11</v>
      </c>
      <c r="I71" s="12">
        <v>0</v>
      </c>
    </row>
    <row r="72" spans="2:9" ht="15" customHeight="1" x14ac:dyDescent="0.2">
      <c r="B72" t="s">
        <v>183</v>
      </c>
      <c r="C72" s="12">
        <v>4</v>
      </c>
      <c r="D72" s="8">
        <v>1.08</v>
      </c>
      <c r="E72" s="12">
        <v>4</v>
      </c>
      <c r="F72" s="8">
        <v>1.51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141</v>
      </c>
      <c r="C73" s="12">
        <v>4</v>
      </c>
      <c r="D73" s="8">
        <v>1.08</v>
      </c>
      <c r="E73" s="12">
        <v>3</v>
      </c>
      <c r="F73" s="8">
        <v>1.1299999999999999</v>
      </c>
      <c r="G73" s="12">
        <v>1</v>
      </c>
      <c r="H73" s="8">
        <v>1.05</v>
      </c>
      <c r="I73" s="12">
        <v>0</v>
      </c>
    </row>
    <row r="74" spans="2:9" ht="15" customHeight="1" x14ac:dyDescent="0.2">
      <c r="B74" t="s">
        <v>187</v>
      </c>
      <c r="C74" s="12">
        <v>4</v>
      </c>
      <c r="D74" s="8">
        <v>1.08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143</v>
      </c>
      <c r="C75" s="12">
        <v>4</v>
      </c>
      <c r="D75" s="8">
        <v>1.08</v>
      </c>
      <c r="E75" s="12">
        <v>3</v>
      </c>
      <c r="F75" s="8">
        <v>1.1299999999999999</v>
      </c>
      <c r="G75" s="12">
        <v>1</v>
      </c>
      <c r="H75" s="8">
        <v>1.05</v>
      </c>
      <c r="I75" s="12">
        <v>0</v>
      </c>
    </row>
    <row r="77" spans="2:9" ht="15" customHeight="1" x14ac:dyDescent="0.2">
      <c r="B77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7671-3F43-4989-B5D8-D413FEEA5C2B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0.42</v>
      </c>
      <c r="E5" s="12">
        <v>0</v>
      </c>
      <c r="F5" s="8">
        <v>0</v>
      </c>
      <c r="G5" s="12">
        <v>1</v>
      </c>
      <c r="H5" s="8">
        <v>1.3</v>
      </c>
      <c r="I5" s="12">
        <v>0</v>
      </c>
    </row>
    <row r="6" spans="2:9" ht="15" customHeight="1" x14ac:dyDescent="0.2">
      <c r="B6" t="s">
        <v>45</v>
      </c>
      <c r="C6" s="12">
        <v>23</v>
      </c>
      <c r="D6" s="8">
        <v>9.66</v>
      </c>
      <c r="E6" s="12">
        <v>7</v>
      </c>
      <c r="F6" s="8">
        <v>4.5199999999999996</v>
      </c>
      <c r="G6" s="12">
        <v>16</v>
      </c>
      <c r="H6" s="8">
        <v>20.78</v>
      </c>
      <c r="I6" s="12">
        <v>0</v>
      </c>
    </row>
    <row r="7" spans="2:9" ht="15" customHeight="1" x14ac:dyDescent="0.2">
      <c r="B7" t="s">
        <v>46</v>
      </c>
      <c r="C7" s="12">
        <v>28</v>
      </c>
      <c r="D7" s="8">
        <v>11.76</v>
      </c>
      <c r="E7" s="12">
        <v>14</v>
      </c>
      <c r="F7" s="8">
        <v>9.0299999999999994</v>
      </c>
      <c r="G7" s="12">
        <v>14</v>
      </c>
      <c r="H7" s="8">
        <v>18.18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0.42</v>
      </c>
      <c r="E8" s="12">
        <v>0</v>
      </c>
      <c r="F8" s="8">
        <v>0</v>
      </c>
      <c r="G8" s="12">
        <v>1</v>
      </c>
      <c r="H8" s="8">
        <v>1.3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1.26</v>
      </c>
      <c r="E9" s="12">
        <v>0</v>
      </c>
      <c r="F9" s="8">
        <v>0</v>
      </c>
      <c r="G9" s="12">
        <v>3</v>
      </c>
      <c r="H9" s="8">
        <v>3.9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0.84</v>
      </c>
      <c r="E10" s="12">
        <v>1</v>
      </c>
      <c r="F10" s="8">
        <v>0.65</v>
      </c>
      <c r="G10" s="12">
        <v>1</v>
      </c>
      <c r="H10" s="8">
        <v>1.3</v>
      </c>
      <c r="I10" s="12">
        <v>0</v>
      </c>
    </row>
    <row r="11" spans="2:9" ht="15" customHeight="1" x14ac:dyDescent="0.2">
      <c r="B11" t="s">
        <v>50</v>
      </c>
      <c r="C11" s="12">
        <v>63</v>
      </c>
      <c r="D11" s="8">
        <v>26.47</v>
      </c>
      <c r="E11" s="12">
        <v>42</v>
      </c>
      <c r="F11" s="8">
        <v>27.1</v>
      </c>
      <c r="G11" s="12">
        <v>20</v>
      </c>
      <c r="H11" s="8">
        <v>25.97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0.42</v>
      </c>
      <c r="E12" s="12">
        <v>0</v>
      </c>
      <c r="F12" s="8">
        <v>0</v>
      </c>
      <c r="G12" s="12">
        <v>1</v>
      </c>
      <c r="H12" s="8">
        <v>1.3</v>
      </c>
      <c r="I12" s="12">
        <v>0</v>
      </c>
    </row>
    <row r="13" spans="2:9" ht="15" customHeight="1" x14ac:dyDescent="0.2">
      <c r="B13" t="s">
        <v>52</v>
      </c>
      <c r="C13" s="12">
        <v>5</v>
      </c>
      <c r="D13" s="8">
        <v>2.1</v>
      </c>
      <c r="E13" s="12">
        <v>1</v>
      </c>
      <c r="F13" s="8">
        <v>0.65</v>
      </c>
      <c r="G13" s="12">
        <v>4</v>
      </c>
      <c r="H13" s="8">
        <v>5.19</v>
      </c>
      <c r="I13" s="12">
        <v>0</v>
      </c>
    </row>
    <row r="14" spans="2:9" ht="15" customHeight="1" x14ac:dyDescent="0.2">
      <c r="B14" t="s">
        <v>53</v>
      </c>
      <c r="C14" s="12">
        <v>11</v>
      </c>
      <c r="D14" s="8">
        <v>4.62</v>
      </c>
      <c r="E14" s="12">
        <v>6</v>
      </c>
      <c r="F14" s="8">
        <v>3.87</v>
      </c>
      <c r="G14" s="12">
        <v>5</v>
      </c>
      <c r="H14" s="8">
        <v>6.49</v>
      </c>
      <c r="I14" s="12">
        <v>0</v>
      </c>
    </row>
    <row r="15" spans="2:9" ht="15" customHeight="1" x14ac:dyDescent="0.2">
      <c r="B15" t="s">
        <v>54</v>
      </c>
      <c r="C15" s="12">
        <v>39</v>
      </c>
      <c r="D15" s="8">
        <v>16.39</v>
      </c>
      <c r="E15" s="12">
        <v>36</v>
      </c>
      <c r="F15" s="8">
        <v>23.23</v>
      </c>
      <c r="G15" s="12">
        <v>3</v>
      </c>
      <c r="H15" s="8">
        <v>3.9</v>
      </c>
      <c r="I15" s="12">
        <v>0</v>
      </c>
    </row>
    <row r="16" spans="2:9" ht="15" customHeight="1" x14ac:dyDescent="0.2">
      <c r="B16" t="s">
        <v>55</v>
      </c>
      <c r="C16" s="12">
        <v>39</v>
      </c>
      <c r="D16" s="8">
        <v>16.39</v>
      </c>
      <c r="E16" s="12">
        <v>36</v>
      </c>
      <c r="F16" s="8">
        <v>23.23</v>
      </c>
      <c r="G16" s="12">
        <v>3</v>
      </c>
      <c r="H16" s="8">
        <v>3.9</v>
      </c>
      <c r="I16" s="12">
        <v>0</v>
      </c>
    </row>
    <row r="17" spans="2:9" ht="15" customHeight="1" x14ac:dyDescent="0.2">
      <c r="B17" t="s">
        <v>56</v>
      </c>
      <c r="C17" s="12">
        <v>5</v>
      </c>
      <c r="D17" s="8">
        <v>2.1</v>
      </c>
      <c r="E17" s="12">
        <v>3</v>
      </c>
      <c r="F17" s="8">
        <v>1.94</v>
      </c>
      <c r="G17" s="12">
        <v>0</v>
      </c>
      <c r="H17" s="8">
        <v>0</v>
      </c>
      <c r="I17" s="12">
        <v>2</v>
      </c>
    </row>
    <row r="18" spans="2:9" ht="15" customHeight="1" x14ac:dyDescent="0.2">
      <c r="B18" t="s">
        <v>57</v>
      </c>
      <c r="C18" s="12">
        <v>7</v>
      </c>
      <c r="D18" s="8">
        <v>2.94</v>
      </c>
      <c r="E18" s="12">
        <v>2</v>
      </c>
      <c r="F18" s="8">
        <v>1.29</v>
      </c>
      <c r="G18" s="12">
        <v>3</v>
      </c>
      <c r="H18" s="8">
        <v>3.9</v>
      </c>
      <c r="I18" s="12">
        <v>0</v>
      </c>
    </row>
    <row r="19" spans="2:9" ht="15" customHeight="1" x14ac:dyDescent="0.2">
      <c r="B19" t="s">
        <v>58</v>
      </c>
      <c r="C19" s="12">
        <v>10</v>
      </c>
      <c r="D19" s="8">
        <v>4.2</v>
      </c>
      <c r="E19" s="12">
        <v>7</v>
      </c>
      <c r="F19" s="8">
        <v>4.5199999999999996</v>
      </c>
      <c r="G19" s="12">
        <v>2</v>
      </c>
      <c r="H19" s="8">
        <v>2.6</v>
      </c>
      <c r="I19" s="12">
        <v>1</v>
      </c>
    </row>
    <row r="20" spans="2:9" ht="15" customHeight="1" x14ac:dyDescent="0.2">
      <c r="B20" s="9" t="s">
        <v>241</v>
      </c>
      <c r="C20" s="12">
        <f>SUM(LTBL_46527[総数／事業所数])</f>
        <v>238</v>
      </c>
      <c r="E20" s="12">
        <f>SUBTOTAL(109,LTBL_46527[個人／事業所数])</f>
        <v>155</v>
      </c>
      <c r="G20" s="12">
        <f>SUBTOTAL(109,LTBL_46527[法人／事業所数])</f>
        <v>77</v>
      </c>
      <c r="I20" s="12">
        <f>SUBTOTAL(109,LTBL_46527[法人以外の団体／事業所数])</f>
        <v>3</v>
      </c>
    </row>
    <row r="21" spans="2:9" ht="15" customHeight="1" x14ac:dyDescent="0.2">
      <c r="E21" s="11">
        <f>LTBL_46527[[#Totals],[個人／事業所数]]/LTBL_46527[[#Totals],[総数／事業所数]]</f>
        <v>0.65126050420168069</v>
      </c>
      <c r="G21" s="11">
        <f>LTBL_46527[[#Totals],[法人／事業所数]]/LTBL_46527[[#Totals],[総数／事業所数]]</f>
        <v>0.3235294117647059</v>
      </c>
      <c r="I21" s="11">
        <f>LTBL_46527[[#Totals],[法人以外の団体／事業所数]]/LTBL_46527[[#Totals],[総数／事業所数]]</f>
        <v>1.2605042016806723E-2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23</v>
      </c>
      <c r="D24" s="8">
        <v>9.66</v>
      </c>
      <c r="E24" s="12">
        <v>21</v>
      </c>
      <c r="F24" s="8">
        <v>13.55</v>
      </c>
      <c r="G24" s="12">
        <v>2</v>
      </c>
      <c r="H24" s="8">
        <v>2.6</v>
      </c>
      <c r="I24" s="12">
        <v>0</v>
      </c>
    </row>
    <row r="25" spans="2:9" ht="15" customHeight="1" x14ac:dyDescent="0.2">
      <c r="B25" t="s">
        <v>82</v>
      </c>
      <c r="C25" s="12">
        <v>23</v>
      </c>
      <c r="D25" s="8">
        <v>9.66</v>
      </c>
      <c r="E25" s="12">
        <v>22</v>
      </c>
      <c r="F25" s="8">
        <v>14.19</v>
      </c>
      <c r="G25" s="12">
        <v>1</v>
      </c>
      <c r="H25" s="8">
        <v>1.3</v>
      </c>
      <c r="I25" s="12">
        <v>0</v>
      </c>
    </row>
    <row r="26" spans="2:9" ht="15" customHeight="1" x14ac:dyDescent="0.2">
      <c r="B26" t="s">
        <v>81</v>
      </c>
      <c r="C26" s="12">
        <v>20</v>
      </c>
      <c r="D26" s="8">
        <v>8.4</v>
      </c>
      <c r="E26" s="12">
        <v>19</v>
      </c>
      <c r="F26" s="8">
        <v>12.26</v>
      </c>
      <c r="G26" s="12">
        <v>1</v>
      </c>
      <c r="H26" s="8">
        <v>1.3</v>
      </c>
      <c r="I26" s="12">
        <v>0</v>
      </c>
    </row>
    <row r="27" spans="2:9" ht="15" customHeight="1" x14ac:dyDescent="0.2">
      <c r="B27" t="s">
        <v>80</v>
      </c>
      <c r="C27" s="12">
        <v>18</v>
      </c>
      <c r="D27" s="8">
        <v>7.56</v>
      </c>
      <c r="E27" s="12">
        <v>16</v>
      </c>
      <c r="F27" s="8">
        <v>10.32</v>
      </c>
      <c r="G27" s="12">
        <v>2</v>
      </c>
      <c r="H27" s="8">
        <v>2.6</v>
      </c>
      <c r="I27" s="12">
        <v>0</v>
      </c>
    </row>
    <row r="28" spans="2:9" ht="15" customHeight="1" x14ac:dyDescent="0.2">
      <c r="B28" t="s">
        <v>75</v>
      </c>
      <c r="C28" s="12">
        <v>17</v>
      </c>
      <c r="D28" s="8">
        <v>7.14</v>
      </c>
      <c r="E28" s="12">
        <v>8</v>
      </c>
      <c r="F28" s="8">
        <v>5.16</v>
      </c>
      <c r="G28" s="12">
        <v>8</v>
      </c>
      <c r="H28" s="8">
        <v>10.39</v>
      </c>
      <c r="I28" s="12">
        <v>0</v>
      </c>
    </row>
    <row r="29" spans="2:9" ht="15" customHeight="1" x14ac:dyDescent="0.2">
      <c r="B29" t="s">
        <v>101</v>
      </c>
      <c r="C29" s="12">
        <v>14</v>
      </c>
      <c r="D29" s="8">
        <v>5.88</v>
      </c>
      <c r="E29" s="12">
        <v>11</v>
      </c>
      <c r="F29" s="8">
        <v>7.1</v>
      </c>
      <c r="G29" s="12">
        <v>3</v>
      </c>
      <c r="H29" s="8">
        <v>3.9</v>
      </c>
      <c r="I29" s="12">
        <v>0</v>
      </c>
    </row>
    <row r="30" spans="2:9" ht="15" customHeight="1" x14ac:dyDescent="0.2">
      <c r="B30" t="s">
        <v>67</v>
      </c>
      <c r="C30" s="12">
        <v>13</v>
      </c>
      <c r="D30" s="8">
        <v>5.46</v>
      </c>
      <c r="E30" s="12">
        <v>1</v>
      </c>
      <c r="F30" s="8">
        <v>0.65</v>
      </c>
      <c r="G30" s="12">
        <v>12</v>
      </c>
      <c r="H30" s="8">
        <v>15.58</v>
      </c>
      <c r="I30" s="12">
        <v>0</v>
      </c>
    </row>
    <row r="31" spans="2:9" ht="15" customHeight="1" x14ac:dyDescent="0.2">
      <c r="B31" t="s">
        <v>74</v>
      </c>
      <c r="C31" s="12">
        <v>12</v>
      </c>
      <c r="D31" s="8">
        <v>5.04</v>
      </c>
      <c r="E31" s="12">
        <v>7</v>
      </c>
      <c r="F31" s="8">
        <v>4.5199999999999996</v>
      </c>
      <c r="G31" s="12">
        <v>5</v>
      </c>
      <c r="H31" s="8">
        <v>6.49</v>
      </c>
      <c r="I31" s="12">
        <v>0</v>
      </c>
    </row>
    <row r="32" spans="2:9" ht="15" customHeight="1" x14ac:dyDescent="0.2">
      <c r="B32" t="s">
        <v>91</v>
      </c>
      <c r="C32" s="12">
        <v>9</v>
      </c>
      <c r="D32" s="8">
        <v>3.78</v>
      </c>
      <c r="E32" s="12">
        <v>8</v>
      </c>
      <c r="F32" s="8">
        <v>5.16</v>
      </c>
      <c r="G32" s="12">
        <v>1</v>
      </c>
      <c r="H32" s="8">
        <v>1.3</v>
      </c>
      <c r="I32" s="12">
        <v>0</v>
      </c>
    </row>
    <row r="33" spans="2:9" ht="15" customHeight="1" x14ac:dyDescent="0.2">
      <c r="B33" t="s">
        <v>69</v>
      </c>
      <c r="C33" s="12">
        <v>7</v>
      </c>
      <c r="D33" s="8">
        <v>2.94</v>
      </c>
      <c r="E33" s="12">
        <v>4</v>
      </c>
      <c r="F33" s="8">
        <v>2.58</v>
      </c>
      <c r="G33" s="12">
        <v>3</v>
      </c>
      <c r="H33" s="8">
        <v>3.9</v>
      </c>
      <c r="I33" s="12">
        <v>0</v>
      </c>
    </row>
    <row r="34" spans="2:9" ht="15" customHeight="1" x14ac:dyDescent="0.2">
      <c r="B34" t="s">
        <v>78</v>
      </c>
      <c r="C34" s="12">
        <v>7</v>
      </c>
      <c r="D34" s="8">
        <v>2.94</v>
      </c>
      <c r="E34" s="12">
        <v>4</v>
      </c>
      <c r="F34" s="8">
        <v>2.58</v>
      </c>
      <c r="G34" s="12">
        <v>3</v>
      </c>
      <c r="H34" s="8">
        <v>3.9</v>
      </c>
      <c r="I34" s="12">
        <v>0</v>
      </c>
    </row>
    <row r="35" spans="2:9" ht="15" customHeight="1" x14ac:dyDescent="0.2">
      <c r="B35" t="s">
        <v>94</v>
      </c>
      <c r="C35" s="12">
        <v>7</v>
      </c>
      <c r="D35" s="8">
        <v>2.94</v>
      </c>
      <c r="E35" s="12">
        <v>6</v>
      </c>
      <c r="F35" s="8">
        <v>3.87</v>
      </c>
      <c r="G35" s="12">
        <v>1</v>
      </c>
      <c r="H35" s="8">
        <v>1.3</v>
      </c>
      <c r="I35" s="12">
        <v>0</v>
      </c>
    </row>
    <row r="36" spans="2:9" ht="15" customHeight="1" x14ac:dyDescent="0.2">
      <c r="B36" t="s">
        <v>86</v>
      </c>
      <c r="C36" s="12">
        <v>7</v>
      </c>
      <c r="D36" s="8">
        <v>2.94</v>
      </c>
      <c r="E36" s="12">
        <v>6</v>
      </c>
      <c r="F36" s="8">
        <v>3.87</v>
      </c>
      <c r="G36" s="12">
        <v>1</v>
      </c>
      <c r="H36" s="8">
        <v>1.3</v>
      </c>
      <c r="I36" s="12">
        <v>0</v>
      </c>
    </row>
    <row r="37" spans="2:9" ht="15" customHeight="1" x14ac:dyDescent="0.2">
      <c r="B37" t="s">
        <v>70</v>
      </c>
      <c r="C37" s="12">
        <v>5</v>
      </c>
      <c r="D37" s="8">
        <v>2.1</v>
      </c>
      <c r="E37" s="12">
        <v>1</v>
      </c>
      <c r="F37" s="8">
        <v>0.65</v>
      </c>
      <c r="G37" s="12">
        <v>4</v>
      </c>
      <c r="H37" s="8">
        <v>5.19</v>
      </c>
      <c r="I37" s="12">
        <v>0</v>
      </c>
    </row>
    <row r="38" spans="2:9" ht="15" customHeight="1" x14ac:dyDescent="0.2">
      <c r="B38" t="s">
        <v>72</v>
      </c>
      <c r="C38" s="12">
        <v>5</v>
      </c>
      <c r="D38" s="8">
        <v>2.1</v>
      </c>
      <c r="E38" s="12">
        <v>4</v>
      </c>
      <c r="F38" s="8">
        <v>2.58</v>
      </c>
      <c r="G38" s="12">
        <v>1</v>
      </c>
      <c r="H38" s="8">
        <v>1.3</v>
      </c>
      <c r="I38" s="12">
        <v>0</v>
      </c>
    </row>
    <row r="39" spans="2:9" ht="15" customHeight="1" x14ac:dyDescent="0.2">
      <c r="B39" t="s">
        <v>83</v>
      </c>
      <c r="C39" s="12">
        <v>5</v>
      </c>
      <c r="D39" s="8">
        <v>2.1</v>
      </c>
      <c r="E39" s="12">
        <v>3</v>
      </c>
      <c r="F39" s="8">
        <v>1.94</v>
      </c>
      <c r="G39" s="12">
        <v>0</v>
      </c>
      <c r="H39" s="8">
        <v>0</v>
      </c>
      <c r="I39" s="12">
        <v>2</v>
      </c>
    </row>
    <row r="40" spans="2:9" ht="15" customHeight="1" x14ac:dyDescent="0.2">
      <c r="B40" t="s">
        <v>85</v>
      </c>
      <c r="C40" s="12">
        <v>5</v>
      </c>
      <c r="D40" s="8">
        <v>2.1</v>
      </c>
      <c r="E40" s="12">
        <v>0</v>
      </c>
      <c r="F40" s="8">
        <v>0</v>
      </c>
      <c r="G40" s="12">
        <v>3</v>
      </c>
      <c r="H40" s="8">
        <v>3.9</v>
      </c>
      <c r="I40" s="12">
        <v>0</v>
      </c>
    </row>
    <row r="41" spans="2:9" ht="15" customHeight="1" x14ac:dyDescent="0.2">
      <c r="B41" t="s">
        <v>79</v>
      </c>
      <c r="C41" s="12">
        <v>4</v>
      </c>
      <c r="D41" s="8">
        <v>1.68</v>
      </c>
      <c r="E41" s="12">
        <v>2</v>
      </c>
      <c r="F41" s="8">
        <v>1.29</v>
      </c>
      <c r="G41" s="12">
        <v>2</v>
      </c>
      <c r="H41" s="8">
        <v>2.6</v>
      </c>
      <c r="I41" s="12">
        <v>0</v>
      </c>
    </row>
    <row r="42" spans="2:9" ht="15" customHeight="1" x14ac:dyDescent="0.2">
      <c r="B42" t="s">
        <v>68</v>
      </c>
      <c r="C42" s="12">
        <v>3</v>
      </c>
      <c r="D42" s="8">
        <v>1.26</v>
      </c>
      <c r="E42" s="12">
        <v>2</v>
      </c>
      <c r="F42" s="8">
        <v>1.29</v>
      </c>
      <c r="G42" s="12">
        <v>1</v>
      </c>
      <c r="H42" s="8">
        <v>1.3</v>
      </c>
      <c r="I42" s="12">
        <v>0</v>
      </c>
    </row>
    <row r="43" spans="2:9" ht="15" customHeight="1" x14ac:dyDescent="0.2">
      <c r="B43" t="s">
        <v>96</v>
      </c>
      <c r="C43" s="12">
        <v>3</v>
      </c>
      <c r="D43" s="8">
        <v>1.26</v>
      </c>
      <c r="E43" s="12">
        <v>1</v>
      </c>
      <c r="F43" s="8">
        <v>0.65</v>
      </c>
      <c r="G43" s="12">
        <v>2</v>
      </c>
      <c r="H43" s="8">
        <v>2.6</v>
      </c>
      <c r="I43" s="12">
        <v>0</v>
      </c>
    </row>
    <row r="44" spans="2:9" ht="15" customHeight="1" x14ac:dyDescent="0.2">
      <c r="B44" t="s">
        <v>87</v>
      </c>
      <c r="C44" s="12">
        <v>3</v>
      </c>
      <c r="D44" s="8">
        <v>1.26</v>
      </c>
      <c r="E44" s="12">
        <v>1</v>
      </c>
      <c r="F44" s="8">
        <v>0.65</v>
      </c>
      <c r="G44" s="12">
        <v>2</v>
      </c>
      <c r="H44" s="8">
        <v>2.6</v>
      </c>
      <c r="I44" s="12">
        <v>0</v>
      </c>
    </row>
    <row r="45" spans="2:9" ht="15" customHeight="1" x14ac:dyDescent="0.2">
      <c r="B45" t="s">
        <v>113</v>
      </c>
      <c r="C45" s="12">
        <v>3</v>
      </c>
      <c r="D45" s="8">
        <v>1.26</v>
      </c>
      <c r="E45" s="12">
        <v>1</v>
      </c>
      <c r="F45" s="8">
        <v>0.65</v>
      </c>
      <c r="G45" s="12">
        <v>2</v>
      </c>
      <c r="H45" s="8">
        <v>2.6</v>
      </c>
      <c r="I45" s="12">
        <v>0</v>
      </c>
    </row>
    <row r="48" spans="2:9" ht="33" customHeight="1" x14ac:dyDescent="0.2">
      <c r="B48" t="s">
        <v>243</v>
      </c>
      <c r="C48" s="10" t="s">
        <v>60</v>
      </c>
      <c r="D48" s="10" t="s">
        <v>61</v>
      </c>
      <c r="E48" s="10" t="s">
        <v>62</v>
      </c>
      <c r="F48" s="10" t="s">
        <v>63</v>
      </c>
      <c r="G48" s="10" t="s">
        <v>64</v>
      </c>
      <c r="H48" s="10" t="s">
        <v>65</v>
      </c>
      <c r="I48" s="10" t="s">
        <v>66</v>
      </c>
    </row>
    <row r="49" spans="2:9" ht="15" customHeight="1" x14ac:dyDescent="0.2">
      <c r="B49" t="s">
        <v>183</v>
      </c>
      <c r="C49" s="12">
        <v>14</v>
      </c>
      <c r="D49" s="8">
        <v>5.88</v>
      </c>
      <c r="E49" s="12">
        <v>13</v>
      </c>
      <c r="F49" s="8">
        <v>8.39</v>
      </c>
      <c r="G49" s="12">
        <v>1</v>
      </c>
      <c r="H49" s="8">
        <v>1.3</v>
      </c>
      <c r="I49" s="12">
        <v>0</v>
      </c>
    </row>
    <row r="50" spans="2:9" ht="15" customHeight="1" x14ac:dyDescent="0.2">
      <c r="B50" t="s">
        <v>140</v>
      </c>
      <c r="C50" s="12">
        <v>12</v>
      </c>
      <c r="D50" s="8">
        <v>5.04</v>
      </c>
      <c r="E50" s="12">
        <v>12</v>
      </c>
      <c r="F50" s="8">
        <v>7.74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11</v>
      </c>
      <c r="D51" s="8">
        <v>4.62</v>
      </c>
      <c r="E51" s="12">
        <v>7</v>
      </c>
      <c r="F51" s="8">
        <v>4.5199999999999996</v>
      </c>
      <c r="G51" s="12">
        <v>4</v>
      </c>
      <c r="H51" s="8">
        <v>5.19</v>
      </c>
      <c r="I51" s="12">
        <v>0</v>
      </c>
    </row>
    <row r="52" spans="2:9" ht="15" customHeight="1" x14ac:dyDescent="0.2">
      <c r="B52" t="s">
        <v>172</v>
      </c>
      <c r="C52" s="12">
        <v>10</v>
      </c>
      <c r="D52" s="8">
        <v>4.2</v>
      </c>
      <c r="E52" s="12">
        <v>8</v>
      </c>
      <c r="F52" s="8">
        <v>5.16</v>
      </c>
      <c r="G52" s="12">
        <v>2</v>
      </c>
      <c r="H52" s="8">
        <v>2.6</v>
      </c>
      <c r="I52" s="12">
        <v>0</v>
      </c>
    </row>
    <row r="53" spans="2:9" ht="15" customHeight="1" x14ac:dyDescent="0.2">
      <c r="B53" t="s">
        <v>136</v>
      </c>
      <c r="C53" s="12">
        <v>9</v>
      </c>
      <c r="D53" s="8">
        <v>3.78</v>
      </c>
      <c r="E53" s="12">
        <v>8</v>
      </c>
      <c r="F53" s="8">
        <v>5.16</v>
      </c>
      <c r="G53" s="12">
        <v>1</v>
      </c>
      <c r="H53" s="8">
        <v>1.3</v>
      </c>
      <c r="I53" s="12">
        <v>0</v>
      </c>
    </row>
    <row r="54" spans="2:9" ht="15" customHeight="1" x14ac:dyDescent="0.2">
      <c r="B54" t="s">
        <v>148</v>
      </c>
      <c r="C54" s="12">
        <v>9</v>
      </c>
      <c r="D54" s="8">
        <v>3.78</v>
      </c>
      <c r="E54" s="12">
        <v>8</v>
      </c>
      <c r="F54" s="8">
        <v>5.16</v>
      </c>
      <c r="G54" s="12">
        <v>1</v>
      </c>
      <c r="H54" s="8">
        <v>1.3</v>
      </c>
      <c r="I54" s="12">
        <v>0</v>
      </c>
    </row>
    <row r="55" spans="2:9" ht="15" customHeight="1" x14ac:dyDescent="0.2">
      <c r="B55" t="s">
        <v>124</v>
      </c>
      <c r="C55" s="12">
        <v>7</v>
      </c>
      <c r="D55" s="8">
        <v>2.94</v>
      </c>
      <c r="E55" s="12">
        <v>0</v>
      </c>
      <c r="F55" s="8">
        <v>0</v>
      </c>
      <c r="G55" s="12">
        <v>7</v>
      </c>
      <c r="H55" s="8">
        <v>9.09</v>
      </c>
      <c r="I55" s="12">
        <v>0</v>
      </c>
    </row>
    <row r="56" spans="2:9" ht="15" customHeight="1" x14ac:dyDescent="0.2">
      <c r="B56" t="s">
        <v>133</v>
      </c>
      <c r="C56" s="12">
        <v>7</v>
      </c>
      <c r="D56" s="8">
        <v>2.94</v>
      </c>
      <c r="E56" s="12">
        <v>4</v>
      </c>
      <c r="F56" s="8">
        <v>2.58</v>
      </c>
      <c r="G56" s="12">
        <v>2</v>
      </c>
      <c r="H56" s="8">
        <v>2.6</v>
      </c>
      <c r="I56" s="12">
        <v>0</v>
      </c>
    </row>
    <row r="57" spans="2:9" ht="15" customHeight="1" x14ac:dyDescent="0.2">
      <c r="B57" t="s">
        <v>143</v>
      </c>
      <c r="C57" s="12">
        <v>7</v>
      </c>
      <c r="D57" s="8">
        <v>2.94</v>
      </c>
      <c r="E57" s="12">
        <v>6</v>
      </c>
      <c r="F57" s="8">
        <v>3.87</v>
      </c>
      <c r="G57" s="12">
        <v>1</v>
      </c>
      <c r="H57" s="8">
        <v>1.3</v>
      </c>
      <c r="I57" s="12">
        <v>0</v>
      </c>
    </row>
    <row r="58" spans="2:9" ht="15" customHeight="1" x14ac:dyDescent="0.2">
      <c r="B58" t="s">
        <v>129</v>
      </c>
      <c r="C58" s="12">
        <v>6</v>
      </c>
      <c r="D58" s="8">
        <v>2.52</v>
      </c>
      <c r="E58" s="12">
        <v>6</v>
      </c>
      <c r="F58" s="8">
        <v>3.87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132</v>
      </c>
      <c r="C59" s="12">
        <v>6</v>
      </c>
      <c r="D59" s="8">
        <v>2.52</v>
      </c>
      <c r="E59" s="12">
        <v>2</v>
      </c>
      <c r="F59" s="8">
        <v>1.29</v>
      </c>
      <c r="G59" s="12">
        <v>4</v>
      </c>
      <c r="H59" s="8">
        <v>5.19</v>
      </c>
      <c r="I59" s="12">
        <v>0</v>
      </c>
    </row>
    <row r="60" spans="2:9" ht="15" customHeight="1" x14ac:dyDescent="0.2">
      <c r="B60" t="s">
        <v>205</v>
      </c>
      <c r="C60" s="12">
        <v>6</v>
      </c>
      <c r="D60" s="8">
        <v>2.52</v>
      </c>
      <c r="E60" s="12">
        <v>6</v>
      </c>
      <c r="F60" s="8">
        <v>3.87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126</v>
      </c>
      <c r="C61" s="12">
        <v>5</v>
      </c>
      <c r="D61" s="8">
        <v>2.1</v>
      </c>
      <c r="E61" s="12">
        <v>4</v>
      </c>
      <c r="F61" s="8">
        <v>2.58</v>
      </c>
      <c r="G61" s="12">
        <v>1</v>
      </c>
      <c r="H61" s="8">
        <v>1.3</v>
      </c>
      <c r="I61" s="12">
        <v>0</v>
      </c>
    </row>
    <row r="62" spans="2:9" ht="15" customHeight="1" x14ac:dyDescent="0.2">
      <c r="B62" t="s">
        <v>127</v>
      </c>
      <c r="C62" s="12">
        <v>5</v>
      </c>
      <c r="D62" s="8">
        <v>2.1</v>
      </c>
      <c r="E62" s="12">
        <v>5</v>
      </c>
      <c r="F62" s="8">
        <v>3.23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137</v>
      </c>
      <c r="C63" s="12">
        <v>5</v>
      </c>
      <c r="D63" s="8">
        <v>2.1</v>
      </c>
      <c r="E63" s="12">
        <v>5</v>
      </c>
      <c r="F63" s="8">
        <v>3.23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5</v>
      </c>
      <c r="D64" s="8">
        <v>2.1</v>
      </c>
      <c r="E64" s="12">
        <v>5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159</v>
      </c>
      <c r="C65" s="12">
        <v>4</v>
      </c>
      <c r="D65" s="8">
        <v>1.68</v>
      </c>
      <c r="E65" s="12">
        <v>0</v>
      </c>
      <c r="F65" s="8">
        <v>0</v>
      </c>
      <c r="G65" s="12">
        <v>4</v>
      </c>
      <c r="H65" s="8">
        <v>5.19</v>
      </c>
      <c r="I65" s="12">
        <v>0</v>
      </c>
    </row>
    <row r="66" spans="2:9" ht="15" customHeight="1" x14ac:dyDescent="0.2">
      <c r="B66" t="s">
        <v>160</v>
      </c>
      <c r="C66" s="12">
        <v>4</v>
      </c>
      <c r="D66" s="8">
        <v>1.68</v>
      </c>
      <c r="E66" s="12">
        <v>4</v>
      </c>
      <c r="F66" s="8">
        <v>2.58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128</v>
      </c>
      <c r="C67" s="12">
        <v>4</v>
      </c>
      <c r="D67" s="8">
        <v>1.68</v>
      </c>
      <c r="E67" s="12">
        <v>3</v>
      </c>
      <c r="F67" s="8">
        <v>1.94</v>
      </c>
      <c r="G67" s="12">
        <v>1</v>
      </c>
      <c r="H67" s="8">
        <v>1.3</v>
      </c>
      <c r="I67" s="12">
        <v>0</v>
      </c>
    </row>
    <row r="68" spans="2:9" ht="15" customHeight="1" x14ac:dyDescent="0.2">
      <c r="B68" t="s">
        <v>158</v>
      </c>
      <c r="C68" s="12">
        <v>4</v>
      </c>
      <c r="D68" s="8">
        <v>1.68</v>
      </c>
      <c r="E68" s="12">
        <v>3</v>
      </c>
      <c r="F68" s="8">
        <v>1.94</v>
      </c>
      <c r="G68" s="12">
        <v>1</v>
      </c>
      <c r="H68" s="8">
        <v>1.3</v>
      </c>
      <c r="I68" s="12">
        <v>0</v>
      </c>
    </row>
    <row r="69" spans="2:9" ht="15" customHeight="1" x14ac:dyDescent="0.2">
      <c r="B69" t="s">
        <v>167</v>
      </c>
      <c r="C69" s="12">
        <v>4</v>
      </c>
      <c r="D69" s="8">
        <v>1.68</v>
      </c>
      <c r="E69" s="12">
        <v>4</v>
      </c>
      <c r="F69" s="8">
        <v>2.58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231</v>
      </c>
      <c r="C70" s="12">
        <v>4</v>
      </c>
      <c r="D70" s="8">
        <v>1.68</v>
      </c>
      <c r="E70" s="12">
        <v>4</v>
      </c>
      <c r="F70" s="8">
        <v>2.58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31E1-DBC2-4C3A-B428-CC989353902D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0.39</v>
      </c>
      <c r="E5" s="12">
        <v>0</v>
      </c>
      <c r="F5" s="8">
        <v>0</v>
      </c>
      <c r="G5" s="12">
        <v>1</v>
      </c>
      <c r="H5" s="8">
        <v>1.43</v>
      </c>
      <c r="I5" s="12">
        <v>0</v>
      </c>
    </row>
    <row r="6" spans="2:9" ht="15" customHeight="1" x14ac:dyDescent="0.2">
      <c r="B6" t="s">
        <v>45</v>
      </c>
      <c r="C6" s="12">
        <v>29</v>
      </c>
      <c r="D6" s="8">
        <v>11.2</v>
      </c>
      <c r="E6" s="12">
        <v>11</v>
      </c>
      <c r="F6" s="8">
        <v>5.98</v>
      </c>
      <c r="G6" s="12">
        <v>18</v>
      </c>
      <c r="H6" s="8">
        <v>25.71</v>
      </c>
      <c r="I6" s="12">
        <v>0</v>
      </c>
    </row>
    <row r="7" spans="2:9" ht="15" customHeight="1" x14ac:dyDescent="0.2">
      <c r="B7" t="s">
        <v>46</v>
      </c>
      <c r="C7" s="12">
        <v>29</v>
      </c>
      <c r="D7" s="8">
        <v>11.2</v>
      </c>
      <c r="E7" s="12">
        <v>18</v>
      </c>
      <c r="F7" s="8">
        <v>9.7799999999999994</v>
      </c>
      <c r="G7" s="12">
        <v>11</v>
      </c>
      <c r="H7" s="8">
        <v>15.71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0.39</v>
      </c>
      <c r="E8" s="12">
        <v>0</v>
      </c>
      <c r="F8" s="8">
        <v>0</v>
      </c>
      <c r="G8" s="12">
        <v>1</v>
      </c>
      <c r="H8" s="8">
        <v>1.43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3</v>
      </c>
      <c r="D10" s="8">
        <v>1.1599999999999999</v>
      </c>
      <c r="E10" s="12">
        <v>0</v>
      </c>
      <c r="F10" s="8">
        <v>0</v>
      </c>
      <c r="G10" s="12">
        <v>3</v>
      </c>
      <c r="H10" s="8">
        <v>4.29</v>
      </c>
      <c r="I10" s="12">
        <v>0</v>
      </c>
    </row>
    <row r="11" spans="2:9" ht="15" customHeight="1" x14ac:dyDescent="0.2">
      <c r="B11" t="s">
        <v>50</v>
      </c>
      <c r="C11" s="12">
        <v>64</v>
      </c>
      <c r="D11" s="8">
        <v>24.71</v>
      </c>
      <c r="E11" s="12">
        <v>51</v>
      </c>
      <c r="F11" s="8">
        <v>27.72</v>
      </c>
      <c r="G11" s="12">
        <v>12</v>
      </c>
      <c r="H11" s="8">
        <v>17.14</v>
      </c>
      <c r="I11" s="12">
        <v>0</v>
      </c>
    </row>
    <row r="12" spans="2:9" ht="15" customHeight="1" x14ac:dyDescent="0.2">
      <c r="B12" t="s">
        <v>51</v>
      </c>
      <c r="C12" s="12">
        <v>2</v>
      </c>
      <c r="D12" s="8">
        <v>0.77</v>
      </c>
      <c r="E12" s="12">
        <v>1</v>
      </c>
      <c r="F12" s="8">
        <v>0.54</v>
      </c>
      <c r="G12" s="12">
        <v>1</v>
      </c>
      <c r="H12" s="8">
        <v>1.43</v>
      </c>
      <c r="I12" s="12">
        <v>0</v>
      </c>
    </row>
    <row r="13" spans="2:9" ht="15" customHeight="1" x14ac:dyDescent="0.2">
      <c r="B13" t="s">
        <v>52</v>
      </c>
      <c r="C13" s="12">
        <v>9</v>
      </c>
      <c r="D13" s="8">
        <v>3.47</v>
      </c>
      <c r="E13" s="12">
        <v>3</v>
      </c>
      <c r="F13" s="8">
        <v>1.63</v>
      </c>
      <c r="G13" s="12">
        <v>6</v>
      </c>
      <c r="H13" s="8">
        <v>8.57</v>
      </c>
      <c r="I13" s="12">
        <v>0</v>
      </c>
    </row>
    <row r="14" spans="2:9" ht="15" customHeight="1" x14ac:dyDescent="0.2">
      <c r="B14" t="s">
        <v>53</v>
      </c>
      <c r="C14" s="12">
        <v>8</v>
      </c>
      <c r="D14" s="8">
        <v>3.09</v>
      </c>
      <c r="E14" s="12">
        <v>6</v>
      </c>
      <c r="F14" s="8">
        <v>3.26</v>
      </c>
      <c r="G14" s="12">
        <v>2</v>
      </c>
      <c r="H14" s="8">
        <v>2.86</v>
      </c>
      <c r="I14" s="12">
        <v>0</v>
      </c>
    </row>
    <row r="15" spans="2:9" ht="15" customHeight="1" x14ac:dyDescent="0.2">
      <c r="B15" t="s">
        <v>54</v>
      </c>
      <c r="C15" s="12">
        <v>57</v>
      </c>
      <c r="D15" s="8">
        <v>22.01</v>
      </c>
      <c r="E15" s="12">
        <v>53</v>
      </c>
      <c r="F15" s="8">
        <v>28.8</v>
      </c>
      <c r="G15" s="12">
        <v>3</v>
      </c>
      <c r="H15" s="8">
        <v>4.29</v>
      </c>
      <c r="I15" s="12">
        <v>0</v>
      </c>
    </row>
    <row r="16" spans="2:9" ht="15" customHeight="1" x14ac:dyDescent="0.2">
      <c r="B16" t="s">
        <v>55</v>
      </c>
      <c r="C16" s="12">
        <v>28</v>
      </c>
      <c r="D16" s="8">
        <v>10.81</v>
      </c>
      <c r="E16" s="12">
        <v>25</v>
      </c>
      <c r="F16" s="8">
        <v>13.59</v>
      </c>
      <c r="G16" s="12">
        <v>3</v>
      </c>
      <c r="H16" s="8">
        <v>4.29</v>
      </c>
      <c r="I16" s="12">
        <v>0</v>
      </c>
    </row>
    <row r="17" spans="2:9" ht="15" customHeight="1" x14ac:dyDescent="0.2">
      <c r="B17" t="s">
        <v>56</v>
      </c>
      <c r="C17" s="12">
        <v>8</v>
      </c>
      <c r="D17" s="8">
        <v>3.09</v>
      </c>
      <c r="E17" s="12">
        <v>5</v>
      </c>
      <c r="F17" s="8">
        <v>2.72</v>
      </c>
      <c r="G17" s="12">
        <v>2</v>
      </c>
      <c r="H17" s="8">
        <v>2.86</v>
      </c>
      <c r="I17" s="12">
        <v>0</v>
      </c>
    </row>
    <row r="18" spans="2:9" ht="15" customHeight="1" x14ac:dyDescent="0.2">
      <c r="B18" t="s">
        <v>57</v>
      </c>
      <c r="C18" s="12">
        <v>10</v>
      </c>
      <c r="D18" s="8">
        <v>3.86</v>
      </c>
      <c r="E18" s="12">
        <v>7</v>
      </c>
      <c r="F18" s="8">
        <v>3.8</v>
      </c>
      <c r="G18" s="12">
        <v>3</v>
      </c>
      <c r="H18" s="8">
        <v>4.29</v>
      </c>
      <c r="I18" s="12">
        <v>0</v>
      </c>
    </row>
    <row r="19" spans="2:9" ht="15" customHeight="1" x14ac:dyDescent="0.2">
      <c r="B19" t="s">
        <v>58</v>
      </c>
      <c r="C19" s="12">
        <v>10</v>
      </c>
      <c r="D19" s="8">
        <v>3.86</v>
      </c>
      <c r="E19" s="12">
        <v>4</v>
      </c>
      <c r="F19" s="8">
        <v>2.17</v>
      </c>
      <c r="G19" s="12">
        <v>4</v>
      </c>
      <c r="H19" s="8">
        <v>5.71</v>
      </c>
      <c r="I19" s="12">
        <v>1</v>
      </c>
    </row>
    <row r="20" spans="2:9" ht="15" customHeight="1" x14ac:dyDescent="0.2">
      <c r="B20" s="9" t="s">
        <v>241</v>
      </c>
      <c r="C20" s="12">
        <f>SUM(LTBL_46529[総数／事業所数])</f>
        <v>259</v>
      </c>
      <c r="E20" s="12">
        <f>SUBTOTAL(109,LTBL_46529[個人／事業所数])</f>
        <v>184</v>
      </c>
      <c r="G20" s="12">
        <f>SUBTOTAL(109,LTBL_46529[法人／事業所数])</f>
        <v>70</v>
      </c>
      <c r="I20" s="12">
        <f>SUBTOTAL(109,LTBL_46529[法人以外の団体／事業所数])</f>
        <v>1</v>
      </c>
    </row>
    <row r="21" spans="2:9" ht="15" customHeight="1" x14ac:dyDescent="0.2">
      <c r="E21" s="11">
        <f>LTBL_46529[[#Totals],[個人／事業所数]]/LTBL_46529[[#Totals],[総数／事業所数]]</f>
        <v>0.71042471042471045</v>
      </c>
      <c r="G21" s="11">
        <f>LTBL_46529[[#Totals],[法人／事業所数]]/LTBL_46529[[#Totals],[総数／事業所数]]</f>
        <v>0.27027027027027029</v>
      </c>
      <c r="I21" s="11">
        <f>LTBL_46529[[#Totals],[法人以外の団体／事業所数]]/LTBL_46529[[#Totals],[総数／事業所数]]</f>
        <v>3.8610038610038611E-3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46</v>
      </c>
      <c r="D24" s="8">
        <v>17.760000000000002</v>
      </c>
      <c r="E24" s="12">
        <v>46</v>
      </c>
      <c r="F24" s="8">
        <v>25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73</v>
      </c>
      <c r="C25" s="12">
        <v>27</v>
      </c>
      <c r="D25" s="8">
        <v>10.42</v>
      </c>
      <c r="E25" s="12">
        <v>26</v>
      </c>
      <c r="F25" s="8">
        <v>14.13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82</v>
      </c>
      <c r="C26" s="12">
        <v>24</v>
      </c>
      <c r="D26" s="8">
        <v>9.27</v>
      </c>
      <c r="E26" s="12">
        <v>23</v>
      </c>
      <c r="F26" s="8">
        <v>12.5</v>
      </c>
      <c r="G26" s="12">
        <v>1</v>
      </c>
      <c r="H26" s="8">
        <v>1.43</v>
      </c>
      <c r="I26" s="12">
        <v>0</v>
      </c>
    </row>
    <row r="27" spans="2:9" ht="15" customHeight="1" x14ac:dyDescent="0.2">
      <c r="B27" t="s">
        <v>75</v>
      </c>
      <c r="C27" s="12">
        <v>21</v>
      </c>
      <c r="D27" s="8">
        <v>8.11</v>
      </c>
      <c r="E27" s="12">
        <v>13</v>
      </c>
      <c r="F27" s="8">
        <v>7.07</v>
      </c>
      <c r="G27" s="12">
        <v>8</v>
      </c>
      <c r="H27" s="8">
        <v>11.43</v>
      </c>
      <c r="I27" s="12">
        <v>0</v>
      </c>
    </row>
    <row r="28" spans="2:9" ht="15" customHeight="1" x14ac:dyDescent="0.2">
      <c r="B28" t="s">
        <v>70</v>
      </c>
      <c r="C28" s="12">
        <v>17</v>
      </c>
      <c r="D28" s="8">
        <v>6.56</v>
      </c>
      <c r="E28" s="12">
        <v>14</v>
      </c>
      <c r="F28" s="8">
        <v>7.61</v>
      </c>
      <c r="G28" s="12">
        <v>3</v>
      </c>
      <c r="H28" s="8">
        <v>4.29</v>
      </c>
      <c r="I28" s="12">
        <v>0</v>
      </c>
    </row>
    <row r="29" spans="2:9" ht="15" customHeight="1" x14ac:dyDescent="0.2">
      <c r="B29" t="s">
        <v>67</v>
      </c>
      <c r="C29" s="12">
        <v>16</v>
      </c>
      <c r="D29" s="8">
        <v>6.18</v>
      </c>
      <c r="E29" s="12">
        <v>3</v>
      </c>
      <c r="F29" s="8">
        <v>1.63</v>
      </c>
      <c r="G29" s="12">
        <v>13</v>
      </c>
      <c r="H29" s="8">
        <v>18.57</v>
      </c>
      <c r="I29" s="12">
        <v>0</v>
      </c>
    </row>
    <row r="30" spans="2:9" ht="15" customHeight="1" x14ac:dyDescent="0.2">
      <c r="B30" t="s">
        <v>69</v>
      </c>
      <c r="C30" s="12">
        <v>9</v>
      </c>
      <c r="D30" s="8">
        <v>3.47</v>
      </c>
      <c r="E30" s="12">
        <v>4</v>
      </c>
      <c r="F30" s="8">
        <v>2.17</v>
      </c>
      <c r="G30" s="12">
        <v>5</v>
      </c>
      <c r="H30" s="8">
        <v>7.14</v>
      </c>
      <c r="I30" s="12">
        <v>0</v>
      </c>
    </row>
    <row r="31" spans="2:9" ht="15" customHeight="1" x14ac:dyDescent="0.2">
      <c r="B31" t="s">
        <v>83</v>
      </c>
      <c r="C31" s="12">
        <v>8</v>
      </c>
      <c r="D31" s="8">
        <v>3.09</v>
      </c>
      <c r="E31" s="12">
        <v>5</v>
      </c>
      <c r="F31" s="8">
        <v>2.72</v>
      </c>
      <c r="G31" s="12">
        <v>2</v>
      </c>
      <c r="H31" s="8">
        <v>2.86</v>
      </c>
      <c r="I31" s="12">
        <v>0</v>
      </c>
    </row>
    <row r="32" spans="2:9" ht="15" customHeight="1" x14ac:dyDescent="0.2">
      <c r="B32" t="s">
        <v>80</v>
      </c>
      <c r="C32" s="12">
        <v>7</v>
      </c>
      <c r="D32" s="8">
        <v>2.7</v>
      </c>
      <c r="E32" s="12">
        <v>5</v>
      </c>
      <c r="F32" s="8">
        <v>2.72</v>
      </c>
      <c r="G32" s="12">
        <v>2</v>
      </c>
      <c r="H32" s="8">
        <v>2.86</v>
      </c>
      <c r="I32" s="12">
        <v>0</v>
      </c>
    </row>
    <row r="33" spans="2:9" ht="15" customHeight="1" x14ac:dyDescent="0.2">
      <c r="B33" t="s">
        <v>84</v>
      </c>
      <c r="C33" s="12">
        <v>7</v>
      </c>
      <c r="D33" s="8">
        <v>2.7</v>
      </c>
      <c r="E33" s="12">
        <v>7</v>
      </c>
      <c r="F33" s="8">
        <v>3.8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72</v>
      </c>
      <c r="C34" s="12">
        <v>6</v>
      </c>
      <c r="D34" s="8">
        <v>2.3199999999999998</v>
      </c>
      <c r="E34" s="12">
        <v>6</v>
      </c>
      <c r="F34" s="8">
        <v>3.26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74</v>
      </c>
      <c r="C35" s="12">
        <v>6</v>
      </c>
      <c r="D35" s="8">
        <v>2.3199999999999998</v>
      </c>
      <c r="E35" s="12">
        <v>5</v>
      </c>
      <c r="F35" s="8">
        <v>2.72</v>
      </c>
      <c r="G35" s="12">
        <v>1</v>
      </c>
      <c r="H35" s="8">
        <v>1.43</v>
      </c>
      <c r="I35" s="12">
        <v>0</v>
      </c>
    </row>
    <row r="36" spans="2:9" ht="15" customHeight="1" x14ac:dyDescent="0.2">
      <c r="B36" t="s">
        <v>113</v>
      </c>
      <c r="C36" s="12">
        <v>6</v>
      </c>
      <c r="D36" s="8">
        <v>2.3199999999999998</v>
      </c>
      <c r="E36" s="12">
        <v>1</v>
      </c>
      <c r="F36" s="8">
        <v>0.54</v>
      </c>
      <c r="G36" s="12">
        <v>5</v>
      </c>
      <c r="H36" s="8">
        <v>7.14</v>
      </c>
      <c r="I36" s="12">
        <v>0</v>
      </c>
    </row>
    <row r="37" spans="2:9" ht="15" customHeight="1" x14ac:dyDescent="0.2">
      <c r="B37" t="s">
        <v>78</v>
      </c>
      <c r="C37" s="12">
        <v>6</v>
      </c>
      <c r="D37" s="8">
        <v>2.3199999999999998</v>
      </c>
      <c r="E37" s="12">
        <v>6</v>
      </c>
      <c r="F37" s="8">
        <v>3.26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86</v>
      </c>
      <c r="C38" s="12">
        <v>6</v>
      </c>
      <c r="D38" s="8">
        <v>2.3199999999999998</v>
      </c>
      <c r="E38" s="12">
        <v>2</v>
      </c>
      <c r="F38" s="8">
        <v>1.0900000000000001</v>
      </c>
      <c r="G38" s="12">
        <v>4</v>
      </c>
      <c r="H38" s="8">
        <v>5.71</v>
      </c>
      <c r="I38" s="12">
        <v>0</v>
      </c>
    </row>
    <row r="39" spans="2:9" ht="15" customHeight="1" x14ac:dyDescent="0.2">
      <c r="B39" t="s">
        <v>98</v>
      </c>
      <c r="C39" s="12">
        <v>5</v>
      </c>
      <c r="D39" s="8">
        <v>1.93</v>
      </c>
      <c r="E39" s="12">
        <v>0</v>
      </c>
      <c r="F39" s="8">
        <v>0</v>
      </c>
      <c r="G39" s="12">
        <v>5</v>
      </c>
      <c r="H39" s="8">
        <v>7.14</v>
      </c>
      <c r="I39" s="12">
        <v>0</v>
      </c>
    </row>
    <row r="40" spans="2:9" ht="15" customHeight="1" x14ac:dyDescent="0.2">
      <c r="B40" t="s">
        <v>68</v>
      </c>
      <c r="C40" s="12">
        <v>4</v>
      </c>
      <c r="D40" s="8">
        <v>1.54</v>
      </c>
      <c r="E40" s="12">
        <v>4</v>
      </c>
      <c r="F40" s="8">
        <v>2.17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93</v>
      </c>
      <c r="C41" s="12">
        <v>4</v>
      </c>
      <c r="D41" s="8">
        <v>1.54</v>
      </c>
      <c r="E41" s="12">
        <v>2</v>
      </c>
      <c r="F41" s="8">
        <v>1.0900000000000001</v>
      </c>
      <c r="G41" s="12">
        <v>1</v>
      </c>
      <c r="H41" s="8">
        <v>1.43</v>
      </c>
      <c r="I41" s="12">
        <v>0</v>
      </c>
    </row>
    <row r="42" spans="2:9" ht="15" customHeight="1" x14ac:dyDescent="0.2">
      <c r="B42" t="s">
        <v>91</v>
      </c>
      <c r="C42" s="12">
        <v>3</v>
      </c>
      <c r="D42" s="8">
        <v>1.1599999999999999</v>
      </c>
      <c r="E42" s="12">
        <v>2</v>
      </c>
      <c r="F42" s="8">
        <v>1.0900000000000001</v>
      </c>
      <c r="G42" s="12">
        <v>1</v>
      </c>
      <c r="H42" s="8">
        <v>1.43</v>
      </c>
      <c r="I42" s="12">
        <v>0</v>
      </c>
    </row>
    <row r="43" spans="2:9" ht="15" customHeight="1" x14ac:dyDescent="0.2">
      <c r="B43" t="s">
        <v>85</v>
      </c>
      <c r="C43" s="12">
        <v>3</v>
      </c>
      <c r="D43" s="8">
        <v>1.1599999999999999</v>
      </c>
      <c r="E43" s="12">
        <v>0</v>
      </c>
      <c r="F43" s="8">
        <v>0</v>
      </c>
      <c r="G43" s="12">
        <v>3</v>
      </c>
      <c r="H43" s="8">
        <v>4.29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137</v>
      </c>
      <c r="C47" s="12">
        <v>20</v>
      </c>
      <c r="D47" s="8">
        <v>7.72</v>
      </c>
      <c r="E47" s="12">
        <v>20</v>
      </c>
      <c r="F47" s="8">
        <v>10.87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140</v>
      </c>
      <c r="C48" s="12">
        <v>14</v>
      </c>
      <c r="D48" s="8">
        <v>5.41</v>
      </c>
      <c r="E48" s="12">
        <v>14</v>
      </c>
      <c r="F48" s="8">
        <v>7.61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124</v>
      </c>
      <c r="C49" s="12">
        <v>12</v>
      </c>
      <c r="D49" s="8">
        <v>4.63</v>
      </c>
      <c r="E49" s="12">
        <v>0</v>
      </c>
      <c r="F49" s="8">
        <v>0</v>
      </c>
      <c r="G49" s="12">
        <v>12</v>
      </c>
      <c r="H49" s="8">
        <v>17.14</v>
      </c>
      <c r="I49" s="12">
        <v>0</v>
      </c>
    </row>
    <row r="50" spans="2:9" ht="15" customHeight="1" x14ac:dyDescent="0.2">
      <c r="B50" t="s">
        <v>127</v>
      </c>
      <c r="C50" s="12">
        <v>12</v>
      </c>
      <c r="D50" s="8">
        <v>4.63</v>
      </c>
      <c r="E50" s="12">
        <v>12</v>
      </c>
      <c r="F50" s="8">
        <v>6.52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138</v>
      </c>
      <c r="C51" s="12">
        <v>10</v>
      </c>
      <c r="D51" s="8">
        <v>3.86</v>
      </c>
      <c r="E51" s="12">
        <v>10</v>
      </c>
      <c r="F51" s="8">
        <v>5.43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232</v>
      </c>
      <c r="C52" s="12">
        <v>8</v>
      </c>
      <c r="D52" s="8">
        <v>3.09</v>
      </c>
      <c r="E52" s="12">
        <v>7</v>
      </c>
      <c r="F52" s="8">
        <v>3.8</v>
      </c>
      <c r="G52" s="12">
        <v>1</v>
      </c>
      <c r="H52" s="8">
        <v>1.43</v>
      </c>
      <c r="I52" s="12">
        <v>0</v>
      </c>
    </row>
    <row r="53" spans="2:9" ht="15" customHeight="1" x14ac:dyDescent="0.2">
      <c r="B53" t="s">
        <v>167</v>
      </c>
      <c r="C53" s="12">
        <v>8</v>
      </c>
      <c r="D53" s="8">
        <v>3.09</v>
      </c>
      <c r="E53" s="12">
        <v>8</v>
      </c>
      <c r="F53" s="8">
        <v>4.3499999999999996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129</v>
      </c>
      <c r="C54" s="12">
        <v>7</v>
      </c>
      <c r="D54" s="8">
        <v>2.7</v>
      </c>
      <c r="E54" s="12">
        <v>7</v>
      </c>
      <c r="F54" s="8">
        <v>3.8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139</v>
      </c>
      <c r="C55" s="12">
        <v>7</v>
      </c>
      <c r="D55" s="8">
        <v>2.7</v>
      </c>
      <c r="E55" s="12">
        <v>7</v>
      </c>
      <c r="F55" s="8">
        <v>3.8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6</v>
      </c>
      <c r="D56" s="8">
        <v>2.3199999999999998</v>
      </c>
      <c r="E56" s="12">
        <v>5</v>
      </c>
      <c r="F56" s="8">
        <v>2.72</v>
      </c>
      <c r="G56" s="12">
        <v>1</v>
      </c>
      <c r="H56" s="8">
        <v>1.43</v>
      </c>
      <c r="I56" s="12">
        <v>0</v>
      </c>
    </row>
    <row r="57" spans="2:9" ht="15" customHeight="1" x14ac:dyDescent="0.2">
      <c r="B57" t="s">
        <v>142</v>
      </c>
      <c r="C57" s="12">
        <v>6</v>
      </c>
      <c r="D57" s="8">
        <v>2.3199999999999998</v>
      </c>
      <c r="E57" s="12">
        <v>6</v>
      </c>
      <c r="F57" s="8">
        <v>3.26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143</v>
      </c>
      <c r="C58" s="12">
        <v>6</v>
      </c>
      <c r="D58" s="8">
        <v>2.3199999999999998</v>
      </c>
      <c r="E58" s="12">
        <v>2</v>
      </c>
      <c r="F58" s="8">
        <v>1.0900000000000001</v>
      </c>
      <c r="G58" s="12">
        <v>4</v>
      </c>
      <c r="H58" s="8">
        <v>5.71</v>
      </c>
      <c r="I58" s="12">
        <v>0</v>
      </c>
    </row>
    <row r="59" spans="2:9" ht="15" customHeight="1" x14ac:dyDescent="0.2">
      <c r="B59" t="s">
        <v>233</v>
      </c>
      <c r="C59" s="12">
        <v>5</v>
      </c>
      <c r="D59" s="8">
        <v>1.93</v>
      </c>
      <c r="E59" s="12">
        <v>5</v>
      </c>
      <c r="F59" s="8">
        <v>2.72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126</v>
      </c>
      <c r="C60" s="12">
        <v>4</v>
      </c>
      <c r="D60" s="8">
        <v>1.54</v>
      </c>
      <c r="E60" s="12">
        <v>1</v>
      </c>
      <c r="F60" s="8">
        <v>0.54</v>
      </c>
      <c r="G60" s="12">
        <v>3</v>
      </c>
      <c r="H60" s="8">
        <v>4.29</v>
      </c>
      <c r="I60" s="12">
        <v>0</v>
      </c>
    </row>
    <row r="61" spans="2:9" ht="15" customHeight="1" x14ac:dyDescent="0.2">
      <c r="B61" t="s">
        <v>207</v>
      </c>
      <c r="C61" s="12">
        <v>4</v>
      </c>
      <c r="D61" s="8">
        <v>1.54</v>
      </c>
      <c r="E61" s="12">
        <v>3</v>
      </c>
      <c r="F61" s="8">
        <v>1.63</v>
      </c>
      <c r="G61" s="12">
        <v>1</v>
      </c>
      <c r="H61" s="8">
        <v>1.43</v>
      </c>
      <c r="I61" s="12">
        <v>0</v>
      </c>
    </row>
    <row r="62" spans="2:9" ht="15" customHeight="1" x14ac:dyDescent="0.2">
      <c r="B62" t="s">
        <v>191</v>
      </c>
      <c r="C62" s="12">
        <v>4</v>
      </c>
      <c r="D62" s="8">
        <v>1.54</v>
      </c>
      <c r="E62" s="12">
        <v>0</v>
      </c>
      <c r="F62" s="8">
        <v>0</v>
      </c>
      <c r="G62" s="12">
        <v>4</v>
      </c>
      <c r="H62" s="8">
        <v>5.71</v>
      </c>
      <c r="I62" s="12">
        <v>0</v>
      </c>
    </row>
    <row r="63" spans="2:9" ht="15" customHeight="1" x14ac:dyDescent="0.2">
      <c r="B63" t="s">
        <v>152</v>
      </c>
      <c r="C63" s="12">
        <v>4</v>
      </c>
      <c r="D63" s="8">
        <v>1.54</v>
      </c>
      <c r="E63" s="12">
        <v>4</v>
      </c>
      <c r="F63" s="8">
        <v>2.17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147</v>
      </c>
      <c r="C64" s="12">
        <v>4</v>
      </c>
      <c r="D64" s="8">
        <v>1.54</v>
      </c>
      <c r="E64" s="12">
        <v>3</v>
      </c>
      <c r="F64" s="8">
        <v>1.63</v>
      </c>
      <c r="G64" s="12">
        <v>1</v>
      </c>
      <c r="H64" s="8">
        <v>1.43</v>
      </c>
      <c r="I64" s="12">
        <v>0</v>
      </c>
    </row>
    <row r="65" spans="2:9" ht="15" customHeight="1" x14ac:dyDescent="0.2">
      <c r="B65" t="s">
        <v>132</v>
      </c>
      <c r="C65" s="12">
        <v>4</v>
      </c>
      <c r="D65" s="8">
        <v>1.54</v>
      </c>
      <c r="E65" s="12">
        <v>0</v>
      </c>
      <c r="F65" s="8">
        <v>0</v>
      </c>
      <c r="G65" s="12">
        <v>4</v>
      </c>
      <c r="H65" s="8">
        <v>5.71</v>
      </c>
      <c r="I65" s="12">
        <v>0</v>
      </c>
    </row>
    <row r="66" spans="2:9" ht="15" customHeight="1" x14ac:dyDescent="0.2">
      <c r="B66" t="s">
        <v>133</v>
      </c>
      <c r="C66" s="12">
        <v>4</v>
      </c>
      <c r="D66" s="8">
        <v>1.54</v>
      </c>
      <c r="E66" s="12">
        <v>2</v>
      </c>
      <c r="F66" s="8">
        <v>1.0900000000000001</v>
      </c>
      <c r="G66" s="12">
        <v>2</v>
      </c>
      <c r="H66" s="8">
        <v>2.86</v>
      </c>
      <c r="I66" s="12">
        <v>0</v>
      </c>
    </row>
    <row r="67" spans="2:9" ht="15" customHeight="1" x14ac:dyDescent="0.2">
      <c r="B67" t="s">
        <v>208</v>
      </c>
      <c r="C67" s="12">
        <v>4</v>
      </c>
      <c r="D67" s="8">
        <v>1.54</v>
      </c>
      <c r="E67" s="12">
        <v>1</v>
      </c>
      <c r="F67" s="8">
        <v>0.54</v>
      </c>
      <c r="G67" s="12">
        <v>3</v>
      </c>
      <c r="H67" s="8">
        <v>4.29</v>
      </c>
      <c r="I67" s="12">
        <v>0</v>
      </c>
    </row>
    <row r="68" spans="2:9" ht="15" customHeight="1" x14ac:dyDescent="0.2">
      <c r="B68" t="s">
        <v>136</v>
      </c>
      <c r="C68" s="12">
        <v>4</v>
      </c>
      <c r="D68" s="8">
        <v>1.54</v>
      </c>
      <c r="E68" s="12">
        <v>4</v>
      </c>
      <c r="F68" s="8">
        <v>2.17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170</v>
      </c>
      <c r="C69" s="12">
        <v>4</v>
      </c>
      <c r="D69" s="8">
        <v>1.54</v>
      </c>
      <c r="E69" s="12">
        <v>2</v>
      </c>
      <c r="F69" s="8">
        <v>1.0900000000000001</v>
      </c>
      <c r="G69" s="12">
        <v>1</v>
      </c>
      <c r="H69" s="8">
        <v>1.43</v>
      </c>
      <c r="I69" s="12">
        <v>0</v>
      </c>
    </row>
    <row r="71" spans="2:9" ht="15" customHeight="1" x14ac:dyDescent="0.2">
      <c r="B7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FAB8-9A2D-43BC-81A5-29D56DF8A698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48</v>
      </c>
      <c r="D6" s="8">
        <v>10.37</v>
      </c>
      <c r="E6" s="12">
        <v>14</v>
      </c>
      <c r="F6" s="8">
        <v>4.38</v>
      </c>
      <c r="G6" s="12">
        <v>34</v>
      </c>
      <c r="H6" s="8">
        <v>25</v>
      </c>
      <c r="I6" s="12">
        <v>0</v>
      </c>
    </row>
    <row r="7" spans="2:9" ht="15" customHeight="1" x14ac:dyDescent="0.2">
      <c r="B7" t="s">
        <v>46</v>
      </c>
      <c r="C7" s="12">
        <v>26</v>
      </c>
      <c r="D7" s="8">
        <v>5.62</v>
      </c>
      <c r="E7" s="12">
        <v>12</v>
      </c>
      <c r="F7" s="8">
        <v>3.75</v>
      </c>
      <c r="G7" s="12">
        <v>14</v>
      </c>
      <c r="H7" s="8">
        <v>10.29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3</v>
      </c>
      <c r="D9" s="8">
        <v>0.65</v>
      </c>
      <c r="E9" s="12">
        <v>0</v>
      </c>
      <c r="F9" s="8">
        <v>0</v>
      </c>
      <c r="G9" s="12">
        <v>3</v>
      </c>
      <c r="H9" s="8">
        <v>2.21</v>
      </c>
      <c r="I9" s="12">
        <v>0</v>
      </c>
    </row>
    <row r="10" spans="2:9" ht="15" customHeight="1" x14ac:dyDescent="0.2">
      <c r="B10" t="s">
        <v>49</v>
      </c>
      <c r="C10" s="12">
        <v>6</v>
      </c>
      <c r="D10" s="8">
        <v>1.3</v>
      </c>
      <c r="E10" s="12">
        <v>0</v>
      </c>
      <c r="F10" s="8">
        <v>0</v>
      </c>
      <c r="G10" s="12">
        <v>6</v>
      </c>
      <c r="H10" s="8">
        <v>4.41</v>
      </c>
      <c r="I10" s="12">
        <v>0</v>
      </c>
    </row>
    <row r="11" spans="2:9" ht="15" customHeight="1" x14ac:dyDescent="0.2">
      <c r="B11" t="s">
        <v>50</v>
      </c>
      <c r="C11" s="12">
        <v>132</v>
      </c>
      <c r="D11" s="8">
        <v>28.51</v>
      </c>
      <c r="E11" s="12">
        <v>93</v>
      </c>
      <c r="F11" s="8">
        <v>29.06</v>
      </c>
      <c r="G11" s="12">
        <v>39</v>
      </c>
      <c r="H11" s="8">
        <v>28.68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0.22</v>
      </c>
      <c r="E12" s="12">
        <v>0</v>
      </c>
      <c r="F12" s="8">
        <v>0</v>
      </c>
      <c r="G12" s="12">
        <v>1</v>
      </c>
      <c r="H12" s="8">
        <v>0.74</v>
      </c>
      <c r="I12" s="12">
        <v>0</v>
      </c>
    </row>
    <row r="13" spans="2:9" ht="15" customHeight="1" x14ac:dyDescent="0.2">
      <c r="B13" t="s">
        <v>52</v>
      </c>
      <c r="C13" s="12">
        <v>44</v>
      </c>
      <c r="D13" s="8">
        <v>9.5</v>
      </c>
      <c r="E13" s="12">
        <v>31</v>
      </c>
      <c r="F13" s="8">
        <v>9.69</v>
      </c>
      <c r="G13" s="12">
        <v>12</v>
      </c>
      <c r="H13" s="8">
        <v>8.82</v>
      </c>
      <c r="I13" s="12">
        <v>0</v>
      </c>
    </row>
    <row r="14" spans="2:9" ht="15" customHeight="1" x14ac:dyDescent="0.2">
      <c r="B14" t="s">
        <v>53</v>
      </c>
      <c r="C14" s="12">
        <v>11</v>
      </c>
      <c r="D14" s="8">
        <v>2.38</v>
      </c>
      <c r="E14" s="12">
        <v>8</v>
      </c>
      <c r="F14" s="8">
        <v>2.5</v>
      </c>
      <c r="G14" s="12">
        <v>3</v>
      </c>
      <c r="H14" s="8">
        <v>2.21</v>
      </c>
      <c r="I14" s="12">
        <v>0</v>
      </c>
    </row>
    <row r="15" spans="2:9" ht="15" customHeight="1" x14ac:dyDescent="0.2">
      <c r="B15" t="s">
        <v>54</v>
      </c>
      <c r="C15" s="12">
        <v>101</v>
      </c>
      <c r="D15" s="8">
        <v>21.81</v>
      </c>
      <c r="E15" s="12">
        <v>93</v>
      </c>
      <c r="F15" s="8">
        <v>29.06</v>
      </c>
      <c r="G15" s="12">
        <v>6</v>
      </c>
      <c r="H15" s="8">
        <v>4.41</v>
      </c>
      <c r="I15" s="12">
        <v>0</v>
      </c>
    </row>
    <row r="16" spans="2:9" ht="15" customHeight="1" x14ac:dyDescent="0.2">
      <c r="B16" t="s">
        <v>55</v>
      </c>
      <c r="C16" s="12">
        <v>51</v>
      </c>
      <c r="D16" s="8">
        <v>11.02</v>
      </c>
      <c r="E16" s="12">
        <v>44</v>
      </c>
      <c r="F16" s="8">
        <v>13.75</v>
      </c>
      <c r="G16" s="12">
        <v>6</v>
      </c>
      <c r="H16" s="8">
        <v>4.41</v>
      </c>
      <c r="I16" s="12">
        <v>1</v>
      </c>
    </row>
    <row r="17" spans="2:9" ht="15" customHeight="1" x14ac:dyDescent="0.2">
      <c r="B17" t="s">
        <v>56</v>
      </c>
      <c r="C17" s="12">
        <v>8</v>
      </c>
      <c r="D17" s="8">
        <v>1.73</v>
      </c>
      <c r="E17" s="12">
        <v>7</v>
      </c>
      <c r="F17" s="8">
        <v>2.19</v>
      </c>
      <c r="G17" s="12">
        <v>1</v>
      </c>
      <c r="H17" s="8">
        <v>0.74</v>
      </c>
      <c r="I17" s="12">
        <v>0</v>
      </c>
    </row>
    <row r="18" spans="2:9" ht="15" customHeight="1" x14ac:dyDescent="0.2">
      <c r="B18" t="s">
        <v>57</v>
      </c>
      <c r="C18" s="12">
        <v>9</v>
      </c>
      <c r="D18" s="8">
        <v>1.94</v>
      </c>
      <c r="E18" s="12">
        <v>4</v>
      </c>
      <c r="F18" s="8">
        <v>1.25</v>
      </c>
      <c r="G18" s="12">
        <v>5</v>
      </c>
      <c r="H18" s="8">
        <v>3.68</v>
      </c>
      <c r="I18" s="12">
        <v>0</v>
      </c>
    </row>
    <row r="19" spans="2:9" ht="15" customHeight="1" x14ac:dyDescent="0.2">
      <c r="B19" t="s">
        <v>58</v>
      </c>
      <c r="C19" s="12">
        <v>23</v>
      </c>
      <c r="D19" s="8">
        <v>4.97</v>
      </c>
      <c r="E19" s="12">
        <v>14</v>
      </c>
      <c r="F19" s="8">
        <v>4.38</v>
      </c>
      <c r="G19" s="12">
        <v>6</v>
      </c>
      <c r="H19" s="8">
        <v>4.41</v>
      </c>
      <c r="I19" s="12">
        <v>1</v>
      </c>
    </row>
    <row r="20" spans="2:9" ht="15" customHeight="1" x14ac:dyDescent="0.2">
      <c r="B20" s="9" t="s">
        <v>241</v>
      </c>
      <c r="C20" s="12">
        <f>SUM(LTBL_46530[総数／事業所数])</f>
        <v>463</v>
      </c>
      <c r="E20" s="12">
        <f>SUBTOTAL(109,LTBL_46530[個人／事業所数])</f>
        <v>320</v>
      </c>
      <c r="G20" s="12">
        <f>SUBTOTAL(109,LTBL_46530[法人／事業所数])</f>
        <v>136</v>
      </c>
      <c r="I20" s="12">
        <f>SUBTOTAL(109,LTBL_46530[法人以外の団体／事業所数])</f>
        <v>2</v>
      </c>
    </row>
    <row r="21" spans="2:9" ht="15" customHeight="1" x14ac:dyDescent="0.2">
      <c r="E21" s="11">
        <f>LTBL_46530[[#Totals],[個人／事業所数]]/LTBL_46530[[#Totals],[総数／事業所数]]</f>
        <v>0.69114470842332609</v>
      </c>
      <c r="G21" s="11">
        <f>LTBL_46530[[#Totals],[法人／事業所数]]/LTBL_46530[[#Totals],[総数／事業所数]]</f>
        <v>0.29373650107991361</v>
      </c>
      <c r="I21" s="11">
        <f>LTBL_46530[[#Totals],[法人以外の団体／事業所数]]/LTBL_46530[[#Totals],[総数／事業所数]]</f>
        <v>4.3196544276457886E-3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90</v>
      </c>
      <c r="D24" s="8">
        <v>19.440000000000001</v>
      </c>
      <c r="E24" s="12">
        <v>84</v>
      </c>
      <c r="F24" s="8">
        <v>26.25</v>
      </c>
      <c r="G24" s="12">
        <v>6</v>
      </c>
      <c r="H24" s="8">
        <v>4.41</v>
      </c>
      <c r="I24" s="12">
        <v>0</v>
      </c>
    </row>
    <row r="25" spans="2:9" ht="15" customHeight="1" x14ac:dyDescent="0.2">
      <c r="B25" t="s">
        <v>75</v>
      </c>
      <c r="C25" s="12">
        <v>43</v>
      </c>
      <c r="D25" s="8">
        <v>9.2899999999999991</v>
      </c>
      <c r="E25" s="12">
        <v>27</v>
      </c>
      <c r="F25" s="8">
        <v>8.44</v>
      </c>
      <c r="G25" s="12">
        <v>16</v>
      </c>
      <c r="H25" s="8">
        <v>11.76</v>
      </c>
      <c r="I25" s="12">
        <v>0</v>
      </c>
    </row>
    <row r="26" spans="2:9" ht="15" customHeight="1" x14ac:dyDescent="0.2">
      <c r="B26" t="s">
        <v>82</v>
      </c>
      <c r="C26" s="12">
        <v>41</v>
      </c>
      <c r="D26" s="8">
        <v>8.86</v>
      </c>
      <c r="E26" s="12">
        <v>40</v>
      </c>
      <c r="F26" s="8">
        <v>12.5</v>
      </c>
      <c r="G26" s="12">
        <v>1</v>
      </c>
      <c r="H26" s="8">
        <v>0.74</v>
      </c>
      <c r="I26" s="12">
        <v>0</v>
      </c>
    </row>
    <row r="27" spans="2:9" ht="15" customHeight="1" x14ac:dyDescent="0.2">
      <c r="B27" t="s">
        <v>73</v>
      </c>
      <c r="C27" s="12">
        <v>39</v>
      </c>
      <c r="D27" s="8">
        <v>8.42</v>
      </c>
      <c r="E27" s="12">
        <v>32</v>
      </c>
      <c r="F27" s="8">
        <v>10</v>
      </c>
      <c r="G27" s="12">
        <v>7</v>
      </c>
      <c r="H27" s="8">
        <v>5.15</v>
      </c>
      <c r="I27" s="12">
        <v>0</v>
      </c>
    </row>
    <row r="28" spans="2:9" ht="15" customHeight="1" x14ac:dyDescent="0.2">
      <c r="B28" t="s">
        <v>77</v>
      </c>
      <c r="C28" s="12">
        <v>35</v>
      </c>
      <c r="D28" s="8">
        <v>7.56</v>
      </c>
      <c r="E28" s="12">
        <v>29</v>
      </c>
      <c r="F28" s="8">
        <v>9.06</v>
      </c>
      <c r="G28" s="12">
        <v>5</v>
      </c>
      <c r="H28" s="8">
        <v>3.68</v>
      </c>
      <c r="I28" s="12">
        <v>0</v>
      </c>
    </row>
    <row r="29" spans="2:9" ht="15" customHeight="1" x14ac:dyDescent="0.2">
      <c r="B29" t="s">
        <v>67</v>
      </c>
      <c r="C29" s="12">
        <v>31</v>
      </c>
      <c r="D29" s="8">
        <v>6.7</v>
      </c>
      <c r="E29" s="12">
        <v>4</v>
      </c>
      <c r="F29" s="8">
        <v>1.25</v>
      </c>
      <c r="G29" s="12">
        <v>27</v>
      </c>
      <c r="H29" s="8">
        <v>19.850000000000001</v>
      </c>
      <c r="I29" s="12">
        <v>0</v>
      </c>
    </row>
    <row r="30" spans="2:9" ht="15" customHeight="1" x14ac:dyDescent="0.2">
      <c r="B30" t="s">
        <v>71</v>
      </c>
      <c r="C30" s="12">
        <v>14</v>
      </c>
      <c r="D30" s="8">
        <v>3.02</v>
      </c>
      <c r="E30" s="12">
        <v>8</v>
      </c>
      <c r="F30" s="8">
        <v>2.5</v>
      </c>
      <c r="G30" s="12">
        <v>6</v>
      </c>
      <c r="H30" s="8">
        <v>4.41</v>
      </c>
      <c r="I30" s="12">
        <v>0</v>
      </c>
    </row>
    <row r="31" spans="2:9" ht="15" customHeight="1" x14ac:dyDescent="0.2">
      <c r="B31" t="s">
        <v>86</v>
      </c>
      <c r="C31" s="12">
        <v>14</v>
      </c>
      <c r="D31" s="8">
        <v>3.02</v>
      </c>
      <c r="E31" s="12">
        <v>11</v>
      </c>
      <c r="F31" s="8">
        <v>3.44</v>
      </c>
      <c r="G31" s="12">
        <v>3</v>
      </c>
      <c r="H31" s="8">
        <v>2.21</v>
      </c>
      <c r="I31" s="12">
        <v>0</v>
      </c>
    </row>
    <row r="32" spans="2:9" ht="15" customHeight="1" x14ac:dyDescent="0.2">
      <c r="B32" t="s">
        <v>74</v>
      </c>
      <c r="C32" s="12">
        <v>13</v>
      </c>
      <c r="D32" s="8">
        <v>2.81</v>
      </c>
      <c r="E32" s="12">
        <v>10</v>
      </c>
      <c r="F32" s="8">
        <v>3.13</v>
      </c>
      <c r="G32" s="12">
        <v>3</v>
      </c>
      <c r="H32" s="8">
        <v>2.21</v>
      </c>
      <c r="I32" s="12">
        <v>0</v>
      </c>
    </row>
    <row r="33" spans="2:9" ht="15" customHeight="1" x14ac:dyDescent="0.2">
      <c r="B33" t="s">
        <v>70</v>
      </c>
      <c r="C33" s="12">
        <v>12</v>
      </c>
      <c r="D33" s="8">
        <v>2.59</v>
      </c>
      <c r="E33" s="12">
        <v>8</v>
      </c>
      <c r="F33" s="8">
        <v>2.5</v>
      </c>
      <c r="G33" s="12">
        <v>4</v>
      </c>
      <c r="H33" s="8">
        <v>2.94</v>
      </c>
      <c r="I33" s="12">
        <v>0</v>
      </c>
    </row>
    <row r="34" spans="2:9" ht="15" customHeight="1" x14ac:dyDescent="0.2">
      <c r="B34" t="s">
        <v>72</v>
      </c>
      <c r="C34" s="12">
        <v>12</v>
      </c>
      <c r="D34" s="8">
        <v>2.59</v>
      </c>
      <c r="E34" s="12">
        <v>12</v>
      </c>
      <c r="F34" s="8">
        <v>3.75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68</v>
      </c>
      <c r="C35" s="12">
        <v>10</v>
      </c>
      <c r="D35" s="8">
        <v>2.16</v>
      </c>
      <c r="E35" s="12">
        <v>8</v>
      </c>
      <c r="F35" s="8">
        <v>2.5</v>
      </c>
      <c r="G35" s="12">
        <v>2</v>
      </c>
      <c r="H35" s="8">
        <v>1.47</v>
      </c>
      <c r="I35" s="12">
        <v>0</v>
      </c>
    </row>
    <row r="36" spans="2:9" ht="15" customHeight="1" x14ac:dyDescent="0.2">
      <c r="B36" t="s">
        <v>93</v>
      </c>
      <c r="C36" s="12">
        <v>8</v>
      </c>
      <c r="D36" s="8">
        <v>1.73</v>
      </c>
      <c r="E36" s="12">
        <v>7</v>
      </c>
      <c r="F36" s="8">
        <v>2.19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83</v>
      </c>
      <c r="C37" s="12">
        <v>8</v>
      </c>
      <c r="D37" s="8">
        <v>1.73</v>
      </c>
      <c r="E37" s="12">
        <v>7</v>
      </c>
      <c r="F37" s="8">
        <v>2.19</v>
      </c>
      <c r="G37" s="12">
        <v>1</v>
      </c>
      <c r="H37" s="8">
        <v>0.74</v>
      </c>
      <c r="I37" s="12">
        <v>0</v>
      </c>
    </row>
    <row r="38" spans="2:9" ht="15" customHeight="1" x14ac:dyDescent="0.2">
      <c r="B38" t="s">
        <v>69</v>
      </c>
      <c r="C38" s="12">
        <v>7</v>
      </c>
      <c r="D38" s="8">
        <v>1.51</v>
      </c>
      <c r="E38" s="12">
        <v>2</v>
      </c>
      <c r="F38" s="8">
        <v>0.63</v>
      </c>
      <c r="G38" s="12">
        <v>5</v>
      </c>
      <c r="H38" s="8">
        <v>3.68</v>
      </c>
      <c r="I38" s="12">
        <v>0</v>
      </c>
    </row>
    <row r="39" spans="2:9" ht="15" customHeight="1" x14ac:dyDescent="0.2">
      <c r="B39" t="s">
        <v>79</v>
      </c>
      <c r="C39" s="12">
        <v>7</v>
      </c>
      <c r="D39" s="8">
        <v>1.51</v>
      </c>
      <c r="E39" s="12">
        <v>6</v>
      </c>
      <c r="F39" s="8">
        <v>1.88</v>
      </c>
      <c r="G39" s="12">
        <v>1</v>
      </c>
      <c r="H39" s="8">
        <v>0.74</v>
      </c>
      <c r="I39" s="12">
        <v>0</v>
      </c>
    </row>
    <row r="40" spans="2:9" ht="15" customHeight="1" x14ac:dyDescent="0.2">
      <c r="B40" t="s">
        <v>90</v>
      </c>
      <c r="C40" s="12">
        <v>6</v>
      </c>
      <c r="D40" s="8">
        <v>1.3</v>
      </c>
      <c r="E40" s="12">
        <v>1</v>
      </c>
      <c r="F40" s="8">
        <v>0.31</v>
      </c>
      <c r="G40" s="12">
        <v>5</v>
      </c>
      <c r="H40" s="8">
        <v>3.68</v>
      </c>
      <c r="I40" s="12">
        <v>0</v>
      </c>
    </row>
    <row r="41" spans="2:9" ht="15" customHeight="1" x14ac:dyDescent="0.2">
      <c r="B41" t="s">
        <v>94</v>
      </c>
      <c r="C41" s="12">
        <v>6</v>
      </c>
      <c r="D41" s="8">
        <v>1.3</v>
      </c>
      <c r="E41" s="12">
        <v>3</v>
      </c>
      <c r="F41" s="8">
        <v>0.94</v>
      </c>
      <c r="G41" s="12">
        <v>2</v>
      </c>
      <c r="H41" s="8">
        <v>1.47</v>
      </c>
      <c r="I41" s="12">
        <v>1</v>
      </c>
    </row>
    <row r="42" spans="2:9" ht="15" customHeight="1" x14ac:dyDescent="0.2">
      <c r="B42" t="s">
        <v>76</v>
      </c>
      <c r="C42" s="12">
        <v>5</v>
      </c>
      <c r="D42" s="8">
        <v>1.08</v>
      </c>
      <c r="E42" s="12">
        <v>2</v>
      </c>
      <c r="F42" s="8">
        <v>0.63</v>
      </c>
      <c r="G42" s="12">
        <v>3</v>
      </c>
      <c r="H42" s="8">
        <v>2.21</v>
      </c>
      <c r="I42" s="12">
        <v>0</v>
      </c>
    </row>
    <row r="43" spans="2:9" ht="15" customHeight="1" x14ac:dyDescent="0.2">
      <c r="B43" t="s">
        <v>85</v>
      </c>
      <c r="C43" s="12">
        <v>5</v>
      </c>
      <c r="D43" s="8">
        <v>1.08</v>
      </c>
      <c r="E43" s="12">
        <v>0</v>
      </c>
      <c r="F43" s="8">
        <v>0</v>
      </c>
      <c r="G43" s="12">
        <v>5</v>
      </c>
      <c r="H43" s="8">
        <v>3.68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134</v>
      </c>
      <c r="C47" s="12">
        <v>28</v>
      </c>
      <c r="D47" s="8">
        <v>6.05</v>
      </c>
      <c r="E47" s="12">
        <v>25</v>
      </c>
      <c r="F47" s="8">
        <v>7.81</v>
      </c>
      <c r="G47" s="12">
        <v>2</v>
      </c>
      <c r="H47" s="8">
        <v>1.47</v>
      </c>
      <c r="I47" s="12">
        <v>0</v>
      </c>
    </row>
    <row r="48" spans="2:9" ht="15" customHeight="1" x14ac:dyDescent="0.2">
      <c r="B48" t="s">
        <v>138</v>
      </c>
      <c r="C48" s="12">
        <v>27</v>
      </c>
      <c r="D48" s="8">
        <v>5.83</v>
      </c>
      <c r="E48" s="12">
        <v>27</v>
      </c>
      <c r="F48" s="8">
        <v>8.44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140</v>
      </c>
      <c r="C49" s="12">
        <v>24</v>
      </c>
      <c r="D49" s="8">
        <v>5.18</v>
      </c>
      <c r="E49" s="12">
        <v>24</v>
      </c>
      <c r="F49" s="8">
        <v>7.5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20</v>
      </c>
      <c r="D50" s="8">
        <v>4.32</v>
      </c>
      <c r="E50" s="12">
        <v>18</v>
      </c>
      <c r="F50" s="8">
        <v>5.63</v>
      </c>
      <c r="G50" s="12">
        <v>2</v>
      </c>
      <c r="H50" s="8">
        <v>1.47</v>
      </c>
      <c r="I50" s="12">
        <v>0</v>
      </c>
    </row>
    <row r="51" spans="2:9" ht="15" customHeight="1" x14ac:dyDescent="0.2">
      <c r="B51" t="s">
        <v>124</v>
      </c>
      <c r="C51" s="12">
        <v>19</v>
      </c>
      <c r="D51" s="8">
        <v>4.0999999999999996</v>
      </c>
      <c r="E51" s="12">
        <v>0</v>
      </c>
      <c r="F51" s="8">
        <v>0</v>
      </c>
      <c r="G51" s="12">
        <v>19</v>
      </c>
      <c r="H51" s="8">
        <v>13.97</v>
      </c>
      <c r="I51" s="12">
        <v>0</v>
      </c>
    </row>
    <row r="52" spans="2:9" ht="15" customHeight="1" x14ac:dyDescent="0.2">
      <c r="B52" t="s">
        <v>133</v>
      </c>
      <c r="C52" s="12">
        <v>14</v>
      </c>
      <c r="D52" s="8">
        <v>3.02</v>
      </c>
      <c r="E52" s="12">
        <v>8</v>
      </c>
      <c r="F52" s="8">
        <v>2.5</v>
      </c>
      <c r="G52" s="12">
        <v>6</v>
      </c>
      <c r="H52" s="8">
        <v>4.41</v>
      </c>
      <c r="I52" s="12">
        <v>0</v>
      </c>
    </row>
    <row r="53" spans="2:9" ht="15" customHeight="1" x14ac:dyDescent="0.2">
      <c r="B53" t="s">
        <v>136</v>
      </c>
      <c r="C53" s="12">
        <v>14</v>
      </c>
      <c r="D53" s="8">
        <v>3.02</v>
      </c>
      <c r="E53" s="12">
        <v>11</v>
      </c>
      <c r="F53" s="8">
        <v>3.44</v>
      </c>
      <c r="G53" s="12">
        <v>3</v>
      </c>
      <c r="H53" s="8">
        <v>2.21</v>
      </c>
      <c r="I53" s="12">
        <v>0</v>
      </c>
    </row>
    <row r="54" spans="2:9" ht="15" customHeight="1" x14ac:dyDescent="0.2">
      <c r="B54" t="s">
        <v>139</v>
      </c>
      <c r="C54" s="12">
        <v>14</v>
      </c>
      <c r="D54" s="8">
        <v>3.02</v>
      </c>
      <c r="E54" s="12">
        <v>14</v>
      </c>
      <c r="F54" s="8">
        <v>4.38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143</v>
      </c>
      <c r="C55" s="12">
        <v>14</v>
      </c>
      <c r="D55" s="8">
        <v>3.02</v>
      </c>
      <c r="E55" s="12">
        <v>11</v>
      </c>
      <c r="F55" s="8">
        <v>3.44</v>
      </c>
      <c r="G55" s="12">
        <v>3</v>
      </c>
      <c r="H55" s="8">
        <v>2.21</v>
      </c>
      <c r="I55" s="12">
        <v>0</v>
      </c>
    </row>
    <row r="56" spans="2:9" ht="15" customHeight="1" x14ac:dyDescent="0.2">
      <c r="B56" t="s">
        <v>167</v>
      </c>
      <c r="C56" s="12">
        <v>13</v>
      </c>
      <c r="D56" s="8">
        <v>2.81</v>
      </c>
      <c r="E56" s="12">
        <v>13</v>
      </c>
      <c r="F56" s="8">
        <v>4.0599999999999996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11</v>
      </c>
      <c r="D57" s="8">
        <v>2.38</v>
      </c>
      <c r="E57" s="12">
        <v>10</v>
      </c>
      <c r="F57" s="8">
        <v>3.13</v>
      </c>
      <c r="G57" s="12">
        <v>1</v>
      </c>
      <c r="H57" s="8">
        <v>0.74</v>
      </c>
      <c r="I57" s="12">
        <v>0</v>
      </c>
    </row>
    <row r="58" spans="2:9" ht="15" customHeight="1" x14ac:dyDescent="0.2">
      <c r="B58" t="s">
        <v>132</v>
      </c>
      <c r="C58" s="12">
        <v>10</v>
      </c>
      <c r="D58" s="8">
        <v>2.16</v>
      </c>
      <c r="E58" s="12">
        <v>4</v>
      </c>
      <c r="F58" s="8">
        <v>1.25</v>
      </c>
      <c r="G58" s="12">
        <v>6</v>
      </c>
      <c r="H58" s="8">
        <v>4.41</v>
      </c>
      <c r="I58" s="12">
        <v>0</v>
      </c>
    </row>
    <row r="59" spans="2:9" ht="15" customHeight="1" x14ac:dyDescent="0.2">
      <c r="B59" t="s">
        <v>156</v>
      </c>
      <c r="C59" s="12">
        <v>10</v>
      </c>
      <c r="D59" s="8">
        <v>2.16</v>
      </c>
      <c r="E59" s="12">
        <v>9</v>
      </c>
      <c r="F59" s="8">
        <v>2.81</v>
      </c>
      <c r="G59" s="12">
        <v>1</v>
      </c>
      <c r="H59" s="8">
        <v>0.74</v>
      </c>
      <c r="I59" s="12">
        <v>0</v>
      </c>
    </row>
    <row r="60" spans="2:9" ht="15" customHeight="1" x14ac:dyDescent="0.2">
      <c r="B60" t="s">
        <v>127</v>
      </c>
      <c r="C60" s="12">
        <v>9</v>
      </c>
      <c r="D60" s="8">
        <v>1.94</v>
      </c>
      <c r="E60" s="12">
        <v>7</v>
      </c>
      <c r="F60" s="8">
        <v>2.19</v>
      </c>
      <c r="G60" s="12">
        <v>2</v>
      </c>
      <c r="H60" s="8">
        <v>1.47</v>
      </c>
      <c r="I60" s="12">
        <v>0</v>
      </c>
    </row>
    <row r="61" spans="2:9" ht="15" customHeight="1" x14ac:dyDescent="0.2">
      <c r="B61" t="s">
        <v>130</v>
      </c>
      <c r="C61" s="12">
        <v>9</v>
      </c>
      <c r="D61" s="8">
        <v>1.94</v>
      </c>
      <c r="E61" s="12">
        <v>7</v>
      </c>
      <c r="F61" s="8">
        <v>2.19</v>
      </c>
      <c r="G61" s="12">
        <v>2</v>
      </c>
      <c r="H61" s="8">
        <v>1.47</v>
      </c>
      <c r="I61" s="12">
        <v>0</v>
      </c>
    </row>
    <row r="62" spans="2:9" ht="15" customHeight="1" x14ac:dyDescent="0.2">
      <c r="B62" t="s">
        <v>155</v>
      </c>
      <c r="C62" s="12">
        <v>8</v>
      </c>
      <c r="D62" s="8">
        <v>1.73</v>
      </c>
      <c r="E62" s="12">
        <v>5</v>
      </c>
      <c r="F62" s="8">
        <v>1.56</v>
      </c>
      <c r="G62" s="12">
        <v>3</v>
      </c>
      <c r="H62" s="8">
        <v>2.21</v>
      </c>
      <c r="I62" s="12">
        <v>0</v>
      </c>
    </row>
    <row r="63" spans="2:9" ht="15" customHeight="1" x14ac:dyDescent="0.2">
      <c r="B63" t="s">
        <v>204</v>
      </c>
      <c r="C63" s="12">
        <v>7</v>
      </c>
      <c r="D63" s="8">
        <v>1.51</v>
      </c>
      <c r="E63" s="12">
        <v>7</v>
      </c>
      <c r="F63" s="8">
        <v>2.19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216</v>
      </c>
      <c r="C64" s="12">
        <v>7</v>
      </c>
      <c r="D64" s="8">
        <v>1.51</v>
      </c>
      <c r="E64" s="12">
        <v>6</v>
      </c>
      <c r="F64" s="8">
        <v>1.88</v>
      </c>
      <c r="G64" s="12">
        <v>1</v>
      </c>
      <c r="H64" s="8">
        <v>0.74</v>
      </c>
      <c r="I64" s="12">
        <v>0</v>
      </c>
    </row>
    <row r="65" spans="2:9" ht="15" customHeight="1" x14ac:dyDescent="0.2">
      <c r="B65" t="s">
        <v>199</v>
      </c>
      <c r="C65" s="12">
        <v>7</v>
      </c>
      <c r="D65" s="8">
        <v>1.51</v>
      </c>
      <c r="E65" s="12">
        <v>7</v>
      </c>
      <c r="F65" s="8">
        <v>2.19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125</v>
      </c>
      <c r="C66" s="12">
        <v>6</v>
      </c>
      <c r="D66" s="8">
        <v>1.3</v>
      </c>
      <c r="E66" s="12">
        <v>2</v>
      </c>
      <c r="F66" s="8">
        <v>0.63</v>
      </c>
      <c r="G66" s="12">
        <v>4</v>
      </c>
      <c r="H66" s="8">
        <v>2.94</v>
      </c>
      <c r="I66" s="12">
        <v>0</v>
      </c>
    </row>
    <row r="67" spans="2:9" ht="15" customHeight="1" x14ac:dyDescent="0.2">
      <c r="B67" t="s">
        <v>159</v>
      </c>
      <c r="C67" s="12">
        <v>6</v>
      </c>
      <c r="D67" s="8">
        <v>1.3</v>
      </c>
      <c r="E67" s="12">
        <v>3</v>
      </c>
      <c r="F67" s="8">
        <v>0.94</v>
      </c>
      <c r="G67" s="12">
        <v>3</v>
      </c>
      <c r="H67" s="8">
        <v>2.21</v>
      </c>
      <c r="I67" s="12">
        <v>0</v>
      </c>
    </row>
    <row r="68" spans="2:9" ht="15" customHeight="1" x14ac:dyDescent="0.2">
      <c r="B68" t="s">
        <v>154</v>
      </c>
      <c r="C68" s="12">
        <v>6</v>
      </c>
      <c r="D68" s="8">
        <v>1.3</v>
      </c>
      <c r="E68" s="12">
        <v>3</v>
      </c>
      <c r="F68" s="8">
        <v>0.94</v>
      </c>
      <c r="G68" s="12">
        <v>3</v>
      </c>
      <c r="H68" s="8">
        <v>2.21</v>
      </c>
      <c r="I68" s="12">
        <v>0</v>
      </c>
    </row>
    <row r="69" spans="2:9" ht="15" customHeight="1" x14ac:dyDescent="0.2">
      <c r="B69" t="s">
        <v>234</v>
      </c>
      <c r="C69" s="12">
        <v>6</v>
      </c>
      <c r="D69" s="8">
        <v>1.3</v>
      </c>
      <c r="E69" s="12">
        <v>3</v>
      </c>
      <c r="F69" s="8">
        <v>0.94</v>
      </c>
      <c r="G69" s="12">
        <v>3</v>
      </c>
      <c r="H69" s="8">
        <v>2.21</v>
      </c>
      <c r="I69" s="12">
        <v>0</v>
      </c>
    </row>
    <row r="70" spans="2:9" ht="15" customHeight="1" x14ac:dyDescent="0.2">
      <c r="B70" t="s">
        <v>145</v>
      </c>
      <c r="C70" s="12">
        <v>6</v>
      </c>
      <c r="D70" s="8">
        <v>1.3</v>
      </c>
      <c r="E70" s="12">
        <v>4</v>
      </c>
      <c r="F70" s="8">
        <v>1.25</v>
      </c>
      <c r="G70" s="12">
        <v>2</v>
      </c>
      <c r="H70" s="8">
        <v>1.47</v>
      </c>
      <c r="I70" s="12">
        <v>0</v>
      </c>
    </row>
    <row r="71" spans="2:9" ht="15" customHeight="1" x14ac:dyDescent="0.2">
      <c r="B71" t="s">
        <v>135</v>
      </c>
      <c r="C71" s="12">
        <v>6</v>
      </c>
      <c r="D71" s="8">
        <v>1.3</v>
      </c>
      <c r="E71" s="12">
        <v>5</v>
      </c>
      <c r="F71" s="8">
        <v>1.56</v>
      </c>
      <c r="G71" s="12">
        <v>1</v>
      </c>
      <c r="H71" s="8">
        <v>0.74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F58B-E40C-466A-8608-884E9B208C9C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26</v>
      </c>
      <c r="D6" s="8">
        <v>13.83</v>
      </c>
      <c r="E6" s="12">
        <v>2</v>
      </c>
      <c r="F6" s="8">
        <v>1.98</v>
      </c>
      <c r="G6" s="12">
        <v>24</v>
      </c>
      <c r="H6" s="8">
        <v>29.63</v>
      </c>
      <c r="I6" s="12">
        <v>0</v>
      </c>
    </row>
    <row r="7" spans="2:9" ht="15" customHeight="1" x14ac:dyDescent="0.2">
      <c r="B7" t="s">
        <v>46</v>
      </c>
      <c r="C7" s="12">
        <v>16</v>
      </c>
      <c r="D7" s="8">
        <v>8.51</v>
      </c>
      <c r="E7" s="12">
        <v>7</v>
      </c>
      <c r="F7" s="8">
        <v>6.93</v>
      </c>
      <c r="G7" s="12">
        <v>9</v>
      </c>
      <c r="H7" s="8">
        <v>11.11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0.53</v>
      </c>
      <c r="E8" s="12">
        <v>0</v>
      </c>
      <c r="F8" s="8">
        <v>0</v>
      </c>
      <c r="G8" s="12">
        <v>1</v>
      </c>
      <c r="H8" s="8">
        <v>1.23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0.53</v>
      </c>
      <c r="E9" s="12">
        <v>0</v>
      </c>
      <c r="F9" s="8">
        <v>0</v>
      </c>
      <c r="G9" s="12">
        <v>1</v>
      </c>
      <c r="H9" s="8">
        <v>1.23</v>
      </c>
      <c r="I9" s="12">
        <v>0</v>
      </c>
    </row>
    <row r="10" spans="2:9" ht="15" customHeight="1" x14ac:dyDescent="0.2">
      <c r="B10" t="s">
        <v>49</v>
      </c>
      <c r="C10" s="12">
        <v>4</v>
      </c>
      <c r="D10" s="8">
        <v>2.13</v>
      </c>
      <c r="E10" s="12">
        <v>0</v>
      </c>
      <c r="F10" s="8">
        <v>0</v>
      </c>
      <c r="G10" s="12">
        <v>4</v>
      </c>
      <c r="H10" s="8">
        <v>4.9400000000000004</v>
      </c>
      <c r="I10" s="12">
        <v>0</v>
      </c>
    </row>
    <row r="11" spans="2:9" ht="15" customHeight="1" x14ac:dyDescent="0.2">
      <c r="B11" t="s">
        <v>50</v>
      </c>
      <c r="C11" s="12">
        <v>63</v>
      </c>
      <c r="D11" s="8">
        <v>33.51</v>
      </c>
      <c r="E11" s="12">
        <v>37</v>
      </c>
      <c r="F11" s="8">
        <v>36.630000000000003</v>
      </c>
      <c r="G11" s="12">
        <v>26</v>
      </c>
      <c r="H11" s="8">
        <v>32.1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0.53</v>
      </c>
      <c r="E12" s="12">
        <v>0</v>
      </c>
      <c r="F12" s="8">
        <v>0</v>
      </c>
      <c r="G12" s="12">
        <v>1</v>
      </c>
      <c r="H12" s="8">
        <v>1.23</v>
      </c>
      <c r="I12" s="12">
        <v>0</v>
      </c>
    </row>
    <row r="13" spans="2:9" ht="15" customHeight="1" x14ac:dyDescent="0.2">
      <c r="B13" t="s">
        <v>52</v>
      </c>
      <c r="C13" s="12">
        <v>2</v>
      </c>
      <c r="D13" s="8">
        <v>1.06</v>
      </c>
      <c r="E13" s="12">
        <v>0</v>
      </c>
      <c r="F13" s="8">
        <v>0</v>
      </c>
      <c r="G13" s="12">
        <v>2</v>
      </c>
      <c r="H13" s="8">
        <v>2.4700000000000002</v>
      </c>
      <c r="I13" s="12">
        <v>0</v>
      </c>
    </row>
    <row r="14" spans="2:9" ht="15" customHeight="1" x14ac:dyDescent="0.2">
      <c r="B14" t="s">
        <v>53</v>
      </c>
      <c r="C14" s="12">
        <v>4</v>
      </c>
      <c r="D14" s="8">
        <v>2.13</v>
      </c>
      <c r="E14" s="12">
        <v>2</v>
      </c>
      <c r="F14" s="8">
        <v>1.98</v>
      </c>
      <c r="G14" s="12">
        <v>2</v>
      </c>
      <c r="H14" s="8">
        <v>2.4700000000000002</v>
      </c>
      <c r="I14" s="12">
        <v>0</v>
      </c>
    </row>
    <row r="15" spans="2:9" ht="15" customHeight="1" x14ac:dyDescent="0.2">
      <c r="B15" t="s">
        <v>54</v>
      </c>
      <c r="C15" s="12">
        <v>28</v>
      </c>
      <c r="D15" s="8">
        <v>14.89</v>
      </c>
      <c r="E15" s="12">
        <v>24</v>
      </c>
      <c r="F15" s="8">
        <v>23.76</v>
      </c>
      <c r="G15" s="12">
        <v>4</v>
      </c>
      <c r="H15" s="8">
        <v>4.9400000000000004</v>
      </c>
      <c r="I15" s="12">
        <v>0</v>
      </c>
    </row>
    <row r="16" spans="2:9" ht="15" customHeight="1" x14ac:dyDescent="0.2">
      <c r="B16" t="s">
        <v>55</v>
      </c>
      <c r="C16" s="12">
        <v>26</v>
      </c>
      <c r="D16" s="8">
        <v>13.83</v>
      </c>
      <c r="E16" s="12">
        <v>23</v>
      </c>
      <c r="F16" s="8">
        <v>22.77</v>
      </c>
      <c r="G16" s="12">
        <v>1</v>
      </c>
      <c r="H16" s="8">
        <v>1.23</v>
      </c>
      <c r="I16" s="12">
        <v>0</v>
      </c>
    </row>
    <row r="17" spans="2:9" ht="15" customHeight="1" x14ac:dyDescent="0.2">
      <c r="B17" t="s">
        <v>56</v>
      </c>
      <c r="C17" s="12">
        <v>3</v>
      </c>
      <c r="D17" s="8">
        <v>1.6</v>
      </c>
      <c r="E17" s="12">
        <v>1</v>
      </c>
      <c r="F17" s="8">
        <v>0.99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57</v>
      </c>
      <c r="C18" s="12">
        <v>5</v>
      </c>
      <c r="D18" s="8">
        <v>2.66</v>
      </c>
      <c r="E18" s="12">
        <v>1</v>
      </c>
      <c r="F18" s="8">
        <v>0.99</v>
      </c>
      <c r="G18" s="12">
        <v>3</v>
      </c>
      <c r="H18" s="8">
        <v>3.7</v>
      </c>
      <c r="I18" s="12">
        <v>0</v>
      </c>
    </row>
    <row r="19" spans="2:9" ht="15" customHeight="1" x14ac:dyDescent="0.2">
      <c r="B19" t="s">
        <v>58</v>
      </c>
      <c r="C19" s="12">
        <v>8</v>
      </c>
      <c r="D19" s="8">
        <v>4.26</v>
      </c>
      <c r="E19" s="12">
        <v>4</v>
      </c>
      <c r="F19" s="8">
        <v>3.96</v>
      </c>
      <c r="G19" s="12">
        <v>3</v>
      </c>
      <c r="H19" s="8">
        <v>3.7</v>
      </c>
      <c r="I19" s="12">
        <v>0</v>
      </c>
    </row>
    <row r="20" spans="2:9" ht="15" customHeight="1" x14ac:dyDescent="0.2">
      <c r="B20" s="9" t="s">
        <v>241</v>
      </c>
      <c r="C20" s="12">
        <f>SUM(LTBL_46531[総数／事業所数])</f>
        <v>188</v>
      </c>
      <c r="E20" s="12">
        <f>SUBTOTAL(109,LTBL_46531[個人／事業所数])</f>
        <v>101</v>
      </c>
      <c r="G20" s="12">
        <f>SUBTOTAL(109,LTBL_46531[法人／事業所数])</f>
        <v>81</v>
      </c>
      <c r="I20" s="12">
        <f>SUBTOTAL(109,LTBL_46531[法人以外の団体／事業所数])</f>
        <v>0</v>
      </c>
    </row>
    <row r="21" spans="2:9" ht="15" customHeight="1" x14ac:dyDescent="0.2">
      <c r="E21" s="11">
        <f>LTBL_46531[[#Totals],[個人／事業所数]]/LTBL_46531[[#Totals],[総数／事業所数]]</f>
        <v>0.53723404255319152</v>
      </c>
      <c r="G21" s="11">
        <f>LTBL_46531[[#Totals],[法人／事業所数]]/LTBL_46531[[#Totals],[総数／事業所数]]</f>
        <v>0.43085106382978722</v>
      </c>
      <c r="I21" s="11">
        <f>LTBL_46531[[#Totals],[法人以外の団体／事業所数]]/LTBL_46531[[#Totals],[総数／事業所数]]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23</v>
      </c>
      <c r="D24" s="8">
        <v>12.23</v>
      </c>
      <c r="E24" s="12">
        <v>22</v>
      </c>
      <c r="F24" s="8">
        <v>21.78</v>
      </c>
      <c r="G24" s="12">
        <v>1</v>
      </c>
      <c r="H24" s="8">
        <v>1.23</v>
      </c>
      <c r="I24" s="12">
        <v>0</v>
      </c>
    </row>
    <row r="25" spans="2:9" ht="15" customHeight="1" x14ac:dyDescent="0.2">
      <c r="B25" t="s">
        <v>67</v>
      </c>
      <c r="C25" s="12">
        <v>21</v>
      </c>
      <c r="D25" s="8">
        <v>11.17</v>
      </c>
      <c r="E25" s="12">
        <v>1</v>
      </c>
      <c r="F25" s="8">
        <v>0.99</v>
      </c>
      <c r="G25" s="12">
        <v>20</v>
      </c>
      <c r="H25" s="8">
        <v>24.69</v>
      </c>
      <c r="I25" s="12">
        <v>0</v>
      </c>
    </row>
    <row r="26" spans="2:9" ht="15" customHeight="1" x14ac:dyDescent="0.2">
      <c r="B26" t="s">
        <v>73</v>
      </c>
      <c r="C26" s="12">
        <v>21</v>
      </c>
      <c r="D26" s="8">
        <v>11.17</v>
      </c>
      <c r="E26" s="12">
        <v>16</v>
      </c>
      <c r="F26" s="8">
        <v>15.84</v>
      </c>
      <c r="G26" s="12">
        <v>5</v>
      </c>
      <c r="H26" s="8">
        <v>6.17</v>
      </c>
      <c r="I26" s="12">
        <v>0</v>
      </c>
    </row>
    <row r="27" spans="2:9" ht="15" customHeight="1" x14ac:dyDescent="0.2">
      <c r="B27" t="s">
        <v>82</v>
      </c>
      <c r="C27" s="12">
        <v>21</v>
      </c>
      <c r="D27" s="8">
        <v>11.17</v>
      </c>
      <c r="E27" s="12">
        <v>21</v>
      </c>
      <c r="F27" s="8">
        <v>20.79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75</v>
      </c>
      <c r="C28" s="12">
        <v>19</v>
      </c>
      <c r="D28" s="8">
        <v>10.11</v>
      </c>
      <c r="E28" s="12">
        <v>10</v>
      </c>
      <c r="F28" s="8">
        <v>9.9</v>
      </c>
      <c r="G28" s="12">
        <v>9</v>
      </c>
      <c r="H28" s="8">
        <v>11.11</v>
      </c>
      <c r="I28" s="12">
        <v>0</v>
      </c>
    </row>
    <row r="29" spans="2:9" ht="15" customHeight="1" x14ac:dyDescent="0.2">
      <c r="B29" t="s">
        <v>72</v>
      </c>
      <c r="C29" s="12">
        <v>7</v>
      </c>
      <c r="D29" s="8">
        <v>3.72</v>
      </c>
      <c r="E29" s="12">
        <v>7</v>
      </c>
      <c r="F29" s="8">
        <v>6.93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71</v>
      </c>
      <c r="C30" s="12">
        <v>6</v>
      </c>
      <c r="D30" s="8">
        <v>3.19</v>
      </c>
      <c r="E30" s="12">
        <v>2</v>
      </c>
      <c r="F30" s="8">
        <v>1.98</v>
      </c>
      <c r="G30" s="12">
        <v>4</v>
      </c>
      <c r="H30" s="8">
        <v>4.9400000000000004</v>
      </c>
      <c r="I30" s="12">
        <v>0</v>
      </c>
    </row>
    <row r="31" spans="2:9" ht="15" customHeight="1" x14ac:dyDescent="0.2">
      <c r="B31" t="s">
        <v>74</v>
      </c>
      <c r="C31" s="12">
        <v>5</v>
      </c>
      <c r="D31" s="8">
        <v>2.66</v>
      </c>
      <c r="E31" s="12">
        <v>2</v>
      </c>
      <c r="F31" s="8">
        <v>1.98</v>
      </c>
      <c r="G31" s="12">
        <v>3</v>
      </c>
      <c r="H31" s="8">
        <v>3.7</v>
      </c>
      <c r="I31" s="12">
        <v>0</v>
      </c>
    </row>
    <row r="32" spans="2:9" ht="15" customHeight="1" x14ac:dyDescent="0.2">
      <c r="B32" t="s">
        <v>69</v>
      </c>
      <c r="C32" s="12">
        <v>4</v>
      </c>
      <c r="D32" s="8">
        <v>2.13</v>
      </c>
      <c r="E32" s="12">
        <v>0</v>
      </c>
      <c r="F32" s="8">
        <v>0</v>
      </c>
      <c r="G32" s="12">
        <v>4</v>
      </c>
      <c r="H32" s="8">
        <v>4.9400000000000004</v>
      </c>
      <c r="I32" s="12">
        <v>0</v>
      </c>
    </row>
    <row r="33" spans="2:9" ht="15" customHeight="1" x14ac:dyDescent="0.2">
      <c r="B33" t="s">
        <v>90</v>
      </c>
      <c r="C33" s="12">
        <v>4</v>
      </c>
      <c r="D33" s="8">
        <v>2.13</v>
      </c>
      <c r="E33" s="12">
        <v>2</v>
      </c>
      <c r="F33" s="8">
        <v>1.98</v>
      </c>
      <c r="G33" s="12">
        <v>2</v>
      </c>
      <c r="H33" s="8">
        <v>2.4700000000000002</v>
      </c>
      <c r="I33" s="12">
        <v>0</v>
      </c>
    </row>
    <row r="34" spans="2:9" ht="15" customHeight="1" x14ac:dyDescent="0.2">
      <c r="B34" t="s">
        <v>98</v>
      </c>
      <c r="C34" s="12">
        <v>4</v>
      </c>
      <c r="D34" s="8">
        <v>2.13</v>
      </c>
      <c r="E34" s="12">
        <v>0</v>
      </c>
      <c r="F34" s="8">
        <v>0</v>
      </c>
      <c r="G34" s="12">
        <v>4</v>
      </c>
      <c r="H34" s="8">
        <v>4.9400000000000004</v>
      </c>
      <c r="I34" s="12">
        <v>0</v>
      </c>
    </row>
    <row r="35" spans="2:9" ht="15" customHeight="1" x14ac:dyDescent="0.2">
      <c r="B35" t="s">
        <v>94</v>
      </c>
      <c r="C35" s="12">
        <v>4</v>
      </c>
      <c r="D35" s="8">
        <v>2.13</v>
      </c>
      <c r="E35" s="12">
        <v>1</v>
      </c>
      <c r="F35" s="8">
        <v>0.99</v>
      </c>
      <c r="G35" s="12">
        <v>1</v>
      </c>
      <c r="H35" s="8">
        <v>1.23</v>
      </c>
      <c r="I35" s="12">
        <v>0</v>
      </c>
    </row>
    <row r="36" spans="2:9" ht="15" customHeight="1" x14ac:dyDescent="0.2">
      <c r="B36" t="s">
        <v>85</v>
      </c>
      <c r="C36" s="12">
        <v>4</v>
      </c>
      <c r="D36" s="8">
        <v>2.13</v>
      </c>
      <c r="E36" s="12">
        <v>0</v>
      </c>
      <c r="F36" s="8">
        <v>0</v>
      </c>
      <c r="G36" s="12">
        <v>3</v>
      </c>
      <c r="H36" s="8">
        <v>3.7</v>
      </c>
      <c r="I36" s="12">
        <v>0</v>
      </c>
    </row>
    <row r="37" spans="2:9" ht="15" customHeight="1" x14ac:dyDescent="0.2">
      <c r="B37" t="s">
        <v>86</v>
      </c>
      <c r="C37" s="12">
        <v>4</v>
      </c>
      <c r="D37" s="8">
        <v>2.13</v>
      </c>
      <c r="E37" s="12">
        <v>3</v>
      </c>
      <c r="F37" s="8">
        <v>2.97</v>
      </c>
      <c r="G37" s="12">
        <v>1</v>
      </c>
      <c r="H37" s="8">
        <v>1.23</v>
      </c>
      <c r="I37" s="12">
        <v>0</v>
      </c>
    </row>
    <row r="38" spans="2:9" ht="15" customHeight="1" x14ac:dyDescent="0.2">
      <c r="B38" t="s">
        <v>70</v>
      </c>
      <c r="C38" s="12">
        <v>3</v>
      </c>
      <c r="D38" s="8">
        <v>1.6</v>
      </c>
      <c r="E38" s="12">
        <v>3</v>
      </c>
      <c r="F38" s="8">
        <v>2.97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119</v>
      </c>
      <c r="C39" s="12">
        <v>3</v>
      </c>
      <c r="D39" s="8">
        <v>1.6</v>
      </c>
      <c r="E39" s="12">
        <v>0</v>
      </c>
      <c r="F39" s="8">
        <v>0</v>
      </c>
      <c r="G39" s="12">
        <v>3</v>
      </c>
      <c r="H39" s="8">
        <v>3.7</v>
      </c>
      <c r="I39" s="12">
        <v>0</v>
      </c>
    </row>
    <row r="40" spans="2:9" ht="15" customHeight="1" x14ac:dyDescent="0.2">
      <c r="B40" t="s">
        <v>79</v>
      </c>
      <c r="C40" s="12">
        <v>3</v>
      </c>
      <c r="D40" s="8">
        <v>1.6</v>
      </c>
      <c r="E40" s="12">
        <v>1</v>
      </c>
      <c r="F40" s="8">
        <v>0.99</v>
      </c>
      <c r="G40" s="12">
        <v>2</v>
      </c>
      <c r="H40" s="8">
        <v>2.4700000000000002</v>
      </c>
      <c r="I40" s="12">
        <v>0</v>
      </c>
    </row>
    <row r="41" spans="2:9" ht="15" customHeight="1" x14ac:dyDescent="0.2">
      <c r="B41" t="s">
        <v>80</v>
      </c>
      <c r="C41" s="12">
        <v>3</v>
      </c>
      <c r="D41" s="8">
        <v>1.6</v>
      </c>
      <c r="E41" s="12">
        <v>1</v>
      </c>
      <c r="F41" s="8">
        <v>0.99</v>
      </c>
      <c r="G41" s="12">
        <v>2</v>
      </c>
      <c r="H41" s="8">
        <v>2.4700000000000002</v>
      </c>
      <c r="I41" s="12">
        <v>0</v>
      </c>
    </row>
    <row r="42" spans="2:9" ht="15" customHeight="1" x14ac:dyDescent="0.2">
      <c r="B42" t="s">
        <v>83</v>
      </c>
      <c r="C42" s="12">
        <v>3</v>
      </c>
      <c r="D42" s="8">
        <v>1.6</v>
      </c>
      <c r="E42" s="12">
        <v>1</v>
      </c>
      <c r="F42" s="8">
        <v>0.99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103</v>
      </c>
      <c r="C43" s="12">
        <v>2</v>
      </c>
      <c r="D43" s="8">
        <v>1.06</v>
      </c>
      <c r="E43" s="12">
        <v>1</v>
      </c>
      <c r="F43" s="8">
        <v>0.99</v>
      </c>
      <c r="G43" s="12">
        <v>1</v>
      </c>
      <c r="H43" s="8">
        <v>1.23</v>
      </c>
      <c r="I43" s="12">
        <v>0</v>
      </c>
    </row>
    <row r="44" spans="2:9" ht="15" customHeight="1" x14ac:dyDescent="0.2">
      <c r="B44" t="s">
        <v>89</v>
      </c>
      <c r="C44" s="12">
        <v>2</v>
      </c>
      <c r="D44" s="8">
        <v>1.06</v>
      </c>
      <c r="E44" s="12">
        <v>0</v>
      </c>
      <c r="F44" s="8">
        <v>0</v>
      </c>
      <c r="G44" s="12">
        <v>2</v>
      </c>
      <c r="H44" s="8">
        <v>2.4700000000000002</v>
      </c>
      <c r="I44" s="12">
        <v>0</v>
      </c>
    </row>
    <row r="45" spans="2:9" ht="15" customHeight="1" x14ac:dyDescent="0.2">
      <c r="B45" t="s">
        <v>93</v>
      </c>
      <c r="C45" s="12">
        <v>2</v>
      </c>
      <c r="D45" s="8">
        <v>1.06</v>
      </c>
      <c r="E45" s="12">
        <v>1</v>
      </c>
      <c r="F45" s="8">
        <v>0.99</v>
      </c>
      <c r="G45" s="12">
        <v>1</v>
      </c>
      <c r="H45" s="8">
        <v>1.23</v>
      </c>
      <c r="I45" s="12">
        <v>0</v>
      </c>
    </row>
    <row r="46" spans="2:9" ht="15" customHeight="1" x14ac:dyDescent="0.2">
      <c r="B46" t="s">
        <v>99</v>
      </c>
      <c r="C46" s="12">
        <v>2</v>
      </c>
      <c r="D46" s="8">
        <v>1.06</v>
      </c>
      <c r="E46" s="12">
        <v>1</v>
      </c>
      <c r="F46" s="8">
        <v>0.99</v>
      </c>
      <c r="G46" s="12">
        <v>1</v>
      </c>
      <c r="H46" s="8">
        <v>1.23</v>
      </c>
      <c r="I46" s="12">
        <v>0</v>
      </c>
    </row>
    <row r="49" spans="2:9" ht="33" customHeight="1" x14ac:dyDescent="0.2">
      <c r="B49" t="s">
        <v>243</v>
      </c>
      <c r="C49" s="10" t="s">
        <v>60</v>
      </c>
      <c r="D49" s="10" t="s">
        <v>61</v>
      </c>
      <c r="E49" s="10" t="s">
        <v>62</v>
      </c>
      <c r="F49" s="10" t="s">
        <v>63</v>
      </c>
      <c r="G49" s="10" t="s">
        <v>64</v>
      </c>
      <c r="H49" s="10" t="s">
        <v>65</v>
      </c>
      <c r="I49" s="10" t="s">
        <v>66</v>
      </c>
    </row>
    <row r="50" spans="2:9" ht="15" customHeight="1" x14ac:dyDescent="0.2">
      <c r="B50" t="s">
        <v>124</v>
      </c>
      <c r="C50" s="12">
        <v>12</v>
      </c>
      <c r="D50" s="8">
        <v>6.38</v>
      </c>
      <c r="E50" s="12">
        <v>0</v>
      </c>
      <c r="F50" s="8">
        <v>0</v>
      </c>
      <c r="G50" s="12">
        <v>12</v>
      </c>
      <c r="H50" s="8">
        <v>14.81</v>
      </c>
      <c r="I50" s="12">
        <v>0</v>
      </c>
    </row>
    <row r="51" spans="2:9" ht="15" customHeight="1" x14ac:dyDescent="0.2">
      <c r="B51" t="s">
        <v>140</v>
      </c>
      <c r="C51" s="12">
        <v>12</v>
      </c>
      <c r="D51" s="8">
        <v>6.38</v>
      </c>
      <c r="E51" s="12">
        <v>12</v>
      </c>
      <c r="F51" s="8">
        <v>11.88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9</v>
      </c>
      <c r="D52" s="8">
        <v>4.79</v>
      </c>
      <c r="E52" s="12">
        <v>8</v>
      </c>
      <c r="F52" s="8">
        <v>7.92</v>
      </c>
      <c r="G52" s="12">
        <v>1</v>
      </c>
      <c r="H52" s="8">
        <v>1.23</v>
      </c>
      <c r="I52" s="12">
        <v>0</v>
      </c>
    </row>
    <row r="53" spans="2:9" ht="15" customHeight="1" x14ac:dyDescent="0.2">
      <c r="B53" t="s">
        <v>129</v>
      </c>
      <c r="C53" s="12">
        <v>8</v>
      </c>
      <c r="D53" s="8">
        <v>4.26</v>
      </c>
      <c r="E53" s="12">
        <v>5</v>
      </c>
      <c r="F53" s="8">
        <v>4.95</v>
      </c>
      <c r="G53" s="12">
        <v>3</v>
      </c>
      <c r="H53" s="8">
        <v>3.7</v>
      </c>
      <c r="I53" s="12">
        <v>0</v>
      </c>
    </row>
    <row r="54" spans="2:9" ht="15" customHeight="1" x14ac:dyDescent="0.2">
      <c r="B54" t="s">
        <v>139</v>
      </c>
      <c r="C54" s="12">
        <v>8</v>
      </c>
      <c r="D54" s="8">
        <v>4.26</v>
      </c>
      <c r="E54" s="12">
        <v>8</v>
      </c>
      <c r="F54" s="8">
        <v>7.92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137</v>
      </c>
      <c r="C55" s="12">
        <v>7</v>
      </c>
      <c r="D55" s="8">
        <v>3.72</v>
      </c>
      <c r="E55" s="12">
        <v>7</v>
      </c>
      <c r="F55" s="8">
        <v>6.93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6</v>
      </c>
      <c r="D56" s="8">
        <v>3.19</v>
      </c>
      <c r="E56" s="12">
        <v>6</v>
      </c>
      <c r="F56" s="8">
        <v>5.94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132</v>
      </c>
      <c r="C57" s="12">
        <v>6</v>
      </c>
      <c r="D57" s="8">
        <v>3.19</v>
      </c>
      <c r="E57" s="12">
        <v>3</v>
      </c>
      <c r="F57" s="8">
        <v>2.97</v>
      </c>
      <c r="G57" s="12">
        <v>3</v>
      </c>
      <c r="H57" s="8">
        <v>3.7</v>
      </c>
      <c r="I57" s="12">
        <v>0</v>
      </c>
    </row>
    <row r="58" spans="2:9" ht="15" customHeight="1" x14ac:dyDescent="0.2">
      <c r="B58" t="s">
        <v>197</v>
      </c>
      <c r="C58" s="12">
        <v>5</v>
      </c>
      <c r="D58" s="8">
        <v>2.66</v>
      </c>
      <c r="E58" s="12">
        <v>0</v>
      </c>
      <c r="F58" s="8">
        <v>0</v>
      </c>
      <c r="G58" s="12">
        <v>5</v>
      </c>
      <c r="H58" s="8">
        <v>6.17</v>
      </c>
      <c r="I58" s="12">
        <v>0</v>
      </c>
    </row>
    <row r="59" spans="2:9" ht="15" customHeight="1" x14ac:dyDescent="0.2">
      <c r="B59" t="s">
        <v>130</v>
      </c>
      <c r="C59" s="12">
        <v>5</v>
      </c>
      <c r="D59" s="8">
        <v>2.66</v>
      </c>
      <c r="E59" s="12">
        <v>2</v>
      </c>
      <c r="F59" s="8">
        <v>1.98</v>
      </c>
      <c r="G59" s="12">
        <v>3</v>
      </c>
      <c r="H59" s="8">
        <v>3.7</v>
      </c>
      <c r="I59" s="12">
        <v>0</v>
      </c>
    </row>
    <row r="60" spans="2:9" ht="15" customHeight="1" x14ac:dyDescent="0.2">
      <c r="B60" t="s">
        <v>138</v>
      </c>
      <c r="C60" s="12">
        <v>5</v>
      </c>
      <c r="D60" s="8">
        <v>2.66</v>
      </c>
      <c r="E60" s="12">
        <v>5</v>
      </c>
      <c r="F60" s="8">
        <v>4.95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131</v>
      </c>
      <c r="C61" s="12">
        <v>4</v>
      </c>
      <c r="D61" s="8">
        <v>2.13</v>
      </c>
      <c r="E61" s="12">
        <v>2</v>
      </c>
      <c r="F61" s="8">
        <v>1.98</v>
      </c>
      <c r="G61" s="12">
        <v>2</v>
      </c>
      <c r="H61" s="8">
        <v>2.4700000000000002</v>
      </c>
      <c r="I61" s="12">
        <v>0</v>
      </c>
    </row>
    <row r="62" spans="2:9" ht="15" customHeight="1" x14ac:dyDescent="0.2">
      <c r="B62" t="s">
        <v>156</v>
      </c>
      <c r="C62" s="12">
        <v>4</v>
      </c>
      <c r="D62" s="8">
        <v>2.13</v>
      </c>
      <c r="E62" s="12">
        <v>3</v>
      </c>
      <c r="F62" s="8">
        <v>2.97</v>
      </c>
      <c r="G62" s="12">
        <v>1</v>
      </c>
      <c r="H62" s="8">
        <v>1.23</v>
      </c>
      <c r="I62" s="12">
        <v>0</v>
      </c>
    </row>
    <row r="63" spans="2:9" ht="15" customHeight="1" x14ac:dyDescent="0.2">
      <c r="B63" t="s">
        <v>136</v>
      </c>
      <c r="C63" s="12">
        <v>4</v>
      </c>
      <c r="D63" s="8">
        <v>2.13</v>
      </c>
      <c r="E63" s="12">
        <v>4</v>
      </c>
      <c r="F63" s="8">
        <v>3.96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143</v>
      </c>
      <c r="C64" s="12">
        <v>4</v>
      </c>
      <c r="D64" s="8">
        <v>2.13</v>
      </c>
      <c r="E64" s="12">
        <v>3</v>
      </c>
      <c r="F64" s="8">
        <v>2.97</v>
      </c>
      <c r="G64" s="12">
        <v>1</v>
      </c>
      <c r="H64" s="8">
        <v>1.23</v>
      </c>
      <c r="I64" s="12">
        <v>0</v>
      </c>
    </row>
    <row r="65" spans="2:9" ht="15" customHeight="1" x14ac:dyDescent="0.2">
      <c r="B65" t="s">
        <v>125</v>
      </c>
      <c r="C65" s="12">
        <v>3</v>
      </c>
      <c r="D65" s="8">
        <v>1.6</v>
      </c>
      <c r="E65" s="12">
        <v>1</v>
      </c>
      <c r="F65" s="8">
        <v>0.99</v>
      </c>
      <c r="G65" s="12">
        <v>2</v>
      </c>
      <c r="H65" s="8">
        <v>2.4700000000000002</v>
      </c>
      <c r="I65" s="12">
        <v>0</v>
      </c>
    </row>
    <row r="66" spans="2:9" ht="15" customHeight="1" x14ac:dyDescent="0.2">
      <c r="B66" t="s">
        <v>126</v>
      </c>
      <c r="C66" s="12">
        <v>3</v>
      </c>
      <c r="D66" s="8">
        <v>1.6</v>
      </c>
      <c r="E66" s="12">
        <v>0</v>
      </c>
      <c r="F66" s="8">
        <v>0</v>
      </c>
      <c r="G66" s="12">
        <v>3</v>
      </c>
      <c r="H66" s="8">
        <v>3.7</v>
      </c>
      <c r="I66" s="12">
        <v>0</v>
      </c>
    </row>
    <row r="67" spans="2:9" ht="15" customHeight="1" x14ac:dyDescent="0.2">
      <c r="B67" t="s">
        <v>232</v>
      </c>
      <c r="C67" s="12">
        <v>3</v>
      </c>
      <c r="D67" s="8">
        <v>1.6</v>
      </c>
      <c r="E67" s="12">
        <v>3</v>
      </c>
      <c r="F67" s="8">
        <v>2.97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235</v>
      </c>
      <c r="C68" s="12">
        <v>3</v>
      </c>
      <c r="D68" s="8">
        <v>1.6</v>
      </c>
      <c r="E68" s="12">
        <v>0</v>
      </c>
      <c r="F68" s="8">
        <v>0</v>
      </c>
      <c r="G68" s="12">
        <v>3</v>
      </c>
      <c r="H68" s="8">
        <v>3.7</v>
      </c>
      <c r="I68" s="12">
        <v>0</v>
      </c>
    </row>
    <row r="69" spans="2:9" ht="15" customHeight="1" x14ac:dyDescent="0.2">
      <c r="B69" t="s">
        <v>154</v>
      </c>
      <c r="C69" s="12">
        <v>3</v>
      </c>
      <c r="D69" s="8">
        <v>1.6</v>
      </c>
      <c r="E69" s="12">
        <v>1</v>
      </c>
      <c r="F69" s="8">
        <v>0.99</v>
      </c>
      <c r="G69" s="12">
        <v>2</v>
      </c>
      <c r="H69" s="8">
        <v>2.4700000000000002</v>
      </c>
      <c r="I69" s="12">
        <v>0</v>
      </c>
    </row>
    <row r="70" spans="2:9" ht="15" customHeight="1" x14ac:dyDescent="0.2">
      <c r="B70" t="s">
        <v>155</v>
      </c>
      <c r="C70" s="12">
        <v>3</v>
      </c>
      <c r="D70" s="8">
        <v>1.6</v>
      </c>
      <c r="E70" s="12">
        <v>1</v>
      </c>
      <c r="F70" s="8">
        <v>0.99</v>
      </c>
      <c r="G70" s="12">
        <v>2</v>
      </c>
      <c r="H70" s="8">
        <v>2.4700000000000002</v>
      </c>
      <c r="I70" s="12">
        <v>0</v>
      </c>
    </row>
    <row r="71" spans="2:9" ht="15" customHeight="1" x14ac:dyDescent="0.2">
      <c r="B71" t="s">
        <v>133</v>
      </c>
      <c r="C71" s="12">
        <v>3</v>
      </c>
      <c r="D71" s="8">
        <v>1.6</v>
      </c>
      <c r="E71" s="12">
        <v>1</v>
      </c>
      <c r="F71" s="8">
        <v>0.99</v>
      </c>
      <c r="G71" s="12">
        <v>2</v>
      </c>
      <c r="H71" s="8">
        <v>2.4700000000000002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6D71-7102-43B8-AFE1-FCE78396F66F}">
  <sheetPr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30</v>
      </c>
      <c r="D6" s="8">
        <v>18.07</v>
      </c>
      <c r="E6" s="12">
        <v>8</v>
      </c>
      <c r="F6" s="8">
        <v>6.84</v>
      </c>
      <c r="G6" s="12">
        <v>22</v>
      </c>
      <c r="H6" s="8">
        <v>47.83</v>
      </c>
      <c r="I6" s="12">
        <v>0</v>
      </c>
    </row>
    <row r="7" spans="2:9" ht="15" customHeight="1" x14ac:dyDescent="0.2">
      <c r="B7" t="s">
        <v>46</v>
      </c>
      <c r="C7" s="12">
        <v>14</v>
      </c>
      <c r="D7" s="8">
        <v>8.43</v>
      </c>
      <c r="E7" s="12">
        <v>11</v>
      </c>
      <c r="F7" s="8">
        <v>9.4</v>
      </c>
      <c r="G7" s="12">
        <v>3</v>
      </c>
      <c r="H7" s="8">
        <v>6.52</v>
      </c>
      <c r="I7" s="12">
        <v>0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1</v>
      </c>
      <c r="D9" s="8">
        <v>0.6</v>
      </c>
      <c r="E9" s="12">
        <v>0</v>
      </c>
      <c r="F9" s="8">
        <v>0</v>
      </c>
      <c r="G9" s="12">
        <v>1</v>
      </c>
      <c r="H9" s="8">
        <v>2.17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1.2</v>
      </c>
      <c r="E10" s="12">
        <v>0</v>
      </c>
      <c r="F10" s="8">
        <v>0</v>
      </c>
      <c r="G10" s="12">
        <v>2</v>
      </c>
      <c r="H10" s="8">
        <v>4.3499999999999996</v>
      </c>
      <c r="I10" s="12">
        <v>0</v>
      </c>
    </row>
    <row r="11" spans="2:9" ht="15" customHeight="1" x14ac:dyDescent="0.2">
      <c r="B11" t="s">
        <v>50</v>
      </c>
      <c r="C11" s="12">
        <v>51</v>
      </c>
      <c r="D11" s="8">
        <v>30.72</v>
      </c>
      <c r="E11" s="12">
        <v>41</v>
      </c>
      <c r="F11" s="8">
        <v>35.04</v>
      </c>
      <c r="G11" s="12">
        <v>10</v>
      </c>
      <c r="H11" s="8">
        <v>21.74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2</v>
      </c>
      <c r="D13" s="8">
        <v>1.2</v>
      </c>
      <c r="E13" s="12">
        <v>2</v>
      </c>
      <c r="F13" s="8">
        <v>1.71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53</v>
      </c>
      <c r="C14" s="12">
        <v>3</v>
      </c>
      <c r="D14" s="8">
        <v>1.81</v>
      </c>
      <c r="E14" s="12">
        <v>0</v>
      </c>
      <c r="F14" s="8">
        <v>0</v>
      </c>
      <c r="G14" s="12">
        <v>2</v>
      </c>
      <c r="H14" s="8">
        <v>4.3499999999999996</v>
      </c>
      <c r="I14" s="12">
        <v>0</v>
      </c>
    </row>
    <row r="15" spans="2:9" ht="15" customHeight="1" x14ac:dyDescent="0.2">
      <c r="B15" t="s">
        <v>54</v>
      </c>
      <c r="C15" s="12">
        <v>23</v>
      </c>
      <c r="D15" s="8">
        <v>13.86</v>
      </c>
      <c r="E15" s="12">
        <v>22</v>
      </c>
      <c r="F15" s="8">
        <v>18.8</v>
      </c>
      <c r="G15" s="12">
        <v>1</v>
      </c>
      <c r="H15" s="8">
        <v>2.17</v>
      </c>
      <c r="I15" s="12">
        <v>0</v>
      </c>
    </row>
    <row r="16" spans="2:9" ht="15" customHeight="1" x14ac:dyDescent="0.2">
      <c r="B16" t="s">
        <v>55</v>
      </c>
      <c r="C16" s="12">
        <v>25</v>
      </c>
      <c r="D16" s="8">
        <v>15.06</v>
      </c>
      <c r="E16" s="12">
        <v>25</v>
      </c>
      <c r="F16" s="8">
        <v>21.37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56</v>
      </c>
      <c r="C17" s="12">
        <v>5</v>
      </c>
      <c r="D17" s="8">
        <v>3.01</v>
      </c>
      <c r="E17" s="12">
        <v>2</v>
      </c>
      <c r="F17" s="8">
        <v>1.71</v>
      </c>
      <c r="G17" s="12">
        <v>1</v>
      </c>
      <c r="H17" s="8">
        <v>2.17</v>
      </c>
      <c r="I17" s="12">
        <v>0</v>
      </c>
    </row>
    <row r="18" spans="2:9" ht="15" customHeight="1" x14ac:dyDescent="0.2">
      <c r="B18" t="s">
        <v>57</v>
      </c>
      <c r="C18" s="12">
        <v>3</v>
      </c>
      <c r="D18" s="8">
        <v>1.81</v>
      </c>
      <c r="E18" s="12">
        <v>2</v>
      </c>
      <c r="F18" s="8">
        <v>1.71</v>
      </c>
      <c r="G18" s="12">
        <v>1</v>
      </c>
      <c r="H18" s="8">
        <v>2.17</v>
      </c>
      <c r="I18" s="12">
        <v>0</v>
      </c>
    </row>
    <row r="19" spans="2:9" ht="15" customHeight="1" x14ac:dyDescent="0.2">
      <c r="B19" t="s">
        <v>58</v>
      </c>
      <c r="C19" s="12">
        <v>7</v>
      </c>
      <c r="D19" s="8">
        <v>4.22</v>
      </c>
      <c r="E19" s="12">
        <v>4</v>
      </c>
      <c r="F19" s="8">
        <v>3.42</v>
      </c>
      <c r="G19" s="12">
        <v>3</v>
      </c>
      <c r="H19" s="8">
        <v>6.52</v>
      </c>
      <c r="I19" s="12">
        <v>0</v>
      </c>
    </row>
    <row r="20" spans="2:9" ht="15" customHeight="1" x14ac:dyDescent="0.2">
      <c r="B20" s="9" t="s">
        <v>241</v>
      </c>
      <c r="C20" s="12">
        <f>SUM(LTBL_46532[総数／事業所数])</f>
        <v>166</v>
      </c>
      <c r="E20" s="12">
        <f>SUBTOTAL(109,LTBL_46532[個人／事業所数])</f>
        <v>117</v>
      </c>
      <c r="G20" s="12">
        <f>SUBTOTAL(109,LTBL_46532[法人／事業所数])</f>
        <v>46</v>
      </c>
      <c r="I20" s="12">
        <f>SUBTOTAL(109,LTBL_46532[法人以外の団体／事業所数])</f>
        <v>0</v>
      </c>
    </row>
    <row r="21" spans="2:9" ht="15" customHeight="1" x14ac:dyDescent="0.2">
      <c r="E21" s="11">
        <f>LTBL_46532[[#Totals],[個人／事業所数]]/LTBL_46532[[#Totals],[総数／事業所数]]</f>
        <v>0.70481927710843373</v>
      </c>
      <c r="G21" s="11">
        <f>LTBL_46532[[#Totals],[法人／事業所数]]/LTBL_46532[[#Totals],[総数／事業所数]]</f>
        <v>0.27710843373493976</v>
      </c>
      <c r="I21" s="11">
        <f>LTBL_46532[[#Totals],[法人以外の団体／事業所数]]/LTBL_46532[[#Totals],[総数／事業所数]]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73</v>
      </c>
      <c r="C24" s="12">
        <v>27</v>
      </c>
      <c r="D24" s="8">
        <v>16.27</v>
      </c>
      <c r="E24" s="12">
        <v>26</v>
      </c>
      <c r="F24" s="8">
        <v>22.22</v>
      </c>
      <c r="G24" s="12">
        <v>1</v>
      </c>
      <c r="H24" s="8">
        <v>2.17</v>
      </c>
      <c r="I24" s="12">
        <v>0</v>
      </c>
    </row>
    <row r="25" spans="2:9" ht="15" customHeight="1" x14ac:dyDescent="0.2">
      <c r="B25" t="s">
        <v>67</v>
      </c>
      <c r="C25" s="12">
        <v>24</v>
      </c>
      <c r="D25" s="8">
        <v>14.46</v>
      </c>
      <c r="E25" s="12">
        <v>7</v>
      </c>
      <c r="F25" s="8">
        <v>5.98</v>
      </c>
      <c r="G25" s="12">
        <v>17</v>
      </c>
      <c r="H25" s="8">
        <v>36.96</v>
      </c>
      <c r="I25" s="12">
        <v>0</v>
      </c>
    </row>
    <row r="26" spans="2:9" ht="15" customHeight="1" x14ac:dyDescent="0.2">
      <c r="B26" t="s">
        <v>82</v>
      </c>
      <c r="C26" s="12">
        <v>24</v>
      </c>
      <c r="D26" s="8">
        <v>14.46</v>
      </c>
      <c r="E26" s="12">
        <v>24</v>
      </c>
      <c r="F26" s="8">
        <v>20.51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81</v>
      </c>
      <c r="C27" s="12">
        <v>19</v>
      </c>
      <c r="D27" s="8">
        <v>11.45</v>
      </c>
      <c r="E27" s="12">
        <v>18</v>
      </c>
      <c r="F27" s="8">
        <v>15.38</v>
      </c>
      <c r="G27" s="12">
        <v>1</v>
      </c>
      <c r="H27" s="8">
        <v>2.17</v>
      </c>
      <c r="I27" s="12">
        <v>0</v>
      </c>
    </row>
    <row r="28" spans="2:9" ht="15" customHeight="1" x14ac:dyDescent="0.2">
      <c r="B28" t="s">
        <v>75</v>
      </c>
      <c r="C28" s="12">
        <v>13</v>
      </c>
      <c r="D28" s="8">
        <v>7.83</v>
      </c>
      <c r="E28" s="12">
        <v>9</v>
      </c>
      <c r="F28" s="8">
        <v>7.69</v>
      </c>
      <c r="G28" s="12">
        <v>4</v>
      </c>
      <c r="H28" s="8">
        <v>8.6999999999999993</v>
      </c>
      <c r="I28" s="12">
        <v>0</v>
      </c>
    </row>
    <row r="29" spans="2:9" ht="15" customHeight="1" x14ac:dyDescent="0.2">
      <c r="B29" t="s">
        <v>70</v>
      </c>
      <c r="C29" s="12">
        <v>9</v>
      </c>
      <c r="D29" s="8">
        <v>5.42</v>
      </c>
      <c r="E29" s="12">
        <v>8</v>
      </c>
      <c r="F29" s="8">
        <v>6.84</v>
      </c>
      <c r="G29" s="12">
        <v>1</v>
      </c>
      <c r="H29" s="8">
        <v>2.17</v>
      </c>
      <c r="I29" s="12">
        <v>0</v>
      </c>
    </row>
    <row r="30" spans="2:9" ht="15" customHeight="1" x14ac:dyDescent="0.2">
      <c r="B30" t="s">
        <v>74</v>
      </c>
      <c r="C30" s="12">
        <v>6</v>
      </c>
      <c r="D30" s="8">
        <v>3.61</v>
      </c>
      <c r="E30" s="12">
        <v>4</v>
      </c>
      <c r="F30" s="8">
        <v>3.42</v>
      </c>
      <c r="G30" s="12">
        <v>2</v>
      </c>
      <c r="H30" s="8">
        <v>4.3499999999999996</v>
      </c>
      <c r="I30" s="12">
        <v>0</v>
      </c>
    </row>
    <row r="31" spans="2:9" ht="15" customHeight="1" x14ac:dyDescent="0.2">
      <c r="B31" t="s">
        <v>83</v>
      </c>
      <c r="C31" s="12">
        <v>5</v>
      </c>
      <c r="D31" s="8">
        <v>3.01</v>
      </c>
      <c r="E31" s="12">
        <v>2</v>
      </c>
      <c r="F31" s="8">
        <v>1.71</v>
      </c>
      <c r="G31" s="12">
        <v>1</v>
      </c>
      <c r="H31" s="8">
        <v>2.17</v>
      </c>
      <c r="I31" s="12">
        <v>0</v>
      </c>
    </row>
    <row r="32" spans="2:9" ht="15" customHeight="1" x14ac:dyDescent="0.2">
      <c r="B32" t="s">
        <v>86</v>
      </c>
      <c r="C32" s="12">
        <v>5</v>
      </c>
      <c r="D32" s="8">
        <v>3.01</v>
      </c>
      <c r="E32" s="12">
        <v>4</v>
      </c>
      <c r="F32" s="8">
        <v>3.42</v>
      </c>
      <c r="G32" s="12">
        <v>1</v>
      </c>
      <c r="H32" s="8">
        <v>2.17</v>
      </c>
      <c r="I32" s="12">
        <v>0</v>
      </c>
    </row>
    <row r="33" spans="2:9" ht="15" customHeight="1" x14ac:dyDescent="0.2">
      <c r="B33" t="s">
        <v>68</v>
      </c>
      <c r="C33" s="12">
        <v>3</v>
      </c>
      <c r="D33" s="8">
        <v>1.81</v>
      </c>
      <c r="E33" s="12">
        <v>0</v>
      </c>
      <c r="F33" s="8">
        <v>0</v>
      </c>
      <c r="G33" s="12">
        <v>3</v>
      </c>
      <c r="H33" s="8">
        <v>6.52</v>
      </c>
      <c r="I33" s="12">
        <v>0</v>
      </c>
    </row>
    <row r="34" spans="2:9" ht="15" customHeight="1" x14ac:dyDescent="0.2">
      <c r="B34" t="s">
        <v>69</v>
      </c>
      <c r="C34" s="12">
        <v>3</v>
      </c>
      <c r="D34" s="8">
        <v>1.81</v>
      </c>
      <c r="E34" s="12">
        <v>1</v>
      </c>
      <c r="F34" s="8">
        <v>0.85</v>
      </c>
      <c r="G34" s="12">
        <v>2</v>
      </c>
      <c r="H34" s="8">
        <v>4.3499999999999996</v>
      </c>
      <c r="I34" s="12">
        <v>0</v>
      </c>
    </row>
    <row r="35" spans="2:9" ht="15" customHeight="1" x14ac:dyDescent="0.2">
      <c r="B35" t="s">
        <v>96</v>
      </c>
      <c r="C35" s="12">
        <v>2</v>
      </c>
      <c r="D35" s="8">
        <v>1.2</v>
      </c>
      <c r="E35" s="12">
        <v>1</v>
      </c>
      <c r="F35" s="8">
        <v>0.85</v>
      </c>
      <c r="G35" s="12">
        <v>1</v>
      </c>
      <c r="H35" s="8">
        <v>2.17</v>
      </c>
      <c r="I35" s="12">
        <v>0</v>
      </c>
    </row>
    <row r="36" spans="2:9" ht="15" customHeight="1" x14ac:dyDescent="0.2">
      <c r="B36" t="s">
        <v>71</v>
      </c>
      <c r="C36" s="12">
        <v>2</v>
      </c>
      <c r="D36" s="8">
        <v>1.2</v>
      </c>
      <c r="E36" s="12">
        <v>1</v>
      </c>
      <c r="F36" s="8">
        <v>0.85</v>
      </c>
      <c r="G36" s="12">
        <v>1</v>
      </c>
      <c r="H36" s="8">
        <v>2.17</v>
      </c>
      <c r="I36" s="12">
        <v>0</v>
      </c>
    </row>
    <row r="37" spans="2:9" ht="15" customHeight="1" x14ac:dyDescent="0.2">
      <c r="B37" t="s">
        <v>79</v>
      </c>
      <c r="C37" s="12">
        <v>2</v>
      </c>
      <c r="D37" s="8">
        <v>1.2</v>
      </c>
      <c r="E37" s="12">
        <v>0</v>
      </c>
      <c r="F37" s="8">
        <v>0</v>
      </c>
      <c r="G37" s="12">
        <v>1</v>
      </c>
      <c r="H37" s="8">
        <v>2.17</v>
      </c>
      <c r="I37" s="12">
        <v>0</v>
      </c>
    </row>
    <row r="38" spans="2:9" ht="15" customHeight="1" x14ac:dyDescent="0.2">
      <c r="B38" t="s">
        <v>80</v>
      </c>
      <c r="C38" s="12">
        <v>2</v>
      </c>
      <c r="D38" s="8">
        <v>1.2</v>
      </c>
      <c r="E38" s="12">
        <v>2</v>
      </c>
      <c r="F38" s="8">
        <v>1.71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93</v>
      </c>
      <c r="C39" s="12">
        <v>2</v>
      </c>
      <c r="D39" s="8">
        <v>1.2</v>
      </c>
      <c r="E39" s="12">
        <v>2</v>
      </c>
      <c r="F39" s="8">
        <v>1.71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84</v>
      </c>
      <c r="C40" s="12">
        <v>2</v>
      </c>
      <c r="D40" s="8">
        <v>1.2</v>
      </c>
      <c r="E40" s="12">
        <v>2</v>
      </c>
      <c r="F40" s="8">
        <v>1.71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90</v>
      </c>
      <c r="C41" s="12">
        <v>1</v>
      </c>
      <c r="D41" s="8">
        <v>0.6</v>
      </c>
      <c r="E41" s="12">
        <v>0</v>
      </c>
      <c r="F41" s="8">
        <v>0</v>
      </c>
      <c r="G41" s="12">
        <v>1</v>
      </c>
      <c r="H41" s="8">
        <v>2.17</v>
      </c>
      <c r="I41" s="12">
        <v>0</v>
      </c>
    </row>
    <row r="42" spans="2:9" ht="15" customHeight="1" x14ac:dyDescent="0.2">
      <c r="B42" t="s">
        <v>102</v>
      </c>
      <c r="C42" s="12">
        <v>1</v>
      </c>
      <c r="D42" s="8">
        <v>0.6</v>
      </c>
      <c r="E42" s="12">
        <v>1</v>
      </c>
      <c r="F42" s="8">
        <v>0.85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103</v>
      </c>
      <c r="C43" s="12">
        <v>1</v>
      </c>
      <c r="D43" s="8">
        <v>0.6</v>
      </c>
      <c r="E43" s="12">
        <v>1</v>
      </c>
      <c r="F43" s="8">
        <v>0.85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120</v>
      </c>
      <c r="C44" s="12">
        <v>1</v>
      </c>
      <c r="D44" s="8">
        <v>0.6</v>
      </c>
      <c r="E44" s="12">
        <v>0</v>
      </c>
      <c r="F44" s="8">
        <v>0</v>
      </c>
      <c r="G44" s="12">
        <v>1</v>
      </c>
      <c r="H44" s="8">
        <v>2.17</v>
      </c>
      <c r="I44" s="12">
        <v>0</v>
      </c>
    </row>
    <row r="45" spans="2:9" ht="15" customHeight="1" x14ac:dyDescent="0.2">
      <c r="B45" t="s">
        <v>119</v>
      </c>
      <c r="C45" s="12">
        <v>1</v>
      </c>
      <c r="D45" s="8">
        <v>0.6</v>
      </c>
      <c r="E45" s="12">
        <v>0</v>
      </c>
      <c r="F45" s="8">
        <v>0</v>
      </c>
      <c r="G45" s="12">
        <v>1</v>
      </c>
      <c r="H45" s="8">
        <v>2.17</v>
      </c>
      <c r="I45" s="12">
        <v>0</v>
      </c>
    </row>
    <row r="46" spans="2:9" ht="15" customHeight="1" x14ac:dyDescent="0.2">
      <c r="B46" t="s">
        <v>100</v>
      </c>
      <c r="C46" s="12">
        <v>1</v>
      </c>
      <c r="D46" s="8">
        <v>0.6</v>
      </c>
      <c r="E46" s="12">
        <v>0</v>
      </c>
      <c r="F46" s="8">
        <v>0</v>
      </c>
      <c r="G46" s="12">
        <v>1</v>
      </c>
      <c r="H46" s="8">
        <v>2.17</v>
      </c>
      <c r="I46" s="12">
        <v>0</v>
      </c>
    </row>
    <row r="47" spans="2:9" ht="15" customHeight="1" x14ac:dyDescent="0.2">
      <c r="B47" t="s">
        <v>87</v>
      </c>
      <c r="C47" s="12">
        <v>1</v>
      </c>
      <c r="D47" s="8">
        <v>0.6</v>
      </c>
      <c r="E47" s="12">
        <v>0</v>
      </c>
      <c r="F47" s="8">
        <v>0</v>
      </c>
      <c r="G47" s="12">
        <v>1</v>
      </c>
      <c r="H47" s="8">
        <v>2.17</v>
      </c>
      <c r="I47" s="12">
        <v>0</v>
      </c>
    </row>
    <row r="48" spans="2:9" ht="15" customHeight="1" x14ac:dyDescent="0.2">
      <c r="B48" t="s">
        <v>88</v>
      </c>
      <c r="C48" s="12">
        <v>1</v>
      </c>
      <c r="D48" s="8">
        <v>0.6</v>
      </c>
      <c r="E48" s="12">
        <v>0</v>
      </c>
      <c r="F48" s="8">
        <v>0</v>
      </c>
      <c r="G48" s="12">
        <v>1</v>
      </c>
      <c r="H48" s="8">
        <v>2.17</v>
      </c>
      <c r="I48" s="12">
        <v>0</v>
      </c>
    </row>
    <row r="49" spans="2:9" ht="15" customHeight="1" x14ac:dyDescent="0.2">
      <c r="B49" t="s">
        <v>72</v>
      </c>
      <c r="C49" s="12">
        <v>1</v>
      </c>
      <c r="D49" s="8">
        <v>0.6</v>
      </c>
      <c r="E49" s="12">
        <v>1</v>
      </c>
      <c r="F49" s="8">
        <v>0.85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76</v>
      </c>
      <c r="C50" s="12">
        <v>1</v>
      </c>
      <c r="D50" s="8">
        <v>0.6</v>
      </c>
      <c r="E50" s="12">
        <v>1</v>
      </c>
      <c r="F50" s="8">
        <v>0.85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77</v>
      </c>
      <c r="C51" s="12">
        <v>1</v>
      </c>
      <c r="D51" s="8">
        <v>0.6</v>
      </c>
      <c r="E51" s="12">
        <v>1</v>
      </c>
      <c r="F51" s="8">
        <v>0.85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78</v>
      </c>
      <c r="C52" s="12">
        <v>1</v>
      </c>
      <c r="D52" s="8">
        <v>0.6</v>
      </c>
      <c r="E52" s="12">
        <v>0</v>
      </c>
      <c r="F52" s="8">
        <v>0</v>
      </c>
      <c r="G52" s="12">
        <v>1</v>
      </c>
      <c r="H52" s="8">
        <v>2.17</v>
      </c>
      <c r="I52" s="12">
        <v>0</v>
      </c>
    </row>
    <row r="53" spans="2:9" ht="15" customHeight="1" x14ac:dyDescent="0.2">
      <c r="B53" t="s">
        <v>94</v>
      </c>
      <c r="C53" s="12">
        <v>1</v>
      </c>
      <c r="D53" s="8">
        <v>0.6</v>
      </c>
      <c r="E53" s="12">
        <v>1</v>
      </c>
      <c r="F53" s="8">
        <v>0.85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85</v>
      </c>
      <c r="C54" s="12">
        <v>1</v>
      </c>
      <c r="D54" s="8">
        <v>0.6</v>
      </c>
      <c r="E54" s="12">
        <v>0</v>
      </c>
      <c r="F54" s="8">
        <v>0</v>
      </c>
      <c r="G54" s="12">
        <v>1</v>
      </c>
      <c r="H54" s="8">
        <v>2.17</v>
      </c>
      <c r="I54" s="12">
        <v>0</v>
      </c>
    </row>
    <row r="55" spans="2:9" ht="15" customHeight="1" x14ac:dyDescent="0.2">
      <c r="B55" t="s">
        <v>121</v>
      </c>
      <c r="C55" s="12">
        <v>1</v>
      </c>
      <c r="D55" s="8">
        <v>0.6</v>
      </c>
      <c r="E55" s="12">
        <v>0</v>
      </c>
      <c r="F55" s="8">
        <v>0</v>
      </c>
      <c r="G55" s="12">
        <v>1</v>
      </c>
      <c r="H55" s="8">
        <v>2.17</v>
      </c>
      <c r="I55" s="12">
        <v>0</v>
      </c>
    </row>
    <row r="56" spans="2:9" ht="15" customHeight="1" x14ac:dyDescent="0.2">
      <c r="B56" t="s">
        <v>95</v>
      </c>
      <c r="C56" s="12">
        <v>1</v>
      </c>
      <c r="D56" s="8">
        <v>0.6</v>
      </c>
      <c r="E56" s="12">
        <v>0</v>
      </c>
      <c r="F56" s="8">
        <v>0</v>
      </c>
      <c r="G56" s="12">
        <v>1</v>
      </c>
      <c r="H56" s="8">
        <v>2.17</v>
      </c>
      <c r="I56" s="12">
        <v>0</v>
      </c>
    </row>
    <row r="59" spans="2:9" ht="33" customHeight="1" x14ac:dyDescent="0.2">
      <c r="B59" t="s">
        <v>243</v>
      </c>
      <c r="C59" s="10" t="s">
        <v>60</v>
      </c>
      <c r="D59" s="10" t="s">
        <v>61</v>
      </c>
      <c r="E59" s="10" t="s">
        <v>62</v>
      </c>
      <c r="F59" s="10" t="s">
        <v>63</v>
      </c>
      <c r="G59" s="10" t="s">
        <v>64</v>
      </c>
      <c r="H59" s="10" t="s">
        <v>65</v>
      </c>
      <c r="I59" s="10" t="s">
        <v>66</v>
      </c>
    </row>
    <row r="60" spans="2:9" ht="15" customHeight="1" x14ac:dyDescent="0.2">
      <c r="B60" t="s">
        <v>124</v>
      </c>
      <c r="C60" s="12">
        <v>16</v>
      </c>
      <c r="D60" s="8">
        <v>9.64</v>
      </c>
      <c r="E60" s="12">
        <v>2</v>
      </c>
      <c r="F60" s="8">
        <v>1.71</v>
      </c>
      <c r="G60" s="12">
        <v>14</v>
      </c>
      <c r="H60" s="8">
        <v>30.43</v>
      </c>
      <c r="I60" s="12">
        <v>0</v>
      </c>
    </row>
    <row r="61" spans="2:9" ht="15" customHeight="1" x14ac:dyDescent="0.2">
      <c r="B61" t="s">
        <v>129</v>
      </c>
      <c r="C61" s="12">
        <v>12</v>
      </c>
      <c r="D61" s="8">
        <v>7.23</v>
      </c>
      <c r="E61" s="12">
        <v>12</v>
      </c>
      <c r="F61" s="8">
        <v>10.26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139</v>
      </c>
      <c r="C62" s="12">
        <v>12</v>
      </c>
      <c r="D62" s="8">
        <v>7.23</v>
      </c>
      <c r="E62" s="12">
        <v>12</v>
      </c>
      <c r="F62" s="8">
        <v>10.26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140</v>
      </c>
      <c r="C63" s="12">
        <v>11</v>
      </c>
      <c r="D63" s="8">
        <v>6.63</v>
      </c>
      <c r="E63" s="12">
        <v>11</v>
      </c>
      <c r="F63" s="8">
        <v>9.4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132</v>
      </c>
      <c r="C64" s="12">
        <v>8</v>
      </c>
      <c r="D64" s="8">
        <v>4.82</v>
      </c>
      <c r="E64" s="12">
        <v>4</v>
      </c>
      <c r="F64" s="8">
        <v>3.42</v>
      </c>
      <c r="G64" s="12">
        <v>4</v>
      </c>
      <c r="H64" s="8">
        <v>8.6999999999999993</v>
      </c>
      <c r="I64" s="12">
        <v>0</v>
      </c>
    </row>
    <row r="65" spans="2:9" ht="15" customHeight="1" x14ac:dyDescent="0.2">
      <c r="B65" t="s">
        <v>127</v>
      </c>
      <c r="C65" s="12">
        <v>7</v>
      </c>
      <c r="D65" s="8">
        <v>4.22</v>
      </c>
      <c r="E65" s="12">
        <v>6</v>
      </c>
      <c r="F65" s="8">
        <v>5.13</v>
      </c>
      <c r="G65" s="12">
        <v>1</v>
      </c>
      <c r="H65" s="8">
        <v>2.17</v>
      </c>
      <c r="I65" s="12">
        <v>0</v>
      </c>
    </row>
    <row r="66" spans="2:9" ht="15" customHeight="1" x14ac:dyDescent="0.2">
      <c r="B66" t="s">
        <v>167</v>
      </c>
      <c r="C66" s="12">
        <v>6</v>
      </c>
      <c r="D66" s="8">
        <v>3.61</v>
      </c>
      <c r="E66" s="12">
        <v>5</v>
      </c>
      <c r="F66" s="8">
        <v>4.2699999999999996</v>
      </c>
      <c r="G66" s="12">
        <v>1</v>
      </c>
      <c r="H66" s="8">
        <v>2.17</v>
      </c>
      <c r="I66" s="12">
        <v>0</v>
      </c>
    </row>
    <row r="67" spans="2:9" ht="15" customHeight="1" x14ac:dyDescent="0.2">
      <c r="B67" t="s">
        <v>130</v>
      </c>
      <c r="C67" s="12">
        <v>5</v>
      </c>
      <c r="D67" s="8">
        <v>3.01</v>
      </c>
      <c r="E67" s="12">
        <v>4</v>
      </c>
      <c r="F67" s="8">
        <v>3.42</v>
      </c>
      <c r="G67" s="12">
        <v>1</v>
      </c>
      <c r="H67" s="8">
        <v>2.17</v>
      </c>
      <c r="I67" s="12">
        <v>0</v>
      </c>
    </row>
    <row r="68" spans="2:9" ht="15" customHeight="1" x14ac:dyDescent="0.2">
      <c r="B68" t="s">
        <v>156</v>
      </c>
      <c r="C68" s="12">
        <v>5</v>
      </c>
      <c r="D68" s="8">
        <v>3.01</v>
      </c>
      <c r="E68" s="12">
        <v>5</v>
      </c>
      <c r="F68" s="8">
        <v>4.2699999999999996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143</v>
      </c>
      <c r="C69" s="12">
        <v>5</v>
      </c>
      <c r="D69" s="8">
        <v>3.01</v>
      </c>
      <c r="E69" s="12">
        <v>4</v>
      </c>
      <c r="F69" s="8">
        <v>3.42</v>
      </c>
      <c r="G69" s="12">
        <v>1</v>
      </c>
      <c r="H69" s="8">
        <v>2.17</v>
      </c>
      <c r="I69" s="12">
        <v>0</v>
      </c>
    </row>
    <row r="70" spans="2:9" ht="15" customHeight="1" x14ac:dyDescent="0.2">
      <c r="B70" t="s">
        <v>157</v>
      </c>
      <c r="C70" s="12">
        <v>4</v>
      </c>
      <c r="D70" s="8">
        <v>2.41</v>
      </c>
      <c r="E70" s="12">
        <v>3</v>
      </c>
      <c r="F70" s="8">
        <v>2.56</v>
      </c>
      <c r="G70" s="12">
        <v>1</v>
      </c>
      <c r="H70" s="8">
        <v>2.17</v>
      </c>
      <c r="I70" s="12">
        <v>0</v>
      </c>
    </row>
    <row r="71" spans="2:9" ht="15" customHeight="1" x14ac:dyDescent="0.2">
      <c r="B71" t="s">
        <v>159</v>
      </c>
      <c r="C71" s="12">
        <v>4</v>
      </c>
      <c r="D71" s="8">
        <v>2.41</v>
      </c>
      <c r="E71" s="12">
        <v>4</v>
      </c>
      <c r="F71" s="8">
        <v>3.42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126</v>
      </c>
      <c r="C72" s="12">
        <v>3</v>
      </c>
      <c r="D72" s="8">
        <v>1.81</v>
      </c>
      <c r="E72" s="12">
        <v>1</v>
      </c>
      <c r="F72" s="8">
        <v>0.85</v>
      </c>
      <c r="G72" s="12">
        <v>2</v>
      </c>
      <c r="H72" s="8">
        <v>4.3499999999999996</v>
      </c>
      <c r="I72" s="12">
        <v>0</v>
      </c>
    </row>
    <row r="73" spans="2:9" ht="15" customHeight="1" x14ac:dyDescent="0.2">
      <c r="B73" t="s">
        <v>160</v>
      </c>
      <c r="C73" s="12">
        <v>3</v>
      </c>
      <c r="D73" s="8">
        <v>1.81</v>
      </c>
      <c r="E73" s="12">
        <v>3</v>
      </c>
      <c r="F73" s="8">
        <v>2.56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204</v>
      </c>
      <c r="C74" s="12">
        <v>3</v>
      </c>
      <c r="D74" s="8">
        <v>1.81</v>
      </c>
      <c r="E74" s="12">
        <v>3</v>
      </c>
      <c r="F74" s="8">
        <v>2.56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125</v>
      </c>
      <c r="C75" s="12">
        <v>2</v>
      </c>
      <c r="D75" s="8">
        <v>1.2</v>
      </c>
      <c r="E75" s="12">
        <v>1</v>
      </c>
      <c r="F75" s="8">
        <v>0.85</v>
      </c>
      <c r="G75" s="12">
        <v>1</v>
      </c>
      <c r="H75" s="8">
        <v>2.17</v>
      </c>
      <c r="I75" s="12">
        <v>0</v>
      </c>
    </row>
    <row r="76" spans="2:9" ht="15" customHeight="1" x14ac:dyDescent="0.2">
      <c r="B76" t="s">
        <v>236</v>
      </c>
      <c r="C76" s="12">
        <v>2</v>
      </c>
      <c r="D76" s="8">
        <v>1.2</v>
      </c>
      <c r="E76" s="12">
        <v>0</v>
      </c>
      <c r="F76" s="8">
        <v>0</v>
      </c>
      <c r="G76" s="12">
        <v>2</v>
      </c>
      <c r="H76" s="8">
        <v>4.3499999999999996</v>
      </c>
      <c r="I76" s="12">
        <v>0</v>
      </c>
    </row>
    <row r="77" spans="2:9" ht="15" customHeight="1" x14ac:dyDescent="0.2">
      <c r="B77" t="s">
        <v>232</v>
      </c>
      <c r="C77" s="12">
        <v>2</v>
      </c>
      <c r="D77" s="8">
        <v>1.2</v>
      </c>
      <c r="E77" s="12">
        <v>1</v>
      </c>
      <c r="F77" s="8">
        <v>0.85</v>
      </c>
      <c r="G77" s="12">
        <v>1</v>
      </c>
      <c r="H77" s="8">
        <v>2.17</v>
      </c>
      <c r="I77" s="12">
        <v>0</v>
      </c>
    </row>
    <row r="78" spans="2:9" ht="15" customHeight="1" x14ac:dyDescent="0.2">
      <c r="B78" t="s">
        <v>207</v>
      </c>
      <c r="C78" s="12">
        <v>2</v>
      </c>
      <c r="D78" s="8">
        <v>1.2</v>
      </c>
      <c r="E78" s="12">
        <v>2</v>
      </c>
      <c r="F78" s="8">
        <v>1.71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162</v>
      </c>
      <c r="C79" s="12">
        <v>2</v>
      </c>
      <c r="D79" s="8">
        <v>1.2</v>
      </c>
      <c r="E79" s="12">
        <v>1</v>
      </c>
      <c r="F79" s="8">
        <v>0.85</v>
      </c>
      <c r="G79" s="12">
        <v>1</v>
      </c>
      <c r="H79" s="8">
        <v>2.17</v>
      </c>
      <c r="I79" s="12">
        <v>0</v>
      </c>
    </row>
    <row r="80" spans="2:9" ht="15" customHeight="1" x14ac:dyDescent="0.2">
      <c r="B80" t="s">
        <v>154</v>
      </c>
      <c r="C80" s="12">
        <v>2</v>
      </c>
      <c r="D80" s="8">
        <v>1.2</v>
      </c>
      <c r="E80" s="12">
        <v>1</v>
      </c>
      <c r="F80" s="8">
        <v>0.85</v>
      </c>
      <c r="G80" s="12">
        <v>1</v>
      </c>
      <c r="H80" s="8">
        <v>2.17</v>
      </c>
      <c r="I80" s="12">
        <v>0</v>
      </c>
    </row>
    <row r="81" spans="2:9" ht="15" customHeight="1" x14ac:dyDescent="0.2">
      <c r="B81" t="s">
        <v>136</v>
      </c>
      <c r="C81" s="12">
        <v>2</v>
      </c>
      <c r="D81" s="8">
        <v>1.2</v>
      </c>
      <c r="E81" s="12">
        <v>2</v>
      </c>
      <c r="F81" s="8">
        <v>1.71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237</v>
      </c>
      <c r="C82" s="12">
        <v>2</v>
      </c>
      <c r="D82" s="8">
        <v>1.2</v>
      </c>
      <c r="E82" s="12">
        <v>2</v>
      </c>
      <c r="F82" s="8">
        <v>1.71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137</v>
      </c>
      <c r="C83" s="12">
        <v>2</v>
      </c>
      <c r="D83" s="8">
        <v>1.2</v>
      </c>
      <c r="E83" s="12">
        <v>2</v>
      </c>
      <c r="F83" s="8">
        <v>1.71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209</v>
      </c>
      <c r="C84" s="12">
        <v>2</v>
      </c>
      <c r="D84" s="8">
        <v>1.2</v>
      </c>
      <c r="E84" s="12">
        <v>2</v>
      </c>
      <c r="F84" s="8">
        <v>1.71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199</v>
      </c>
      <c r="C85" s="12">
        <v>2</v>
      </c>
      <c r="D85" s="8">
        <v>1.2</v>
      </c>
      <c r="E85" s="12">
        <v>2</v>
      </c>
      <c r="F85" s="8">
        <v>1.71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165</v>
      </c>
      <c r="C86" s="12">
        <v>2</v>
      </c>
      <c r="D86" s="8">
        <v>1.2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142</v>
      </c>
      <c r="C87" s="12">
        <v>2</v>
      </c>
      <c r="D87" s="8">
        <v>1.2</v>
      </c>
      <c r="E87" s="12">
        <v>2</v>
      </c>
      <c r="F87" s="8">
        <v>1.71</v>
      </c>
      <c r="G87" s="12">
        <v>0</v>
      </c>
      <c r="H87" s="8">
        <v>0</v>
      </c>
      <c r="I87" s="12">
        <v>0</v>
      </c>
    </row>
    <row r="89" spans="2:9" ht="15" customHeight="1" x14ac:dyDescent="0.2">
      <c r="B8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FCD6-DD7A-4CD3-8991-360F6B574F41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28</v>
      </c>
      <c r="D6" s="8">
        <v>9.89</v>
      </c>
      <c r="E6" s="12">
        <v>15</v>
      </c>
      <c r="F6" s="8">
        <v>7.5</v>
      </c>
      <c r="G6" s="12">
        <v>13</v>
      </c>
      <c r="H6" s="8">
        <v>17.57</v>
      </c>
      <c r="I6" s="12">
        <v>0</v>
      </c>
    </row>
    <row r="7" spans="2:9" ht="15" customHeight="1" x14ac:dyDescent="0.2">
      <c r="B7" t="s">
        <v>46</v>
      </c>
      <c r="C7" s="12">
        <v>16</v>
      </c>
      <c r="D7" s="8">
        <v>5.65</v>
      </c>
      <c r="E7" s="12">
        <v>10</v>
      </c>
      <c r="F7" s="8">
        <v>5</v>
      </c>
      <c r="G7" s="12">
        <v>5</v>
      </c>
      <c r="H7" s="8">
        <v>6.76</v>
      </c>
      <c r="I7" s="12">
        <v>1</v>
      </c>
    </row>
    <row r="8" spans="2:9" ht="15" customHeight="1" x14ac:dyDescent="0.2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0.71</v>
      </c>
      <c r="E9" s="12">
        <v>0</v>
      </c>
      <c r="F9" s="8">
        <v>0</v>
      </c>
      <c r="G9" s="12">
        <v>2</v>
      </c>
      <c r="H9" s="8">
        <v>2.7</v>
      </c>
      <c r="I9" s="12">
        <v>0</v>
      </c>
    </row>
    <row r="10" spans="2:9" ht="15" customHeight="1" x14ac:dyDescent="0.2">
      <c r="B10" t="s">
        <v>49</v>
      </c>
      <c r="C10" s="12">
        <v>3</v>
      </c>
      <c r="D10" s="8">
        <v>1.06</v>
      </c>
      <c r="E10" s="12">
        <v>0</v>
      </c>
      <c r="F10" s="8">
        <v>0</v>
      </c>
      <c r="G10" s="12">
        <v>3</v>
      </c>
      <c r="H10" s="8">
        <v>4.05</v>
      </c>
      <c r="I10" s="12">
        <v>0</v>
      </c>
    </row>
    <row r="11" spans="2:9" ht="15" customHeight="1" x14ac:dyDescent="0.2">
      <c r="B11" t="s">
        <v>50</v>
      </c>
      <c r="C11" s="12">
        <v>80</v>
      </c>
      <c r="D11" s="8">
        <v>28.27</v>
      </c>
      <c r="E11" s="12">
        <v>56</v>
      </c>
      <c r="F11" s="8">
        <v>28</v>
      </c>
      <c r="G11" s="12">
        <v>24</v>
      </c>
      <c r="H11" s="8">
        <v>32.43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15</v>
      </c>
      <c r="D13" s="8">
        <v>5.3</v>
      </c>
      <c r="E13" s="12">
        <v>9</v>
      </c>
      <c r="F13" s="8">
        <v>4.5</v>
      </c>
      <c r="G13" s="12">
        <v>6</v>
      </c>
      <c r="H13" s="8">
        <v>8.11</v>
      </c>
      <c r="I13" s="12">
        <v>0</v>
      </c>
    </row>
    <row r="14" spans="2:9" ht="15" customHeight="1" x14ac:dyDescent="0.2">
      <c r="B14" t="s">
        <v>53</v>
      </c>
      <c r="C14" s="12">
        <v>8</v>
      </c>
      <c r="D14" s="8">
        <v>2.83</v>
      </c>
      <c r="E14" s="12">
        <v>5</v>
      </c>
      <c r="F14" s="8">
        <v>2.5</v>
      </c>
      <c r="G14" s="12">
        <v>2</v>
      </c>
      <c r="H14" s="8">
        <v>2.7</v>
      </c>
      <c r="I14" s="12">
        <v>0</v>
      </c>
    </row>
    <row r="15" spans="2:9" ht="15" customHeight="1" x14ac:dyDescent="0.2">
      <c r="B15" t="s">
        <v>54</v>
      </c>
      <c r="C15" s="12">
        <v>69</v>
      </c>
      <c r="D15" s="8">
        <v>24.38</v>
      </c>
      <c r="E15" s="12">
        <v>61</v>
      </c>
      <c r="F15" s="8">
        <v>30.5</v>
      </c>
      <c r="G15" s="12">
        <v>8</v>
      </c>
      <c r="H15" s="8">
        <v>10.81</v>
      </c>
      <c r="I15" s="12">
        <v>0</v>
      </c>
    </row>
    <row r="16" spans="2:9" ht="15" customHeight="1" x14ac:dyDescent="0.2">
      <c r="B16" t="s">
        <v>55</v>
      </c>
      <c r="C16" s="12">
        <v>24</v>
      </c>
      <c r="D16" s="8">
        <v>8.48</v>
      </c>
      <c r="E16" s="12">
        <v>22</v>
      </c>
      <c r="F16" s="8">
        <v>11</v>
      </c>
      <c r="G16" s="12">
        <v>2</v>
      </c>
      <c r="H16" s="8">
        <v>2.7</v>
      </c>
      <c r="I16" s="12">
        <v>0</v>
      </c>
    </row>
    <row r="17" spans="2:9" ht="15" customHeight="1" x14ac:dyDescent="0.2">
      <c r="B17" t="s">
        <v>56</v>
      </c>
      <c r="C17" s="12">
        <v>15</v>
      </c>
      <c r="D17" s="8">
        <v>5.3</v>
      </c>
      <c r="E17" s="12">
        <v>10</v>
      </c>
      <c r="F17" s="8">
        <v>5</v>
      </c>
      <c r="G17" s="12">
        <v>1</v>
      </c>
      <c r="H17" s="8">
        <v>1.35</v>
      </c>
      <c r="I17" s="12">
        <v>1</v>
      </c>
    </row>
    <row r="18" spans="2:9" ht="15" customHeight="1" x14ac:dyDescent="0.2">
      <c r="B18" t="s">
        <v>57</v>
      </c>
      <c r="C18" s="12">
        <v>9</v>
      </c>
      <c r="D18" s="8">
        <v>3.18</v>
      </c>
      <c r="E18" s="12">
        <v>7</v>
      </c>
      <c r="F18" s="8">
        <v>3.5</v>
      </c>
      <c r="G18" s="12">
        <v>2</v>
      </c>
      <c r="H18" s="8">
        <v>2.7</v>
      </c>
      <c r="I18" s="12">
        <v>0</v>
      </c>
    </row>
    <row r="19" spans="2:9" ht="15" customHeight="1" x14ac:dyDescent="0.2">
      <c r="B19" t="s">
        <v>58</v>
      </c>
      <c r="C19" s="12">
        <v>14</v>
      </c>
      <c r="D19" s="8">
        <v>4.95</v>
      </c>
      <c r="E19" s="12">
        <v>5</v>
      </c>
      <c r="F19" s="8">
        <v>2.5</v>
      </c>
      <c r="G19" s="12">
        <v>6</v>
      </c>
      <c r="H19" s="8">
        <v>8.11</v>
      </c>
      <c r="I19" s="12">
        <v>1</v>
      </c>
    </row>
    <row r="20" spans="2:9" ht="15" customHeight="1" x14ac:dyDescent="0.2">
      <c r="B20" s="9" t="s">
        <v>241</v>
      </c>
      <c r="C20" s="12">
        <f>SUM(LTBL_46533[総数／事業所数])</f>
        <v>283</v>
      </c>
      <c r="E20" s="12">
        <f>SUBTOTAL(109,LTBL_46533[個人／事業所数])</f>
        <v>200</v>
      </c>
      <c r="G20" s="12">
        <f>SUBTOTAL(109,LTBL_46533[法人／事業所数])</f>
        <v>74</v>
      </c>
      <c r="I20" s="12">
        <f>SUBTOTAL(109,LTBL_46533[法人以外の団体／事業所数])</f>
        <v>3</v>
      </c>
    </row>
    <row r="21" spans="2:9" ht="15" customHeight="1" x14ac:dyDescent="0.2">
      <c r="E21" s="11">
        <f>LTBL_46533[[#Totals],[個人／事業所数]]/LTBL_46533[[#Totals],[総数／事業所数]]</f>
        <v>0.70671378091872794</v>
      </c>
      <c r="G21" s="11">
        <f>LTBL_46533[[#Totals],[法人／事業所数]]/LTBL_46533[[#Totals],[総数／事業所数]]</f>
        <v>0.26148409893992935</v>
      </c>
      <c r="I21" s="11">
        <f>LTBL_46533[[#Totals],[法人以外の団体／事業所数]]/LTBL_46533[[#Totals],[総数／事業所数]]</f>
        <v>1.0600706713780919E-2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60</v>
      </c>
      <c r="D24" s="8">
        <v>21.2</v>
      </c>
      <c r="E24" s="12">
        <v>54</v>
      </c>
      <c r="F24" s="8">
        <v>27</v>
      </c>
      <c r="G24" s="12">
        <v>6</v>
      </c>
      <c r="H24" s="8">
        <v>8.11</v>
      </c>
      <c r="I24" s="12">
        <v>0</v>
      </c>
    </row>
    <row r="25" spans="2:9" ht="15" customHeight="1" x14ac:dyDescent="0.2">
      <c r="B25" t="s">
        <v>73</v>
      </c>
      <c r="C25" s="12">
        <v>32</v>
      </c>
      <c r="D25" s="8">
        <v>11.31</v>
      </c>
      <c r="E25" s="12">
        <v>27</v>
      </c>
      <c r="F25" s="8">
        <v>13.5</v>
      </c>
      <c r="G25" s="12">
        <v>5</v>
      </c>
      <c r="H25" s="8">
        <v>6.76</v>
      </c>
      <c r="I25" s="12">
        <v>0</v>
      </c>
    </row>
    <row r="26" spans="2:9" ht="15" customHeight="1" x14ac:dyDescent="0.2">
      <c r="B26" t="s">
        <v>75</v>
      </c>
      <c r="C26" s="12">
        <v>22</v>
      </c>
      <c r="D26" s="8">
        <v>7.77</v>
      </c>
      <c r="E26" s="12">
        <v>13</v>
      </c>
      <c r="F26" s="8">
        <v>6.5</v>
      </c>
      <c r="G26" s="12">
        <v>9</v>
      </c>
      <c r="H26" s="8">
        <v>12.16</v>
      </c>
      <c r="I26" s="12">
        <v>0</v>
      </c>
    </row>
    <row r="27" spans="2:9" ht="15" customHeight="1" x14ac:dyDescent="0.2">
      <c r="B27" t="s">
        <v>82</v>
      </c>
      <c r="C27" s="12">
        <v>17</v>
      </c>
      <c r="D27" s="8">
        <v>6.01</v>
      </c>
      <c r="E27" s="12">
        <v>17</v>
      </c>
      <c r="F27" s="8">
        <v>8.5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83</v>
      </c>
      <c r="C28" s="12">
        <v>15</v>
      </c>
      <c r="D28" s="8">
        <v>5.3</v>
      </c>
      <c r="E28" s="12">
        <v>10</v>
      </c>
      <c r="F28" s="8">
        <v>5</v>
      </c>
      <c r="G28" s="12">
        <v>1</v>
      </c>
      <c r="H28" s="8">
        <v>1.35</v>
      </c>
      <c r="I28" s="12">
        <v>1</v>
      </c>
    </row>
    <row r="29" spans="2:9" ht="15" customHeight="1" x14ac:dyDescent="0.2">
      <c r="B29" t="s">
        <v>77</v>
      </c>
      <c r="C29" s="12">
        <v>12</v>
      </c>
      <c r="D29" s="8">
        <v>4.24</v>
      </c>
      <c r="E29" s="12">
        <v>9</v>
      </c>
      <c r="F29" s="8">
        <v>4.5</v>
      </c>
      <c r="G29" s="12">
        <v>3</v>
      </c>
      <c r="H29" s="8">
        <v>4.05</v>
      </c>
      <c r="I29" s="12">
        <v>0</v>
      </c>
    </row>
    <row r="30" spans="2:9" ht="15" customHeight="1" x14ac:dyDescent="0.2">
      <c r="B30" t="s">
        <v>67</v>
      </c>
      <c r="C30" s="12">
        <v>11</v>
      </c>
      <c r="D30" s="8">
        <v>3.89</v>
      </c>
      <c r="E30" s="12">
        <v>5</v>
      </c>
      <c r="F30" s="8">
        <v>2.5</v>
      </c>
      <c r="G30" s="12">
        <v>6</v>
      </c>
      <c r="H30" s="8">
        <v>8.11</v>
      </c>
      <c r="I30" s="12">
        <v>0</v>
      </c>
    </row>
    <row r="31" spans="2:9" ht="15" customHeight="1" x14ac:dyDescent="0.2">
      <c r="B31" t="s">
        <v>74</v>
      </c>
      <c r="C31" s="12">
        <v>11</v>
      </c>
      <c r="D31" s="8">
        <v>3.89</v>
      </c>
      <c r="E31" s="12">
        <v>7</v>
      </c>
      <c r="F31" s="8">
        <v>3.5</v>
      </c>
      <c r="G31" s="12">
        <v>4</v>
      </c>
      <c r="H31" s="8">
        <v>5.41</v>
      </c>
      <c r="I31" s="12">
        <v>0</v>
      </c>
    </row>
    <row r="32" spans="2:9" ht="15" customHeight="1" x14ac:dyDescent="0.2">
      <c r="B32" t="s">
        <v>70</v>
      </c>
      <c r="C32" s="12">
        <v>10</v>
      </c>
      <c r="D32" s="8">
        <v>3.53</v>
      </c>
      <c r="E32" s="12">
        <v>8</v>
      </c>
      <c r="F32" s="8">
        <v>4</v>
      </c>
      <c r="G32" s="12">
        <v>1</v>
      </c>
      <c r="H32" s="8">
        <v>1.35</v>
      </c>
      <c r="I32" s="12">
        <v>1</v>
      </c>
    </row>
    <row r="33" spans="2:9" ht="15" customHeight="1" x14ac:dyDescent="0.2">
      <c r="B33" t="s">
        <v>68</v>
      </c>
      <c r="C33" s="12">
        <v>9</v>
      </c>
      <c r="D33" s="8">
        <v>3.18</v>
      </c>
      <c r="E33" s="12">
        <v>7</v>
      </c>
      <c r="F33" s="8">
        <v>3.5</v>
      </c>
      <c r="G33" s="12">
        <v>2</v>
      </c>
      <c r="H33" s="8">
        <v>2.7</v>
      </c>
      <c r="I33" s="12">
        <v>0</v>
      </c>
    </row>
    <row r="34" spans="2:9" ht="15" customHeight="1" x14ac:dyDescent="0.2">
      <c r="B34" t="s">
        <v>69</v>
      </c>
      <c r="C34" s="12">
        <v>8</v>
      </c>
      <c r="D34" s="8">
        <v>2.83</v>
      </c>
      <c r="E34" s="12">
        <v>3</v>
      </c>
      <c r="F34" s="8">
        <v>1.5</v>
      </c>
      <c r="G34" s="12">
        <v>5</v>
      </c>
      <c r="H34" s="8">
        <v>6.76</v>
      </c>
      <c r="I34" s="12">
        <v>0</v>
      </c>
    </row>
    <row r="35" spans="2:9" ht="15" customHeight="1" x14ac:dyDescent="0.2">
      <c r="B35" t="s">
        <v>80</v>
      </c>
      <c r="C35" s="12">
        <v>7</v>
      </c>
      <c r="D35" s="8">
        <v>2.4700000000000002</v>
      </c>
      <c r="E35" s="12">
        <v>5</v>
      </c>
      <c r="F35" s="8">
        <v>2.5</v>
      </c>
      <c r="G35" s="12">
        <v>2</v>
      </c>
      <c r="H35" s="8">
        <v>2.7</v>
      </c>
      <c r="I35" s="12">
        <v>0</v>
      </c>
    </row>
    <row r="36" spans="2:9" ht="15" customHeight="1" x14ac:dyDescent="0.2">
      <c r="B36" t="s">
        <v>84</v>
      </c>
      <c r="C36" s="12">
        <v>7</v>
      </c>
      <c r="D36" s="8">
        <v>2.4700000000000002</v>
      </c>
      <c r="E36" s="12">
        <v>7</v>
      </c>
      <c r="F36" s="8">
        <v>3.5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86</v>
      </c>
      <c r="C37" s="12">
        <v>7</v>
      </c>
      <c r="D37" s="8">
        <v>2.4700000000000002</v>
      </c>
      <c r="E37" s="12">
        <v>5</v>
      </c>
      <c r="F37" s="8">
        <v>2.5</v>
      </c>
      <c r="G37" s="12">
        <v>2</v>
      </c>
      <c r="H37" s="8">
        <v>2.7</v>
      </c>
      <c r="I37" s="12">
        <v>0</v>
      </c>
    </row>
    <row r="38" spans="2:9" ht="15" customHeight="1" x14ac:dyDescent="0.2">
      <c r="B38" t="s">
        <v>72</v>
      </c>
      <c r="C38" s="12">
        <v>5</v>
      </c>
      <c r="D38" s="8">
        <v>1.77</v>
      </c>
      <c r="E38" s="12">
        <v>5</v>
      </c>
      <c r="F38" s="8">
        <v>2.5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71</v>
      </c>
      <c r="C39" s="12">
        <v>4</v>
      </c>
      <c r="D39" s="8">
        <v>1.41</v>
      </c>
      <c r="E39" s="12">
        <v>2</v>
      </c>
      <c r="F39" s="8">
        <v>1</v>
      </c>
      <c r="G39" s="12">
        <v>2</v>
      </c>
      <c r="H39" s="8">
        <v>2.7</v>
      </c>
      <c r="I39" s="12">
        <v>0</v>
      </c>
    </row>
    <row r="40" spans="2:9" ht="15" customHeight="1" x14ac:dyDescent="0.2">
      <c r="B40" t="s">
        <v>79</v>
      </c>
      <c r="C40" s="12">
        <v>4</v>
      </c>
      <c r="D40" s="8">
        <v>1.41</v>
      </c>
      <c r="E40" s="12">
        <v>2</v>
      </c>
      <c r="F40" s="8">
        <v>1</v>
      </c>
      <c r="G40" s="12">
        <v>2</v>
      </c>
      <c r="H40" s="8">
        <v>2.7</v>
      </c>
      <c r="I40" s="12">
        <v>0</v>
      </c>
    </row>
    <row r="41" spans="2:9" ht="15" customHeight="1" x14ac:dyDescent="0.2">
      <c r="B41" t="s">
        <v>94</v>
      </c>
      <c r="C41" s="12">
        <v>4</v>
      </c>
      <c r="D41" s="8">
        <v>1.41</v>
      </c>
      <c r="E41" s="12">
        <v>3</v>
      </c>
      <c r="F41" s="8">
        <v>1.5</v>
      </c>
      <c r="G41" s="12">
        <v>1</v>
      </c>
      <c r="H41" s="8">
        <v>1.35</v>
      </c>
      <c r="I41" s="12">
        <v>0</v>
      </c>
    </row>
    <row r="42" spans="2:9" ht="15" customHeight="1" x14ac:dyDescent="0.2">
      <c r="B42" t="s">
        <v>90</v>
      </c>
      <c r="C42" s="12">
        <v>3</v>
      </c>
      <c r="D42" s="8">
        <v>1.06</v>
      </c>
      <c r="E42" s="12">
        <v>0</v>
      </c>
      <c r="F42" s="8">
        <v>0</v>
      </c>
      <c r="G42" s="12">
        <v>3</v>
      </c>
      <c r="H42" s="8">
        <v>4.05</v>
      </c>
      <c r="I42" s="12">
        <v>0</v>
      </c>
    </row>
    <row r="43" spans="2:9" ht="15" customHeight="1" x14ac:dyDescent="0.2">
      <c r="B43" t="s">
        <v>89</v>
      </c>
      <c r="C43" s="12">
        <v>3</v>
      </c>
      <c r="D43" s="8">
        <v>1.06</v>
      </c>
      <c r="E43" s="12">
        <v>2</v>
      </c>
      <c r="F43" s="8">
        <v>1</v>
      </c>
      <c r="G43" s="12">
        <v>1</v>
      </c>
      <c r="H43" s="8">
        <v>1.35</v>
      </c>
      <c r="I43" s="12">
        <v>0</v>
      </c>
    </row>
    <row r="44" spans="2:9" ht="15" customHeight="1" x14ac:dyDescent="0.2">
      <c r="B44" t="s">
        <v>78</v>
      </c>
      <c r="C44" s="12">
        <v>3</v>
      </c>
      <c r="D44" s="8">
        <v>1.06</v>
      </c>
      <c r="E44" s="12">
        <v>3</v>
      </c>
      <c r="F44" s="8">
        <v>1.5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3</v>
      </c>
      <c r="D45" s="8">
        <v>1.06</v>
      </c>
      <c r="E45" s="12">
        <v>2</v>
      </c>
      <c r="F45" s="8">
        <v>1</v>
      </c>
      <c r="G45" s="12">
        <v>1</v>
      </c>
      <c r="H45" s="8">
        <v>1.35</v>
      </c>
      <c r="I45" s="12">
        <v>0</v>
      </c>
    </row>
    <row r="46" spans="2:9" ht="15" customHeight="1" x14ac:dyDescent="0.2">
      <c r="B46" t="s">
        <v>111</v>
      </c>
      <c r="C46" s="12">
        <v>3</v>
      </c>
      <c r="D46" s="8">
        <v>1.06</v>
      </c>
      <c r="E46" s="12">
        <v>0</v>
      </c>
      <c r="F46" s="8">
        <v>0</v>
      </c>
      <c r="G46" s="12">
        <v>2</v>
      </c>
      <c r="H46" s="8">
        <v>2.7</v>
      </c>
      <c r="I46" s="12">
        <v>0</v>
      </c>
    </row>
    <row r="49" spans="2:9" ht="33" customHeight="1" x14ac:dyDescent="0.2">
      <c r="B49" t="s">
        <v>243</v>
      </c>
      <c r="C49" s="10" t="s">
        <v>60</v>
      </c>
      <c r="D49" s="10" t="s">
        <v>61</v>
      </c>
      <c r="E49" s="10" t="s">
        <v>62</v>
      </c>
      <c r="F49" s="10" t="s">
        <v>63</v>
      </c>
      <c r="G49" s="10" t="s">
        <v>64</v>
      </c>
      <c r="H49" s="10" t="s">
        <v>65</v>
      </c>
      <c r="I49" s="10" t="s">
        <v>66</v>
      </c>
    </row>
    <row r="50" spans="2:9" ht="15" customHeight="1" x14ac:dyDescent="0.2">
      <c r="B50" t="s">
        <v>137</v>
      </c>
      <c r="C50" s="12">
        <v>22</v>
      </c>
      <c r="D50" s="8">
        <v>7.77</v>
      </c>
      <c r="E50" s="12">
        <v>20</v>
      </c>
      <c r="F50" s="8">
        <v>10</v>
      </c>
      <c r="G50" s="12">
        <v>2</v>
      </c>
      <c r="H50" s="8">
        <v>2.7</v>
      </c>
      <c r="I50" s="12">
        <v>0</v>
      </c>
    </row>
    <row r="51" spans="2:9" ht="15" customHeight="1" x14ac:dyDescent="0.2">
      <c r="B51" t="s">
        <v>127</v>
      </c>
      <c r="C51" s="12">
        <v>12</v>
      </c>
      <c r="D51" s="8">
        <v>4.24</v>
      </c>
      <c r="E51" s="12">
        <v>12</v>
      </c>
      <c r="F51" s="8">
        <v>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11</v>
      </c>
      <c r="D52" s="8">
        <v>3.89</v>
      </c>
      <c r="E52" s="12">
        <v>9</v>
      </c>
      <c r="F52" s="8">
        <v>4.5</v>
      </c>
      <c r="G52" s="12">
        <v>2</v>
      </c>
      <c r="H52" s="8">
        <v>2.7</v>
      </c>
      <c r="I52" s="12">
        <v>0</v>
      </c>
    </row>
    <row r="53" spans="2:9" ht="15" customHeight="1" x14ac:dyDescent="0.2">
      <c r="B53" t="s">
        <v>156</v>
      </c>
      <c r="C53" s="12">
        <v>9</v>
      </c>
      <c r="D53" s="8">
        <v>3.18</v>
      </c>
      <c r="E53" s="12">
        <v>9</v>
      </c>
      <c r="F53" s="8">
        <v>4.5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136</v>
      </c>
      <c r="C54" s="12">
        <v>9</v>
      </c>
      <c r="D54" s="8">
        <v>3.18</v>
      </c>
      <c r="E54" s="12">
        <v>9</v>
      </c>
      <c r="F54" s="8">
        <v>4.5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138</v>
      </c>
      <c r="C55" s="12">
        <v>9</v>
      </c>
      <c r="D55" s="8">
        <v>3.18</v>
      </c>
      <c r="E55" s="12">
        <v>7</v>
      </c>
      <c r="F55" s="8">
        <v>3.5</v>
      </c>
      <c r="G55" s="12">
        <v>2</v>
      </c>
      <c r="H55" s="8">
        <v>2.7</v>
      </c>
      <c r="I55" s="12">
        <v>0</v>
      </c>
    </row>
    <row r="56" spans="2:9" ht="15" customHeight="1" x14ac:dyDescent="0.2">
      <c r="B56" t="s">
        <v>140</v>
      </c>
      <c r="C56" s="12">
        <v>9</v>
      </c>
      <c r="D56" s="8">
        <v>3.18</v>
      </c>
      <c r="E56" s="12">
        <v>9</v>
      </c>
      <c r="F56" s="8">
        <v>4.5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8</v>
      </c>
      <c r="D57" s="8">
        <v>2.83</v>
      </c>
      <c r="E57" s="12">
        <v>7</v>
      </c>
      <c r="F57" s="8">
        <v>3.5</v>
      </c>
      <c r="G57" s="12">
        <v>1</v>
      </c>
      <c r="H57" s="8">
        <v>1.35</v>
      </c>
      <c r="I57" s="12">
        <v>0</v>
      </c>
    </row>
    <row r="58" spans="2:9" ht="15" customHeight="1" x14ac:dyDescent="0.2">
      <c r="B58" t="s">
        <v>133</v>
      </c>
      <c r="C58" s="12">
        <v>8</v>
      </c>
      <c r="D58" s="8">
        <v>2.83</v>
      </c>
      <c r="E58" s="12">
        <v>3</v>
      </c>
      <c r="F58" s="8">
        <v>1.5</v>
      </c>
      <c r="G58" s="12">
        <v>5</v>
      </c>
      <c r="H58" s="8">
        <v>6.76</v>
      </c>
      <c r="I58" s="12">
        <v>0</v>
      </c>
    </row>
    <row r="59" spans="2:9" ht="15" customHeight="1" x14ac:dyDescent="0.2">
      <c r="B59" t="s">
        <v>167</v>
      </c>
      <c r="C59" s="12">
        <v>7</v>
      </c>
      <c r="D59" s="8">
        <v>2.4700000000000002</v>
      </c>
      <c r="E59" s="12">
        <v>6</v>
      </c>
      <c r="F59" s="8">
        <v>3</v>
      </c>
      <c r="G59" s="12">
        <v>1</v>
      </c>
      <c r="H59" s="8">
        <v>1.35</v>
      </c>
      <c r="I59" s="12">
        <v>0</v>
      </c>
    </row>
    <row r="60" spans="2:9" ht="15" customHeight="1" x14ac:dyDescent="0.2">
      <c r="B60" t="s">
        <v>141</v>
      </c>
      <c r="C60" s="12">
        <v>7</v>
      </c>
      <c r="D60" s="8">
        <v>2.4700000000000002</v>
      </c>
      <c r="E60" s="12">
        <v>5</v>
      </c>
      <c r="F60" s="8">
        <v>2.5</v>
      </c>
      <c r="G60" s="12">
        <v>1</v>
      </c>
      <c r="H60" s="8">
        <v>1.35</v>
      </c>
      <c r="I60" s="12">
        <v>1</v>
      </c>
    </row>
    <row r="61" spans="2:9" ht="15" customHeight="1" x14ac:dyDescent="0.2">
      <c r="B61" t="s">
        <v>143</v>
      </c>
      <c r="C61" s="12">
        <v>7</v>
      </c>
      <c r="D61" s="8">
        <v>2.4700000000000002</v>
      </c>
      <c r="E61" s="12">
        <v>5</v>
      </c>
      <c r="F61" s="8">
        <v>2.5</v>
      </c>
      <c r="G61" s="12">
        <v>2</v>
      </c>
      <c r="H61" s="8">
        <v>2.7</v>
      </c>
      <c r="I61" s="12">
        <v>0</v>
      </c>
    </row>
    <row r="62" spans="2:9" ht="15" customHeight="1" x14ac:dyDescent="0.2">
      <c r="B62" t="s">
        <v>147</v>
      </c>
      <c r="C62" s="12">
        <v>6</v>
      </c>
      <c r="D62" s="8">
        <v>2.12</v>
      </c>
      <c r="E62" s="12">
        <v>3</v>
      </c>
      <c r="F62" s="8">
        <v>1.5</v>
      </c>
      <c r="G62" s="12">
        <v>3</v>
      </c>
      <c r="H62" s="8">
        <v>4.05</v>
      </c>
      <c r="I62" s="12">
        <v>0</v>
      </c>
    </row>
    <row r="63" spans="2:9" ht="15" customHeight="1" x14ac:dyDescent="0.2">
      <c r="B63" t="s">
        <v>132</v>
      </c>
      <c r="C63" s="12">
        <v>6</v>
      </c>
      <c r="D63" s="8">
        <v>2.12</v>
      </c>
      <c r="E63" s="12">
        <v>4</v>
      </c>
      <c r="F63" s="8">
        <v>2</v>
      </c>
      <c r="G63" s="12">
        <v>2</v>
      </c>
      <c r="H63" s="8">
        <v>2.7</v>
      </c>
      <c r="I63" s="12">
        <v>0</v>
      </c>
    </row>
    <row r="64" spans="2:9" ht="15" customHeight="1" x14ac:dyDescent="0.2">
      <c r="B64" t="s">
        <v>158</v>
      </c>
      <c r="C64" s="12">
        <v>6</v>
      </c>
      <c r="D64" s="8">
        <v>2.12</v>
      </c>
      <c r="E64" s="12">
        <v>4</v>
      </c>
      <c r="F64" s="8">
        <v>2</v>
      </c>
      <c r="G64" s="12">
        <v>2</v>
      </c>
      <c r="H64" s="8">
        <v>2.7</v>
      </c>
      <c r="I64" s="12">
        <v>0</v>
      </c>
    </row>
    <row r="65" spans="2:9" ht="15" customHeight="1" x14ac:dyDescent="0.2">
      <c r="B65" t="s">
        <v>139</v>
      </c>
      <c r="C65" s="12">
        <v>6</v>
      </c>
      <c r="D65" s="8">
        <v>2.12</v>
      </c>
      <c r="E65" s="12">
        <v>6</v>
      </c>
      <c r="F65" s="8">
        <v>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142</v>
      </c>
      <c r="C66" s="12">
        <v>6</v>
      </c>
      <c r="D66" s="8">
        <v>2.12</v>
      </c>
      <c r="E66" s="12">
        <v>6</v>
      </c>
      <c r="F66" s="8">
        <v>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124</v>
      </c>
      <c r="C67" s="12">
        <v>5</v>
      </c>
      <c r="D67" s="8">
        <v>1.77</v>
      </c>
      <c r="E67" s="12">
        <v>2</v>
      </c>
      <c r="F67" s="8">
        <v>1</v>
      </c>
      <c r="G67" s="12">
        <v>3</v>
      </c>
      <c r="H67" s="8">
        <v>4.05</v>
      </c>
      <c r="I67" s="12">
        <v>0</v>
      </c>
    </row>
    <row r="68" spans="2:9" ht="15" customHeight="1" x14ac:dyDescent="0.2">
      <c r="B68" t="s">
        <v>159</v>
      </c>
      <c r="C68" s="12">
        <v>5</v>
      </c>
      <c r="D68" s="8">
        <v>1.77</v>
      </c>
      <c r="E68" s="12">
        <v>4</v>
      </c>
      <c r="F68" s="8">
        <v>2</v>
      </c>
      <c r="G68" s="12">
        <v>0</v>
      </c>
      <c r="H68" s="8">
        <v>0</v>
      </c>
      <c r="I68" s="12">
        <v>1</v>
      </c>
    </row>
    <row r="69" spans="2:9" ht="15" customHeight="1" x14ac:dyDescent="0.2">
      <c r="B69" t="s">
        <v>128</v>
      </c>
      <c r="C69" s="12">
        <v>5</v>
      </c>
      <c r="D69" s="8">
        <v>1.77</v>
      </c>
      <c r="E69" s="12">
        <v>2</v>
      </c>
      <c r="F69" s="8">
        <v>1</v>
      </c>
      <c r="G69" s="12">
        <v>3</v>
      </c>
      <c r="H69" s="8">
        <v>4.05</v>
      </c>
      <c r="I69" s="12">
        <v>0</v>
      </c>
    </row>
    <row r="70" spans="2:9" ht="15" customHeight="1" x14ac:dyDescent="0.2">
      <c r="B70" t="s">
        <v>130</v>
      </c>
      <c r="C70" s="12">
        <v>5</v>
      </c>
      <c r="D70" s="8">
        <v>1.77</v>
      </c>
      <c r="E70" s="12">
        <v>4</v>
      </c>
      <c r="F70" s="8">
        <v>2</v>
      </c>
      <c r="G70" s="12">
        <v>1</v>
      </c>
      <c r="H70" s="8">
        <v>1.35</v>
      </c>
      <c r="I70" s="12">
        <v>0</v>
      </c>
    </row>
    <row r="71" spans="2:9" ht="15" customHeight="1" x14ac:dyDescent="0.2">
      <c r="B71" t="s">
        <v>166</v>
      </c>
      <c r="C71" s="12">
        <v>5</v>
      </c>
      <c r="D71" s="8">
        <v>1.77</v>
      </c>
      <c r="E71" s="12">
        <v>5</v>
      </c>
      <c r="F71" s="8">
        <v>2.5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BA6A-F61D-4305-89E3-5DCB7E799007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32</v>
      </c>
      <c r="D6" s="8">
        <v>11.81</v>
      </c>
      <c r="E6" s="12">
        <v>20</v>
      </c>
      <c r="F6" s="8">
        <v>9.76</v>
      </c>
      <c r="G6" s="12">
        <v>12</v>
      </c>
      <c r="H6" s="8">
        <v>20.69</v>
      </c>
      <c r="I6" s="12">
        <v>0</v>
      </c>
    </row>
    <row r="7" spans="2:9" ht="15" customHeight="1" x14ac:dyDescent="0.2">
      <c r="B7" t="s">
        <v>46</v>
      </c>
      <c r="C7" s="12">
        <v>12</v>
      </c>
      <c r="D7" s="8">
        <v>4.43</v>
      </c>
      <c r="E7" s="12">
        <v>3</v>
      </c>
      <c r="F7" s="8">
        <v>1.46</v>
      </c>
      <c r="G7" s="12">
        <v>6</v>
      </c>
      <c r="H7" s="8">
        <v>10.34</v>
      </c>
      <c r="I7" s="12">
        <v>1</v>
      </c>
    </row>
    <row r="8" spans="2:9" ht="15" customHeight="1" x14ac:dyDescent="0.2">
      <c r="B8" t="s">
        <v>47</v>
      </c>
      <c r="C8" s="12">
        <v>1</v>
      </c>
      <c r="D8" s="8">
        <v>0.37</v>
      </c>
      <c r="E8" s="12">
        <v>0</v>
      </c>
      <c r="F8" s="8">
        <v>0</v>
      </c>
      <c r="G8" s="12">
        <v>1</v>
      </c>
      <c r="H8" s="8">
        <v>1.72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3</v>
      </c>
      <c r="D10" s="8">
        <v>1.1100000000000001</v>
      </c>
      <c r="E10" s="12">
        <v>1</v>
      </c>
      <c r="F10" s="8">
        <v>0.49</v>
      </c>
      <c r="G10" s="12">
        <v>1</v>
      </c>
      <c r="H10" s="8">
        <v>1.72</v>
      </c>
      <c r="I10" s="12">
        <v>1</v>
      </c>
    </row>
    <row r="11" spans="2:9" ht="15" customHeight="1" x14ac:dyDescent="0.2">
      <c r="B11" t="s">
        <v>50</v>
      </c>
      <c r="C11" s="12">
        <v>72</v>
      </c>
      <c r="D11" s="8">
        <v>26.57</v>
      </c>
      <c r="E11" s="12">
        <v>49</v>
      </c>
      <c r="F11" s="8">
        <v>23.9</v>
      </c>
      <c r="G11" s="12">
        <v>23</v>
      </c>
      <c r="H11" s="8">
        <v>39.659999999999997</v>
      </c>
      <c r="I11" s="12">
        <v>0</v>
      </c>
    </row>
    <row r="12" spans="2:9" ht="15" customHeight="1" x14ac:dyDescent="0.2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52</v>
      </c>
      <c r="C13" s="12">
        <v>18</v>
      </c>
      <c r="D13" s="8">
        <v>6.64</v>
      </c>
      <c r="E13" s="12">
        <v>16</v>
      </c>
      <c r="F13" s="8">
        <v>7.8</v>
      </c>
      <c r="G13" s="12">
        <v>2</v>
      </c>
      <c r="H13" s="8">
        <v>3.45</v>
      </c>
      <c r="I13" s="12">
        <v>0</v>
      </c>
    </row>
    <row r="14" spans="2:9" ht="15" customHeight="1" x14ac:dyDescent="0.2">
      <c r="B14" t="s">
        <v>53</v>
      </c>
      <c r="C14" s="12">
        <v>10</v>
      </c>
      <c r="D14" s="8">
        <v>3.69</v>
      </c>
      <c r="E14" s="12">
        <v>9</v>
      </c>
      <c r="F14" s="8">
        <v>4.3899999999999997</v>
      </c>
      <c r="G14" s="12">
        <v>1</v>
      </c>
      <c r="H14" s="8">
        <v>1.72</v>
      </c>
      <c r="I14" s="12">
        <v>0</v>
      </c>
    </row>
    <row r="15" spans="2:9" ht="15" customHeight="1" x14ac:dyDescent="0.2">
      <c r="B15" t="s">
        <v>54</v>
      </c>
      <c r="C15" s="12">
        <v>48</v>
      </c>
      <c r="D15" s="8">
        <v>17.71</v>
      </c>
      <c r="E15" s="12">
        <v>47</v>
      </c>
      <c r="F15" s="8">
        <v>22.93</v>
      </c>
      <c r="G15" s="12">
        <v>1</v>
      </c>
      <c r="H15" s="8">
        <v>1.72</v>
      </c>
      <c r="I15" s="12">
        <v>0</v>
      </c>
    </row>
    <row r="16" spans="2:9" ht="15" customHeight="1" x14ac:dyDescent="0.2">
      <c r="B16" t="s">
        <v>55</v>
      </c>
      <c r="C16" s="12">
        <v>35</v>
      </c>
      <c r="D16" s="8">
        <v>12.92</v>
      </c>
      <c r="E16" s="12">
        <v>33</v>
      </c>
      <c r="F16" s="8">
        <v>16.100000000000001</v>
      </c>
      <c r="G16" s="12">
        <v>1</v>
      </c>
      <c r="H16" s="8">
        <v>1.72</v>
      </c>
      <c r="I16" s="12">
        <v>0</v>
      </c>
    </row>
    <row r="17" spans="2:9" ht="15" customHeight="1" x14ac:dyDescent="0.2">
      <c r="B17" t="s">
        <v>56</v>
      </c>
      <c r="C17" s="12">
        <v>21</v>
      </c>
      <c r="D17" s="8">
        <v>7.75</v>
      </c>
      <c r="E17" s="12">
        <v>17</v>
      </c>
      <c r="F17" s="8">
        <v>8.2899999999999991</v>
      </c>
      <c r="G17" s="12">
        <v>2</v>
      </c>
      <c r="H17" s="8">
        <v>3.45</v>
      </c>
      <c r="I17" s="12">
        <v>0</v>
      </c>
    </row>
    <row r="18" spans="2:9" ht="15" customHeight="1" x14ac:dyDescent="0.2">
      <c r="B18" t="s">
        <v>57</v>
      </c>
      <c r="C18" s="12">
        <v>9</v>
      </c>
      <c r="D18" s="8">
        <v>3.32</v>
      </c>
      <c r="E18" s="12">
        <v>4</v>
      </c>
      <c r="F18" s="8">
        <v>1.95</v>
      </c>
      <c r="G18" s="12">
        <v>5</v>
      </c>
      <c r="H18" s="8">
        <v>8.6199999999999992</v>
      </c>
      <c r="I18" s="12">
        <v>0</v>
      </c>
    </row>
    <row r="19" spans="2:9" ht="15" customHeight="1" x14ac:dyDescent="0.2">
      <c r="B19" t="s">
        <v>58</v>
      </c>
      <c r="C19" s="12">
        <v>10</v>
      </c>
      <c r="D19" s="8">
        <v>3.69</v>
      </c>
      <c r="E19" s="12">
        <v>6</v>
      </c>
      <c r="F19" s="8">
        <v>2.93</v>
      </c>
      <c r="G19" s="12">
        <v>3</v>
      </c>
      <c r="H19" s="8">
        <v>5.17</v>
      </c>
      <c r="I19" s="12">
        <v>0</v>
      </c>
    </row>
    <row r="20" spans="2:9" ht="15" customHeight="1" x14ac:dyDescent="0.2">
      <c r="B20" s="9" t="s">
        <v>241</v>
      </c>
      <c r="C20" s="12">
        <f>SUM(LTBL_46534[総数／事業所数])</f>
        <v>271</v>
      </c>
      <c r="E20" s="12">
        <f>SUBTOTAL(109,LTBL_46534[個人／事業所数])</f>
        <v>205</v>
      </c>
      <c r="G20" s="12">
        <f>SUBTOTAL(109,LTBL_46534[法人／事業所数])</f>
        <v>58</v>
      </c>
      <c r="I20" s="12">
        <f>SUBTOTAL(109,LTBL_46534[法人以外の団体／事業所数])</f>
        <v>2</v>
      </c>
    </row>
    <row r="21" spans="2:9" ht="15" customHeight="1" x14ac:dyDescent="0.2">
      <c r="E21" s="11">
        <f>LTBL_46534[[#Totals],[個人／事業所数]]/LTBL_46534[[#Totals],[総数／事業所数]]</f>
        <v>0.75645756457564572</v>
      </c>
      <c r="G21" s="11">
        <f>LTBL_46534[[#Totals],[法人／事業所数]]/LTBL_46534[[#Totals],[総数／事業所数]]</f>
        <v>0.2140221402214022</v>
      </c>
      <c r="I21" s="11">
        <f>LTBL_46534[[#Totals],[法人以外の団体／事業所数]]/LTBL_46534[[#Totals],[総数／事業所数]]</f>
        <v>7.3800738007380072E-3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38</v>
      </c>
      <c r="D24" s="8">
        <v>14.02</v>
      </c>
      <c r="E24" s="12">
        <v>38</v>
      </c>
      <c r="F24" s="8">
        <v>18.54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73</v>
      </c>
      <c r="C25" s="12">
        <v>32</v>
      </c>
      <c r="D25" s="8">
        <v>11.81</v>
      </c>
      <c r="E25" s="12">
        <v>29</v>
      </c>
      <c r="F25" s="8">
        <v>14.15</v>
      </c>
      <c r="G25" s="12">
        <v>3</v>
      </c>
      <c r="H25" s="8">
        <v>5.17</v>
      </c>
      <c r="I25" s="12">
        <v>0</v>
      </c>
    </row>
    <row r="26" spans="2:9" ht="15" customHeight="1" x14ac:dyDescent="0.2">
      <c r="B26" t="s">
        <v>82</v>
      </c>
      <c r="C26" s="12">
        <v>28</v>
      </c>
      <c r="D26" s="8">
        <v>10.33</v>
      </c>
      <c r="E26" s="12">
        <v>28</v>
      </c>
      <c r="F26" s="8">
        <v>13.66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83</v>
      </c>
      <c r="C27" s="12">
        <v>21</v>
      </c>
      <c r="D27" s="8">
        <v>7.75</v>
      </c>
      <c r="E27" s="12">
        <v>17</v>
      </c>
      <c r="F27" s="8">
        <v>8.2899999999999991</v>
      </c>
      <c r="G27" s="12">
        <v>2</v>
      </c>
      <c r="H27" s="8">
        <v>3.45</v>
      </c>
      <c r="I27" s="12">
        <v>0</v>
      </c>
    </row>
    <row r="28" spans="2:9" ht="15" customHeight="1" x14ac:dyDescent="0.2">
      <c r="B28" t="s">
        <v>75</v>
      </c>
      <c r="C28" s="12">
        <v>19</v>
      </c>
      <c r="D28" s="8">
        <v>7.01</v>
      </c>
      <c r="E28" s="12">
        <v>8</v>
      </c>
      <c r="F28" s="8">
        <v>3.9</v>
      </c>
      <c r="G28" s="12">
        <v>11</v>
      </c>
      <c r="H28" s="8">
        <v>18.97</v>
      </c>
      <c r="I28" s="12">
        <v>0</v>
      </c>
    </row>
    <row r="29" spans="2:9" ht="15" customHeight="1" x14ac:dyDescent="0.2">
      <c r="B29" t="s">
        <v>77</v>
      </c>
      <c r="C29" s="12">
        <v>15</v>
      </c>
      <c r="D29" s="8">
        <v>5.54</v>
      </c>
      <c r="E29" s="12">
        <v>15</v>
      </c>
      <c r="F29" s="8">
        <v>7.32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67</v>
      </c>
      <c r="C30" s="12">
        <v>12</v>
      </c>
      <c r="D30" s="8">
        <v>4.43</v>
      </c>
      <c r="E30" s="12">
        <v>3</v>
      </c>
      <c r="F30" s="8">
        <v>1.46</v>
      </c>
      <c r="G30" s="12">
        <v>9</v>
      </c>
      <c r="H30" s="8">
        <v>15.52</v>
      </c>
      <c r="I30" s="12">
        <v>0</v>
      </c>
    </row>
    <row r="31" spans="2:9" ht="15" customHeight="1" x14ac:dyDescent="0.2">
      <c r="B31" t="s">
        <v>69</v>
      </c>
      <c r="C31" s="12">
        <v>11</v>
      </c>
      <c r="D31" s="8">
        <v>4.0599999999999996</v>
      </c>
      <c r="E31" s="12">
        <v>8</v>
      </c>
      <c r="F31" s="8">
        <v>3.9</v>
      </c>
      <c r="G31" s="12">
        <v>3</v>
      </c>
      <c r="H31" s="8">
        <v>5.17</v>
      </c>
      <c r="I31" s="12">
        <v>0</v>
      </c>
    </row>
    <row r="32" spans="2:9" ht="15" customHeight="1" x14ac:dyDescent="0.2">
      <c r="B32" t="s">
        <v>68</v>
      </c>
      <c r="C32" s="12">
        <v>9</v>
      </c>
      <c r="D32" s="8">
        <v>3.32</v>
      </c>
      <c r="E32" s="12">
        <v>9</v>
      </c>
      <c r="F32" s="8">
        <v>4.3899999999999997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8</v>
      </c>
      <c r="D33" s="8">
        <v>2.95</v>
      </c>
      <c r="E33" s="12">
        <v>8</v>
      </c>
      <c r="F33" s="8">
        <v>3.9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80</v>
      </c>
      <c r="C34" s="12">
        <v>7</v>
      </c>
      <c r="D34" s="8">
        <v>2.58</v>
      </c>
      <c r="E34" s="12">
        <v>6</v>
      </c>
      <c r="F34" s="8">
        <v>2.93</v>
      </c>
      <c r="G34" s="12">
        <v>1</v>
      </c>
      <c r="H34" s="8">
        <v>1.72</v>
      </c>
      <c r="I34" s="12">
        <v>0</v>
      </c>
    </row>
    <row r="35" spans="2:9" ht="15" customHeight="1" x14ac:dyDescent="0.2">
      <c r="B35" t="s">
        <v>71</v>
      </c>
      <c r="C35" s="12">
        <v>6</v>
      </c>
      <c r="D35" s="8">
        <v>2.21</v>
      </c>
      <c r="E35" s="12">
        <v>1</v>
      </c>
      <c r="F35" s="8">
        <v>0.49</v>
      </c>
      <c r="G35" s="12">
        <v>5</v>
      </c>
      <c r="H35" s="8">
        <v>8.6199999999999992</v>
      </c>
      <c r="I35" s="12">
        <v>0</v>
      </c>
    </row>
    <row r="36" spans="2:9" ht="15" customHeight="1" x14ac:dyDescent="0.2">
      <c r="B36" t="s">
        <v>90</v>
      </c>
      <c r="C36" s="12">
        <v>5</v>
      </c>
      <c r="D36" s="8">
        <v>1.85</v>
      </c>
      <c r="E36" s="12">
        <v>0</v>
      </c>
      <c r="F36" s="8">
        <v>0</v>
      </c>
      <c r="G36" s="12">
        <v>4</v>
      </c>
      <c r="H36" s="8">
        <v>6.9</v>
      </c>
      <c r="I36" s="12">
        <v>0</v>
      </c>
    </row>
    <row r="37" spans="2:9" ht="15" customHeight="1" x14ac:dyDescent="0.2">
      <c r="B37" t="s">
        <v>79</v>
      </c>
      <c r="C37" s="12">
        <v>5</v>
      </c>
      <c r="D37" s="8">
        <v>1.85</v>
      </c>
      <c r="E37" s="12">
        <v>5</v>
      </c>
      <c r="F37" s="8">
        <v>2.44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84</v>
      </c>
      <c r="C38" s="12">
        <v>5</v>
      </c>
      <c r="D38" s="8">
        <v>1.85</v>
      </c>
      <c r="E38" s="12">
        <v>4</v>
      </c>
      <c r="F38" s="8">
        <v>1.95</v>
      </c>
      <c r="G38" s="12">
        <v>1</v>
      </c>
      <c r="H38" s="8">
        <v>1.72</v>
      </c>
      <c r="I38" s="12">
        <v>0</v>
      </c>
    </row>
    <row r="39" spans="2:9" ht="15" customHeight="1" x14ac:dyDescent="0.2">
      <c r="B39" t="s">
        <v>78</v>
      </c>
      <c r="C39" s="12">
        <v>4</v>
      </c>
      <c r="D39" s="8">
        <v>1.48</v>
      </c>
      <c r="E39" s="12">
        <v>4</v>
      </c>
      <c r="F39" s="8">
        <v>1.95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94</v>
      </c>
      <c r="C40" s="12">
        <v>4</v>
      </c>
      <c r="D40" s="8">
        <v>1.48</v>
      </c>
      <c r="E40" s="12">
        <v>2</v>
      </c>
      <c r="F40" s="8">
        <v>0.98</v>
      </c>
      <c r="G40" s="12">
        <v>1</v>
      </c>
      <c r="H40" s="8">
        <v>1.72</v>
      </c>
      <c r="I40" s="12">
        <v>0</v>
      </c>
    </row>
    <row r="41" spans="2:9" ht="15" customHeight="1" x14ac:dyDescent="0.2">
      <c r="B41" t="s">
        <v>85</v>
      </c>
      <c r="C41" s="12">
        <v>4</v>
      </c>
      <c r="D41" s="8">
        <v>1.48</v>
      </c>
      <c r="E41" s="12">
        <v>0</v>
      </c>
      <c r="F41" s="8">
        <v>0</v>
      </c>
      <c r="G41" s="12">
        <v>4</v>
      </c>
      <c r="H41" s="8">
        <v>6.9</v>
      </c>
      <c r="I41" s="12">
        <v>0</v>
      </c>
    </row>
    <row r="42" spans="2:9" ht="15" customHeight="1" x14ac:dyDescent="0.2">
      <c r="B42" t="s">
        <v>86</v>
      </c>
      <c r="C42" s="12">
        <v>4</v>
      </c>
      <c r="D42" s="8">
        <v>1.48</v>
      </c>
      <c r="E42" s="12">
        <v>3</v>
      </c>
      <c r="F42" s="8">
        <v>1.46</v>
      </c>
      <c r="G42" s="12">
        <v>1</v>
      </c>
      <c r="H42" s="8">
        <v>1.72</v>
      </c>
      <c r="I42" s="12">
        <v>0</v>
      </c>
    </row>
    <row r="43" spans="2:9" ht="15" customHeight="1" x14ac:dyDescent="0.2">
      <c r="B43" t="s">
        <v>72</v>
      </c>
      <c r="C43" s="12">
        <v>3</v>
      </c>
      <c r="D43" s="8">
        <v>1.1100000000000001</v>
      </c>
      <c r="E43" s="12">
        <v>2</v>
      </c>
      <c r="F43" s="8">
        <v>0.98</v>
      </c>
      <c r="G43" s="12">
        <v>1</v>
      </c>
      <c r="H43" s="8">
        <v>1.72</v>
      </c>
      <c r="I43" s="12">
        <v>0</v>
      </c>
    </row>
    <row r="44" spans="2:9" ht="15" customHeight="1" x14ac:dyDescent="0.2">
      <c r="B44" t="s">
        <v>113</v>
      </c>
      <c r="C44" s="12">
        <v>3</v>
      </c>
      <c r="D44" s="8">
        <v>1.1100000000000001</v>
      </c>
      <c r="E44" s="12">
        <v>1</v>
      </c>
      <c r="F44" s="8">
        <v>0.49</v>
      </c>
      <c r="G44" s="12">
        <v>2</v>
      </c>
      <c r="H44" s="8">
        <v>3.45</v>
      </c>
      <c r="I44" s="12">
        <v>0</v>
      </c>
    </row>
    <row r="45" spans="2:9" ht="15" customHeight="1" x14ac:dyDescent="0.2">
      <c r="B45" t="s">
        <v>93</v>
      </c>
      <c r="C45" s="12">
        <v>3</v>
      </c>
      <c r="D45" s="8">
        <v>1.1100000000000001</v>
      </c>
      <c r="E45" s="12">
        <v>3</v>
      </c>
      <c r="F45" s="8">
        <v>1.46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91</v>
      </c>
      <c r="C46" s="12">
        <v>3</v>
      </c>
      <c r="D46" s="8">
        <v>1.1100000000000001</v>
      </c>
      <c r="E46" s="12">
        <v>3</v>
      </c>
      <c r="F46" s="8">
        <v>1.46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99</v>
      </c>
      <c r="C47" s="12">
        <v>3</v>
      </c>
      <c r="D47" s="8">
        <v>1.1100000000000001</v>
      </c>
      <c r="E47" s="12">
        <v>3</v>
      </c>
      <c r="F47" s="8">
        <v>1.46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243</v>
      </c>
      <c r="C50" s="10" t="s">
        <v>60</v>
      </c>
      <c r="D50" s="10" t="s">
        <v>61</v>
      </c>
      <c r="E50" s="10" t="s">
        <v>62</v>
      </c>
      <c r="F50" s="10" t="s">
        <v>63</v>
      </c>
      <c r="G50" s="10" t="s">
        <v>64</v>
      </c>
      <c r="H50" s="10" t="s">
        <v>65</v>
      </c>
      <c r="I50" s="10" t="s">
        <v>66</v>
      </c>
    </row>
    <row r="51" spans="2:9" ht="15" customHeight="1" x14ac:dyDescent="0.2">
      <c r="B51" t="s">
        <v>140</v>
      </c>
      <c r="C51" s="12">
        <v>18</v>
      </c>
      <c r="D51" s="8">
        <v>6.64</v>
      </c>
      <c r="E51" s="12">
        <v>18</v>
      </c>
      <c r="F51" s="8">
        <v>8.7799999999999994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15</v>
      </c>
      <c r="D52" s="8">
        <v>5.54</v>
      </c>
      <c r="E52" s="12">
        <v>15</v>
      </c>
      <c r="F52" s="8">
        <v>7.32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15</v>
      </c>
      <c r="D53" s="8">
        <v>5.54</v>
      </c>
      <c r="E53" s="12">
        <v>15</v>
      </c>
      <c r="F53" s="8">
        <v>7.32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141</v>
      </c>
      <c r="C54" s="12">
        <v>15</v>
      </c>
      <c r="D54" s="8">
        <v>5.54</v>
      </c>
      <c r="E54" s="12">
        <v>14</v>
      </c>
      <c r="F54" s="8">
        <v>6.83</v>
      </c>
      <c r="G54" s="12">
        <v>1</v>
      </c>
      <c r="H54" s="8">
        <v>1.72</v>
      </c>
      <c r="I54" s="12">
        <v>0</v>
      </c>
    </row>
    <row r="55" spans="2:9" ht="15" customHeight="1" x14ac:dyDescent="0.2">
      <c r="B55" t="s">
        <v>129</v>
      </c>
      <c r="C55" s="12">
        <v>14</v>
      </c>
      <c r="D55" s="8">
        <v>5.17</v>
      </c>
      <c r="E55" s="12">
        <v>13</v>
      </c>
      <c r="F55" s="8">
        <v>6.34</v>
      </c>
      <c r="G55" s="12">
        <v>1</v>
      </c>
      <c r="H55" s="8">
        <v>1.72</v>
      </c>
      <c r="I55" s="12">
        <v>0</v>
      </c>
    </row>
    <row r="56" spans="2:9" ht="15" customHeight="1" x14ac:dyDescent="0.2">
      <c r="B56" t="s">
        <v>127</v>
      </c>
      <c r="C56" s="12">
        <v>9</v>
      </c>
      <c r="D56" s="8">
        <v>3.32</v>
      </c>
      <c r="E56" s="12">
        <v>9</v>
      </c>
      <c r="F56" s="8">
        <v>4.3899999999999997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138</v>
      </c>
      <c r="C57" s="12">
        <v>8</v>
      </c>
      <c r="D57" s="8">
        <v>2.95</v>
      </c>
      <c r="E57" s="12">
        <v>8</v>
      </c>
      <c r="F57" s="8">
        <v>3.9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167</v>
      </c>
      <c r="C58" s="12">
        <v>7</v>
      </c>
      <c r="D58" s="8">
        <v>2.58</v>
      </c>
      <c r="E58" s="12">
        <v>7</v>
      </c>
      <c r="F58" s="8">
        <v>3.41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139</v>
      </c>
      <c r="C59" s="12">
        <v>7</v>
      </c>
      <c r="D59" s="8">
        <v>2.58</v>
      </c>
      <c r="E59" s="12">
        <v>7</v>
      </c>
      <c r="F59" s="8">
        <v>3.41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125</v>
      </c>
      <c r="C60" s="12">
        <v>5</v>
      </c>
      <c r="D60" s="8">
        <v>1.85</v>
      </c>
      <c r="E60" s="12">
        <v>1</v>
      </c>
      <c r="F60" s="8">
        <v>0.49</v>
      </c>
      <c r="G60" s="12">
        <v>4</v>
      </c>
      <c r="H60" s="8">
        <v>6.9</v>
      </c>
      <c r="I60" s="12">
        <v>0</v>
      </c>
    </row>
    <row r="61" spans="2:9" ht="15" customHeight="1" x14ac:dyDescent="0.2">
      <c r="B61" t="s">
        <v>169</v>
      </c>
      <c r="C61" s="12">
        <v>5</v>
      </c>
      <c r="D61" s="8">
        <v>1.85</v>
      </c>
      <c r="E61" s="12">
        <v>4</v>
      </c>
      <c r="F61" s="8">
        <v>1.95</v>
      </c>
      <c r="G61" s="12">
        <v>1</v>
      </c>
      <c r="H61" s="8">
        <v>1.72</v>
      </c>
      <c r="I61" s="12">
        <v>0</v>
      </c>
    </row>
    <row r="62" spans="2:9" ht="15" customHeight="1" x14ac:dyDescent="0.2">
      <c r="B62" t="s">
        <v>132</v>
      </c>
      <c r="C62" s="12">
        <v>5</v>
      </c>
      <c r="D62" s="8">
        <v>1.85</v>
      </c>
      <c r="E62" s="12">
        <v>1</v>
      </c>
      <c r="F62" s="8">
        <v>0.49</v>
      </c>
      <c r="G62" s="12">
        <v>4</v>
      </c>
      <c r="H62" s="8">
        <v>6.9</v>
      </c>
      <c r="I62" s="12">
        <v>0</v>
      </c>
    </row>
    <row r="63" spans="2:9" ht="15" customHeight="1" x14ac:dyDescent="0.2">
      <c r="B63" t="s">
        <v>158</v>
      </c>
      <c r="C63" s="12">
        <v>5</v>
      </c>
      <c r="D63" s="8">
        <v>1.85</v>
      </c>
      <c r="E63" s="12">
        <v>4</v>
      </c>
      <c r="F63" s="8">
        <v>1.95</v>
      </c>
      <c r="G63" s="12">
        <v>1</v>
      </c>
      <c r="H63" s="8">
        <v>1.72</v>
      </c>
      <c r="I63" s="12">
        <v>0</v>
      </c>
    </row>
    <row r="64" spans="2:9" ht="15" customHeight="1" x14ac:dyDescent="0.2">
      <c r="B64" t="s">
        <v>124</v>
      </c>
      <c r="C64" s="12">
        <v>4</v>
      </c>
      <c r="D64" s="8">
        <v>1.48</v>
      </c>
      <c r="E64" s="12">
        <v>1</v>
      </c>
      <c r="F64" s="8">
        <v>0.49</v>
      </c>
      <c r="G64" s="12">
        <v>3</v>
      </c>
      <c r="H64" s="8">
        <v>5.17</v>
      </c>
      <c r="I64" s="12">
        <v>0</v>
      </c>
    </row>
    <row r="65" spans="2:9" ht="15" customHeight="1" x14ac:dyDescent="0.2">
      <c r="B65" t="s">
        <v>189</v>
      </c>
      <c r="C65" s="12">
        <v>4</v>
      </c>
      <c r="D65" s="8">
        <v>1.48</v>
      </c>
      <c r="E65" s="12">
        <v>4</v>
      </c>
      <c r="F65" s="8">
        <v>1.95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126</v>
      </c>
      <c r="C66" s="12">
        <v>4</v>
      </c>
      <c r="D66" s="8">
        <v>1.48</v>
      </c>
      <c r="E66" s="12">
        <v>4</v>
      </c>
      <c r="F66" s="8">
        <v>1.95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179</v>
      </c>
      <c r="C67" s="12">
        <v>4</v>
      </c>
      <c r="D67" s="8">
        <v>1.48</v>
      </c>
      <c r="E67" s="12">
        <v>0</v>
      </c>
      <c r="F67" s="8">
        <v>0</v>
      </c>
      <c r="G67" s="12">
        <v>4</v>
      </c>
      <c r="H67" s="8">
        <v>6.9</v>
      </c>
      <c r="I67" s="12">
        <v>0</v>
      </c>
    </row>
    <row r="68" spans="2:9" ht="15" customHeight="1" x14ac:dyDescent="0.2">
      <c r="B68" t="s">
        <v>128</v>
      </c>
      <c r="C68" s="12">
        <v>4</v>
      </c>
      <c r="D68" s="8">
        <v>1.48</v>
      </c>
      <c r="E68" s="12">
        <v>2</v>
      </c>
      <c r="F68" s="8">
        <v>0.98</v>
      </c>
      <c r="G68" s="12">
        <v>2</v>
      </c>
      <c r="H68" s="8">
        <v>3.45</v>
      </c>
      <c r="I68" s="12">
        <v>0</v>
      </c>
    </row>
    <row r="69" spans="2:9" ht="15" customHeight="1" x14ac:dyDescent="0.2">
      <c r="B69" t="s">
        <v>130</v>
      </c>
      <c r="C69" s="12">
        <v>4</v>
      </c>
      <c r="D69" s="8">
        <v>1.48</v>
      </c>
      <c r="E69" s="12">
        <v>4</v>
      </c>
      <c r="F69" s="8">
        <v>1.95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147</v>
      </c>
      <c r="C70" s="12">
        <v>4</v>
      </c>
      <c r="D70" s="8">
        <v>1.48</v>
      </c>
      <c r="E70" s="12">
        <v>4</v>
      </c>
      <c r="F70" s="8">
        <v>1.95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133</v>
      </c>
      <c r="C71" s="12">
        <v>4</v>
      </c>
      <c r="D71" s="8">
        <v>1.48</v>
      </c>
      <c r="E71" s="12">
        <v>1</v>
      </c>
      <c r="F71" s="8">
        <v>0.49</v>
      </c>
      <c r="G71" s="12">
        <v>3</v>
      </c>
      <c r="H71" s="8">
        <v>5.17</v>
      </c>
      <c r="I71" s="12">
        <v>0</v>
      </c>
    </row>
    <row r="72" spans="2:9" ht="15" customHeight="1" x14ac:dyDescent="0.2">
      <c r="B72" t="s">
        <v>136</v>
      </c>
      <c r="C72" s="12">
        <v>4</v>
      </c>
      <c r="D72" s="8">
        <v>1.48</v>
      </c>
      <c r="E72" s="12">
        <v>4</v>
      </c>
      <c r="F72" s="8">
        <v>1.95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143</v>
      </c>
      <c r="C73" s="12">
        <v>4</v>
      </c>
      <c r="D73" s="8">
        <v>1.48</v>
      </c>
      <c r="E73" s="12">
        <v>3</v>
      </c>
      <c r="F73" s="8">
        <v>1.46</v>
      </c>
      <c r="G73" s="12">
        <v>1</v>
      </c>
      <c r="H73" s="8">
        <v>1.72</v>
      </c>
      <c r="I73" s="12">
        <v>0</v>
      </c>
    </row>
    <row r="75" spans="2:9" ht="15" customHeight="1" x14ac:dyDescent="0.2">
      <c r="B75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C913-618E-4799-86B2-4FAAFDC6DE6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45</v>
      </c>
      <c r="C6" s="12">
        <v>17</v>
      </c>
      <c r="D6" s="8">
        <v>6.67</v>
      </c>
      <c r="E6" s="12">
        <v>4</v>
      </c>
      <c r="F6" s="8">
        <v>2.2200000000000002</v>
      </c>
      <c r="G6" s="12">
        <v>13</v>
      </c>
      <c r="H6" s="8">
        <v>20.97</v>
      </c>
      <c r="I6" s="12">
        <v>0</v>
      </c>
    </row>
    <row r="7" spans="2:9" ht="15" customHeight="1" x14ac:dyDescent="0.2">
      <c r="B7" t="s">
        <v>46</v>
      </c>
      <c r="C7" s="12">
        <v>24</v>
      </c>
      <c r="D7" s="8">
        <v>9.41</v>
      </c>
      <c r="E7" s="12">
        <v>11</v>
      </c>
      <c r="F7" s="8">
        <v>6.11</v>
      </c>
      <c r="G7" s="12">
        <v>11</v>
      </c>
      <c r="H7" s="8">
        <v>17.739999999999998</v>
      </c>
      <c r="I7" s="12">
        <v>0</v>
      </c>
    </row>
    <row r="8" spans="2:9" ht="15" customHeight="1" x14ac:dyDescent="0.2">
      <c r="B8" t="s">
        <v>47</v>
      </c>
      <c r="C8" s="12">
        <v>1</v>
      </c>
      <c r="D8" s="8">
        <v>0.39</v>
      </c>
      <c r="E8" s="12">
        <v>0</v>
      </c>
      <c r="F8" s="8">
        <v>0</v>
      </c>
      <c r="G8" s="12">
        <v>1</v>
      </c>
      <c r="H8" s="8">
        <v>1.61</v>
      </c>
      <c r="I8" s="12">
        <v>0</v>
      </c>
    </row>
    <row r="9" spans="2:9" ht="15" customHeight="1" x14ac:dyDescent="0.2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49</v>
      </c>
      <c r="C10" s="12">
        <v>2</v>
      </c>
      <c r="D10" s="8">
        <v>0.78</v>
      </c>
      <c r="E10" s="12">
        <v>0</v>
      </c>
      <c r="F10" s="8">
        <v>0</v>
      </c>
      <c r="G10" s="12">
        <v>1</v>
      </c>
      <c r="H10" s="8">
        <v>1.61</v>
      </c>
      <c r="I10" s="12">
        <v>0</v>
      </c>
    </row>
    <row r="11" spans="2:9" ht="15" customHeight="1" x14ac:dyDescent="0.2">
      <c r="B11" t="s">
        <v>50</v>
      </c>
      <c r="C11" s="12">
        <v>68</v>
      </c>
      <c r="D11" s="8">
        <v>26.67</v>
      </c>
      <c r="E11" s="12">
        <v>57</v>
      </c>
      <c r="F11" s="8">
        <v>31.67</v>
      </c>
      <c r="G11" s="12">
        <v>11</v>
      </c>
      <c r="H11" s="8">
        <v>17.739999999999998</v>
      </c>
      <c r="I11" s="12">
        <v>0</v>
      </c>
    </row>
    <row r="12" spans="2:9" ht="15" customHeight="1" x14ac:dyDescent="0.2">
      <c r="B12" t="s">
        <v>51</v>
      </c>
      <c r="C12" s="12">
        <v>1</v>
      </c>
      <c r="D12" s="8">
        <v>0.39</v>
      </c>
      <c r="E12" s="12">
        <v>0</v>
      </c>
      <c r="F12" s="8">
        <v>0</v>
      </c>
      <c r="G12" s="12">
        <v>1</v>
      </c>
      <c r="H12" s="8">
        <v>1.61</v>
      </c>
      <c r="I12" s="12">
        <v>0</v>
      </c>
    </row>
    <row r="13" spans="2:9" ht="15" customHeight="1" x14ac:dyDescent="0.2">
      <c r="B13" t="s">
        <v>52</v>
      </c>
      <c r="C13" s="12">
        <v>6</v>
      </c>
      <c r="D13" s="8">
        <v>2.35</v>
      </c>
      <c r="E13" s="12">
        <v>3</v>
      </c>
      <c r="F13" s="8">
        <v>1.67</v>
      </c>
      <c r="G13" s="12">
        <v>3</v>
      </c>
      <c r="H13" s="8">
        <v>4.84</v>
      </c>
      <c r="I13" s="12">
        <v>0</v>
      </c>
    </row>
    <row r="14" spans="2:9" ht="15" customHeight="1" x14ac:dyDescent="0.2">
      <c r="B14" t="s">
        <v>53</v>
      </c>
      <c r="C14" s="12">
        <v>9</v>
      </c>
      <c r="D14" s="8">
        <v>3.53</v>
      </c>
      <c r="E14" s="12">
        <v>7</v>
      </c>
      <c r="F14" s="8">
        <v>3.89</v>
      </c>
      <c r="G14" s="12">
        <v>1</v>
      </c>
      <c r="H14" s="8">
        <v>1.61</v>
      </c>
      <c r="I14" s="12">
        <v>0</v>
      </c>
    </row>
    <row r="15" spans="2:9" ht="15" customHeight="1" x14ac:dyDescent="0.2">
      <c r="B15" t="s">
        <v>54</v>
      </c>
      <c r="C15" s="12">
        <v>57</v>
      </c>
      <c r="D15" s="8">
        <v>22.35</v>
      </c>
      <c r="E15" s="12">
        <v>52</v>
      </c>
      <c r="F15" s="8">
        <v>28.89</v>
      </c>
      <c r="G15" s="12">
        <v>5</v>
      </c>
      <c r="H15" s="8">
        <v>8.06</v>
      </c>
      <c r="I15" s="12">
        <v>0</v>
      </c>
    </row>
    <row r="16" spans="2:9" ht="15" customHeight="1" x14ac:dyDescent="0.2">
      <c r="B16" t="s">
        <v>55</v>
      </c>
      <c r="C16" s="12">
        <v>39</v>
      </c>
      <c r="D16" s="8">
        <v>15.29</v>
      </c>
      <c r="E16" s="12">
        <v>32</v>
      </c>
      <c r="F16" s="8">
        <v>17.78</v>
      </c>
      <c r="G16" s="12">
        <v>7</v>
      </c>
      <c r="H16" s="8">
        <v>11.29</v>
      </c>
      <c r="I16" s="12">
        <v>0</v>
      </c>
    </row>
    <row r="17" spans="2:9" ht="15" customHeight="1" x14ac:dyDescent="0.2">
      <c r="B17" t="s">
        <v>56</v>
      </c>
      <c r="C17" s="12">
        <v>10</v>
      </c>
      <c r="D17" s="8">
        <v>3.92</v>
      </c>
      <c r="E17" s="12">
        <v>2</v>
      </c>
      <c r="F17" s="8">
        <v>1.1100000000000001</v>
      </c>
      <c r="G17" s="12">
        <v>4</v>
      </c>
      <c r="H17" s="8">
        <v>6.45</v>
      </c>
      <c r="I17" s="12">
        <v>4</v>
      </c>
    </row>
    <row r="18" spans="2:9" ht="15" customHeight="1" x14ac:dyDescent="0.2">
      <c r="B18" t="s">
        <v>57</v>
      </c>
      <c r="C18" s="12">
        <v>9</v>
      </c>
      <c r="D18" s="8">
        <v>3.53</v>
      </c>
      <c r="E18" s="12">
        <v>7</v>
      </c>
      <c r="F18" s="8">
        <v>3.89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58</v>
      </c>
      <c r="C19" s="12">
        <v>12</v>
      </c>
      <c r="D19" s="8">
        <v>4.71</v>
      </c>
      <c r="E19" s="12">
        <v>5</v>
      </c>
      <c r="F19" s="8">
        <v>2.78</v>
      </c>
      <c r="G19" s="12">
        <v>4</v>
      </c>
      <c r="H19" s="8">
        <v>6.45</v>
      </c>
      <c r="I19" s="12">
        <v>2</v>
      </c>
    </row>
    <row r="20" spans="2:9" ht="15" customHeight="1" x14ac:dyDescent="0.2">
      <c r="B20" s="9" t="s">
        <v>241</v>
      </c>
      <c r="C20" s="12">
        <f>SUM(LTBL_46535[総数／事業所数])</f>
        <v>255</v>
      </c>
      <c r="E20" s="12">
        <f>SUBTOTAL(109,LTBL_46535[個人／事業所数])</f>
        <v>180</v>
      </c>
      <c r="G20" s="12">
        <f>SUBTOTAL(109,LTBL_46535[法人／事業所数])</f>
        <v>62</v>
      </c>
      <c r="I20" s="12">
        <f>SUBTOTAL(109,LTBL_46535[法人以外の団体／事業所数])</f>
        <v>6</v>
      </c>
    </row>
    <row r="21" spans="2:9" ht="15" customHeight="1" x14ac:dyDescent="0.2">
      <c r="E21" s="11">
        <f>LTBL_46535[[#Totals],[個人／事業所数]]/LTBL_46535[[#Totals],[総数／事業所数]]</f>
        <v>0.70588235294117652</v>
      </c>
      <c r="G21" s="11">
        <f>LTBL_46535[[#Totals],[法人／事業所数]]/LTBL_46535[[#Totals],[総数／事業所数]]</f>
        <v>0.24313725490196078</v>
      </c>
      <c r="I21" s="11">
        <f>LTBL_46535[[#Totals],[法人以外の団体／事業所数]]/LTBL_46535[[#Totals],[総数／事業所数]]</f>
        <v>2.3529411764705882E-2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37</v>
      </c>
      <c r="D24" s="8">
        <v>14.51</v>
      </c>
      <c r="E24" s="12">
        <v>33</v>
      </c>
      <c r="F24" s="8">
        <v>18.329999999999998</v>
      </c>
      <c r="G24" s="12">
        <v>4</v>
      </c>
      <c r="H24" s="8">
        <v>6.45</v>
      </c>
      <c r="I24" s="12">
        <v>0</v>
      </c>
    </row>
    <row r="25" spans="2:9" ht="15" customHeight="1" x14ac:dyDescent="0.2">
      <c r="B25" t="s">
        <v>75</v>
      </c>
      <c r="C25" s="12">
        <v>26</v>
      </c>
      <c r="D25" s="8">
        <v>10.199999999999999</v>
      </c>
      <c r="E25" s="12">
        <v>22</v>
      </c>
      <c r="F25" s="8">
        <v>12.22</v>
      </c>
      <c r="G25" s="12">
        <v>4</v>
      </c>
      <c r="H25" s="8">
        <v>6.45</v>
      </c>
      <c r="I25" s="12">
        <v>0</v>
      </c>
    </row>
    <row r="26" spans="2:9" ht="15" customHeight="1" x14ac:dyDescent="0.2">
      <c r="B26" t="s">
        <v>82</v>
      </c>
      <c r="C26" s="12">
        <v>23</v>
      </c>
      <c r="D26" s="8">
        <v>9.02</v>
      </c>
      <c r="E26" s="12">
        <v>22</v>
      </c>
      <c r="F26" s="8">
        <v>12.22</v>
      </c>
      <c r="G26" s="12">
        <v>1</v>
      </c>
      <c r="H26" s="8">
        <v>1.61</v>
      </c>
      <c r="I26" s="12">
        <v>0</v>
      </c>
    </row>
    <row r="27" spans="2:9" ht="15" customHeight="1" x14ac:dyDescent="0.2">
      <c r="B27" t="s">
        <v>73</v>
      </c>
      <c r="C27" s="12">
        <v>20</v>
      </c>
      <c r="D27" s="8">
        <v>7.84</v>
      </c>
      <c r="E27" s="12">
        <v>20</v>
      </c>
      <c r="F27" s="8">
        <v>11.11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80</v>
      </c>
      <c r="C28" s="12">
        <v>19</v>
      </c>
      <c r="D28" s="8">
        <v>7.45</v>
      </c>
      <c r="E28" s="12">
        <v>18</v>
      </c>
      <c r="F28" s="8">
        <v>10</v>
      </c>
      <c r="G28" s="12">
        <v>1</v>
      </c>
      <c r="H28" s="8">
        <v>1.61</v>
      </c>
      <c r="I28" s="12">
        <v>0</v>
      </c>
    </row>
    <row r="29" spans="2:9" ht="15" customHeight="1" x14ac:dyDescent="0.2">
      <c r="B29" t="s">
        <v>94</v>
      </c>
      <c r="C29" s="12">
        <v>11</v>
      </c>
      <c r="D29" s="8">
        <v>4.3099999999999996</v>
      </c>
      <c r="E29" s="12">
        <v>8</v>
      </c>
      <c r="F29" s="8">
        <v>4.4400000000000004</v>
      </c>
      <c r="G29" s="12">
        <v>3</v>
      </c>
      <c r="H29" s="8">
        <v>4.84</v>
      </c>
      <c r="I29" s="12">
        <v>0</v>
      </c>
    </row>
    <row r="30" spans="2:9" ht="15" customHeight="1" x14ac:dyDescent="0.2">
      <c r="B30" t="s">
        <v>83</v>
      </c>
      <c r="C30" s="12">
        <v>10</v>
      </c>
      <c r="D30" s="8">
        <v>3.92</v>
      </c>
      <c r="E30" s="12">
        <v>2</v>
      </c>
      <c r="F30" s="8">
        <v>1.1100000000000001</v>
      </c>
      <c r="G30" s="12">
        <v>4</v>
      </c>
      <c r="H30" s="8">
        <v>6.45</v>
      </c>
      <c r="I30" s="12">
        <v>4</v>
      </c>
    </row>
    <row r="31" spans="2:9" ht="15" customHeight="1" x14ac:dyDescent="0.2">
      <c r="B31" t="s">
        <v>70</v>
      </c>
      <c r="C31" s="12">
        <v>8</v>
      </c>
      <c r="D31" s="8">
        <v>3.14</v>
      </c>
      <c r="E31" s="12">
        <v>3</v>
      </c>
      <c r="F31" s="8">
        <v>1.67</v>
      </c>
      <c r="G31" s="12">
        <v>5</v>
      </c>
      <c r="H31" s="8">
        <v>8.06</v>
      </c>
      <c r="I31" s="12">
        <v>0</v>
      </c>
    </row>
    <row r="32" spans="2:9" ht="15" customHeight="1" x14ac:dyDescent="0.2">
      <c r="B32" t="s">
        <v>74</v>
      </c>
      <c r="C32" s="12">
        <v>8</v>
      </c>
      <c r="D32" s="8">
        <v>3.14</v>
      </c>
      <c r="E32" s="12">
        <v>7</v>
      </c>
      <c r="F32" s="8">
        <v>3.89</v>
      </c>
      <c r="G32" s="12">
        <v>1</v>
      </c>
      <c r="H32" s="8">
        <v>1.61</v>
      </c>
      <c r="I32" s="12">
        <v>0</v>
      </c>
    </row>
    <row r="33" spans="2:9" ht="15" customHeight="1" x14ac:dyDescent="0.2">
      <c r="B33" t="s">
        <v>67</v>
      </c>
      <c r="C33" s="12">
        <v>7</v>
      </c>
      <c r="D33" s="8">
        <v>2.75</v>
      </c>
      <c r="E33" s="12">
        <v>0</v>
      </c>
      <c r="F33" s="8">
        <v>0</v>
      </c>
      <c r="G33" s="12">
        <v>7</v>
      </c>
      <c r="H33" s="8">
        <v>11.29</v>
      </c>
      <c r="I33" s="12">
        <v>0</v>
      </c>
    </row>
    <row r="34" spans="2:9" ht="15" customHeight="1" x14ac:dyDescent="0.2">
      <c r="B34" t="s">
        <v>84</v>
      </c>
      <c r="C34" s="12">
        <v>7</v>
      </c>
      <c r="D34" s="8">
        <v>2.75</v>
      </c>
      <c r="E34" s="12">
        <v>7</v>
      </c>
      <c r="F34" s="8">
        <v>3.89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69</v>
      </c>
      <c r="C35" s="12">
        <v>6</v>
      </c>
      <c r="D35" s="8">
        <v>2.35</v>
      </c>
      <c r="E35" s="12">
        <v>1</v>
      </c>
      <c r="F35" s="8">
        <v>0.56000000000000005</v>
      </c>
      <c r="G35" s="12">
        <v>5</v>
      </c>
      <c r="H35" s="8">
        <v>8.06</v>
      </c>
      <c r="I35" s="12">
        <v>0</v>
      </c>
    </row>
    <row r="36" spans="2:9" ht="15" customHeight="1" x14ac:dyDescent="0.2">
      <c r="B36" t="s">
        <v>72</v>
      </c>
      <c r="C36" s="12">
        <v>6</v>
      </c>
      <c r="D36" s="8">
        <v>2.35</v>
      </c>
      <c r="E36" s="12">
        <v>6</v>
      </c>
      <c r="F36" s="8">
        <v>3.33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71</v>
      </c>
      <c r="C37" s="12">
        <v>5</v>
      </c>
      <c r="D37" s="8">
        <v>1.96</v>
      </c>
      <c r="E37" s="12">
        <v>2</v>
      </c>
      <c r="F37" s="8">
        <v>1.1100000000000001</v>
      </c>
      <c r="G37" s="12">
        <v>3</v>
      </c>
      <c r="H37" s="8">
        <v>4.84</v>
      </c>
      <c r="I37" s="12">
        <v>0</v>
      </c>
    </row>
    <row r="38" spans="2:9" ht="15" customHeight="1" x14ac:dyDescent="0.2">
      <c r="B38" t="s">
        <v>78</v>
      </c>
      <c r="C38" s="12">
        <v>5</v>
      </c>
      <c r="D38" s="8">
        <v>1.96</v>
      </c>
      <c r="E38" s="12">
        <v>4</v>
      </c>
      <c r="F38" s="8">
        <v>2.2200000000000002</v>
      </c>
      <c r="G38" s="12">
        <v>1</v>
      </c>
      <c r="H38" s="8">
        <v>1.61</v>
      </c>
      <c r="I38" s="12">
        <v>0</v>
      </c>
    </row>
    <row r="39" spans="2:9" ht="15" customHeight="1" x14ac:dyDescent="0.2">
      <c r="B39" t="s">
        <v>91</v>
      </c>
      <c r="C39" s="12">
        <v>5</v>
      </c>
      <c r="D39" s="8">
        <v>1.96</v>
      </c>
      <c r="E39" s="12">
        <v>2</v>
      </c>
      <c r="F39" s="8">
        <v>1.1100000000000001</v>
      </c>
      <c r="G39" s="12">
        <v>3</v>
      </c>
      <c r="H39" s="8">
        <v>4.84</v>
      </c>
      <c r="I39" s="12">
        <v>0</v>
      </c>
    </row>
    <row r="40" spans="2:9" ht="15" customHeight="1" x14ac:dyDescent="0.2">
      <c r="B40" t="s">
        <v>86</v>
      </c>
      <c r="C40" s="12">
        <v>5</v>
      </c>
      <c r="D40" s="8">
        <v>1.96</v>
      </c>
      <c r="E40" s="12">
        <v>2</v>
      </c>
      <c r="F40" s="8">
        <v>1.1100000000000001</v>
      </c>
      <c r="G40" s="12">
        <v>3</v>
      </c>
      <c r="H40" s="8">
        <v>4.84</v>
      </c>
      <c r="I40" s="12">
        <v>0</v>
      </c>
    </row>
    <row r="41" spans="2:9" ht="15" customHeight="1" x14ac:dyDescent="0.2">
      <c r="B41" t="s">
        <v>68</v>
      </c>
      <c r="C41" s="12">
        <v>4</v>
      </c>
      <c r="D41" s="8">
        <v>1.57</v>
      </c>
      <c r="E41" s="12">
        <v>3</v>
      </c>
      <c r="F41" s="8">
        <v>1.67</v>
      </c>
      <c r="G41" s="12">
        <v>1</v>
      </c>
      <c r="H41" s="8">
        <v>1.61</v>
      </c>
      <c r="I41" s="12">
        <v>0</v>
      </c>
    </row>
    <row r="42" spans="2:9" ht="15" customHeight="1" x14ac:dyDescent="0.2">
      <c r="B42" t="s">
        <v>113</v>
      </c>
      <c r="C42" s="12">
        <v>4</v>
      </c>
      <c r="D42" s="8">
        <v>1.57</v>
      </c>
      <c r="E42" s="12">
        <v>1</v>
      </c>
      <c r="F42" s="8">
        <v>0.56000000000000005</v>
      </c>
      <c r="G42" s="12">
        <v>3</v>
      </c>
      <c r="H42" s="8">
        <v>4.84</v>
      </c>
      <c r="I42" s="12">
        <v>0</v>
      </c>
    </row>
    <row r="43" spans="2:9" ht="15" customHeight="1" x14ac:dyDescent="0.2">
      <c r="B43" t="s">
        <v>79</v>
      </c>
      <c r="C43" s="12">
        <v>4</v>
      </c>
      <c r="D43" s="8">
        <v>1.57</v>
      </c>
      <c r="E43" s="12">
        <v>3</v>
      </c>
      <c r="F43" s="8">
        <v>1.67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158</v>
      </c>
      <c r="C47" s="12">
        <v>17</v>
      </c>
      <c r="D47" s="8">
        <v>6.67</v>
      </c>
      <c r="E47" s="12">
        <v>17</v>
      </c>
      <c r="F47" s="8">
        <v>9.44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140</v>
      </c>
      <c r="C48" s="12">
        <v>13</v>
      </c>
      <c r="D48" s="8">
        <v>5.0999999999999996</v>
      </c>
      <c r="E48" s="12">
        <v>13</v>
      </c>
      <c r="F48" s="8">
        <v>7.22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133</v>
      </c>
      <c r="C49" s="12">
        <v>10</v>
      </c>
      <c r="D49" s="8">
        <v>3.92</v>
      </c>
      <c r="E49" s="12">
        <v>9</v>
      </c>
      <c r="F49" s="8">
        <v>5</v>
      </c>
      <c r="G49" s="12">
        <v>1</v>
      </c>
      <c r="H49" s="8">
        <v>1.61</v>
      </c>
      <c r="I49" s="12">
        <v>0</v>
      </c>
    </row>
    <row r="50" spans="2:9" ht="15" customHeight="1" x14ac:dyDescent="0.2">
      <c r="B50" t="s">
        <v>167</v>
      </c>
      <c r="C50" s="12">
        <v>9</v>
      </c>
      <c r="D50" s="8">
        <v>3.53</v>
      </c>
      <c r="E50" s="12">
        <v>6</v>
      </c>
      <c r="F50" s="8">
        <v>3.33</v>
      </c>
      <c r="G50" s="12">
        <v>3</v>
      </c>
      <c r="H50" s="8">
        <v>4.84</v>
      </c>
      <c r="I50" s="12">
        <v>0</v>
      </c>
    </row>
    <row r="51" spans="2:9" ht="15" customHeight="1" x14ac:dyDescent="0.2">
      <c r="B51" t="s">
        <v>136</v>
      </c>
      <c r="C51" s="12">
        <v>8</v>
      </c>
      <c r="D51" s="8">
        <v>3.14</v>
      </c>
      <c r="E51" s="12">
        <v>7</v>
      </c>
      <c r="F51" s="8">
        <v>3.89</v>
      </c>
      <c r="G51" s="12">
        <v>1</v>
      </c>
      <c r="H51" s="8">
        <v>1.61</v>
      </c>
      <c r="I51" s="12">
        <v>0</v>
      </c>
    </row>
    <row r="52" spans="2:9" ht="15" customHeight="1" x14ac:dyDescent="0.2">
      <c r="B52" t="s">
        <v>137</v>
      </c>
      <c r="C52" s="12">
        <v>8</v>
      </c>
      <c r="D52" s="8">
        <v>3.14</v>
      </c>
      <c r="E52" s="12">
        <v>8</v>
      </c>
      <c r="F52" s="8">
        <v>4.4400000000000004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8</v>
      </c>
      <c r="D53" s="8">
        <v>3.14</v>
      </c>
      <c r="E53" s="12">
        <v>8</v>
      </c>
      <c r="F53" s="8">
        <v>4.4400000000000004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205</v>
      </c>
      <c r="C54" s="12">
        <v>8</v>
      </c>
      <c r="D54" s="8">
        <v>3.14</v>
      </c>
      <c r="E54" s="12">
        <v>7</v>
      </c>
      <c r="F54" s="8">
        <v>3.89</v>
      </c>
      <c r="G54" s="12">
        <v>1</v>
      </c>
      <c r="H54" s="8">
        <v>1.61</v>
      </c>
      <c r="I54" s="12">
        <v>0</v>
      </c>
    </row>
    <row r="55" spans="2:9" ht="15" customHeight="1" x14ac:dyDescent="0.2">
      <c r="B55" t="s">
        <v>127</v>
      </c>
      <c r="C55" s="12">
        <v>7</v>
      </c>
      <c r="D55" s="8">
        <v>2.75</v>
      </c>
      <c r="E55" s="12">
        <v>7</v>
      </c>
      <c r="F55" s="8">
        <v>3.89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129</v>
      </c>
      <c r="C56" s="12">
        <v>7</v>
      </c>
      <c r="D56" s="8">
        <v>2.75</v>
      </c>
      <c r="E56" s="12">
        <v>7</v>
      </c>
      <c r="F56" s="8">
        <v>3.89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132</v>
      </c>
      <c r="C57" s="12">
        <v>7</v>
      </c>
      <c r="D57" s="8">
        <v>2.75</v>
      </c>
      <c r="E57" s="12">
        <v>6</v>
      </c>
      <c r="F57" s="8">
        <v>3.33</v>
      </c>
      <c r="G57" s="12">
        <v>1</v>
      </c>
      <c r="H57" s="8">
        <v>1.61</v>
      </c>
      <c r="I57" s="12">
        <v>0</v>
      </c>
    </row>
    <row r="58" spans="2:9" ht="15" customHeight="1" x14ac:dyDescent="0.2">
      <c r="B58" t="s">
        <v>165</v>
      </c>
      <c r="C58" s="12">
        <v>7</v>
      </c>
      <c r="D58" s="8">
        <v>2.75</v>
      </c>
      <c r="E58" s="12">
        <v>2</v>
      </c>
      <c r="F58" s="8">
        <v>1.1100000000000001</v>
      </c>
      <c r="G58" s="12">
        <v>2</v>
      </c>
      <c r="H58" s="8">
        <v>3.23</v>
      </c>
      <c r="I58" s="12">
        <v>3</v>
      </c>
    </row>
    <row r="59" spans="2:9" ht="15" customHeight="1" x14ac:dyDescent="0.2">
      <c r="B59" t="s">
        <v>139</v>
      </c>
      <c r="C59" s="12">
        <v>6</v>
      </c>
      <c r="D59" s="8">
        <v>2.35</v>
      </c>
      <c r="E59" s="12">
        <v>6</v>
      </c>
      <c r="F59" s="8">
        <v>3.33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142</v>
      </c>
      <c r="C60" s="12">
        <v>6</v>
      </c>
      <c r="D60" s="8">
        <v>2.35</v>
      </c>
      <c r="E60" s="12">
        <v>6</v>
      </c>
      <c r="F60" s="8">
        <v>3.33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207</v>
      </c>
      <c r="C61" s="12">
        <v>5</v>
      </c>
      <c r="D61" s="8">
        <v>1.96</v>
      </c>
      <c r="E61" s="12">
        <v>2</v>
      </c>
      <c r="F61" s="8">
        <v>1.1100000000000001</v>
      </c>
      <c r="G61" s="12">
        <v>3</v>
      </c>
      <c r="H61" s="8">
        <v>4.84</v>
      </c>
      <c r="I61" s="12">
        <v>0</v>
      </c>
    </row>
    <row r="62" spans="2:9" ht="15" customHeight="1" x14ac:dyDescent="0.2">
      <c r="B62" t="s">
        <v>130</v>
      </c>
      <c r="C62" s="12">
        <v>5</v>
      </c>
      <c r="D62" s="8">
        <v>1.96</v>
      </c>
      <c r="E62" s="12">
        <v>5</v>
      </c>
      <c r="F62" s="8">
        <v>2.78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143</v>
      </c>
      <c r="C63" s="12">
        <v>5</v>
      </c>
      <c r="D63" s="8">
        <v>1.96</v>
      </c>
      <c r="E63" s="12">
        <v>2</v>
      </c>
      <c r="F63" s="8">
        <v>1.1100000000000001</v>
      </c>
      <c r="G63" s="12">
        <v>3</v>
      </c>
      <c r="H63" s="8">
        <v>4.84</v>
      </c>
      <c r="I63" s="12">
        <v>0</v>
      </c>
    </row>
    <row r="64" spans="2:9" ht="15" customHeight="1" x14ac:dyDescent="0.2">
      <c r="B64" t="s">
        <v>155</v>
      </c>
      <c r="C64" s="12">
        <v>4</v>
      </c>
      <c r="D64" s="8">
        <v>1.57</v>
      </c>
      <c r="E64" s="12">
        <v>2</v>
      </c>
      <c r="F64" s="8">
        <v>1.1100000000000001</v>
      </c>
      <c r="G64" s="12">
        <v>2</v>
      </c>
      <c r="H64" s="8">
        <v>3.23</v>
      </c>
      <c r="I64" s="12">
        <v>0</v>
      </c>
    </row>
    <row r="65" spans="2:9" ht="15" customHeight="1" x14ac:dyDescent="0.2">
      <c r="B65" t="s">
        <v>152</v>
      </c>
      <c r="C65" s="12">
        <v>4</v>
      </c>
      <c r="D65" s="8">
        <v>1.57</v>
      </c>
      <c r="E65" s="12">
        <v>4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126</v>
      </c>
      <c r="C66" s="12">
        <v>3</v>
      </c>
      <c r="D66" s="8">
        <v>1.18</v>
      </c>
      <c r="E66" s="12">
        <v>1</v>
      </c>
      <c r="F66" s="8">
        <v>0.56000000000000005</v>
      </c>
      <c r="G66" s="12">
        <v>2</v>
      </c>
      <c r="H66" s="8">
        <v>3.23</v>
      </c>
      <c r="I66" s="12">
        <v>0</v>
      </c>
    </row>
    <row r="67" spans="2:9" ht="15" customHeight="1" x14ac:dyDescent="0.2">
      <c r="B67" t="s">
        <v>172</v>
      </c>
      <c r="C67" s="12">
        <v>3</v>
      </c>
      <c r="D67" s="8">
        <v>1.18</v>
      </c>
      <c r="E67" s="12">
        <v>3</v>
      </c>
      <c r="F67" s="8">
        <v>1.67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204</v>
      </c>
      <c r="C68" s="12">
        <v>3</v>
      </c>
      <c r="D68" s="8">
        <v>1.18</v>
      </c>
      <c r="E68" s="12">
        <v>3</v>
      </c>
      <c r="F68" s="8">
        <v>1.67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147</v>
      </c>
      <c r="C69" s="12">
        <v>3</v>
      </c>
      <c r="D69" s="8">
        <v>1.18</v>
      </c>
      <c r="E69" s="12">
        <v>2</v>
      </c>
      <c r="F69" s="8">
        <v>1.1100000000000001</v>
      </c>
      <c r="G69" s="12">
        <v>1</v>
      </c>
      <c r="H69" s="8">
        <v>1.61</v>
      </c>
      <c r="I69" s="12">
        <v>0</v>
      </c>
    </row>
    <row r="70" spans="2:9" ht="15" customHeight="1" x14ac:dyDescent="0.2">
      <c r="B70" t="s">
        <v>208</v>
      </c>
      <c r="C70" s="12">
        <v>3</v>
      </c>
      <c r="D70" s="8">
        <v>1.18</v>
      </c>
      <c r="E70" s="12">
        <v>1</v>
      </c>
      <c r="F70" s="8">
        <v>0.56000000000000005</v>
      </c>
      <c r="G70" s="12">
        <v>2</v>
      </c>
      <c r="H70" s="8">
        <v>3.23</v>
      </c>
      <c r="I70" s="12">
        <v>0</v>
      </c>
    </row>
    <row r="71" spans="2:9" ht="15" customHeight="1" x14ac:dyDescent="0.2">
      <c r="B71" t="s">
        <v>156</v>
      </c>
      <c r="C71" s="12">
        <v>3</v>
      </c>
      <c r="D71" s="8">
        <v>1.18</v>
      </c>
      <c r="E71" s="12">
        <v>3</v>
      </c>
      <c r="F71" s="8">
        <v>1.67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C666-6E10-4B88-830D-2A4D105BA22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17</v>
      </c>
      <c r="D5" s="8">
        <v>0.04</v>
      </c>
      <c r="E5" s="12">
        <v>1</v>
      </c>
      <c r="F5" s="8">
        <v>0</v>
      </c>
      <c r="G5" s="12">
        <v>16</v>
      </c>
      <c r="H5" s="8">
        <v>0.09</v>
      </c>
      <c r="I5" s="12">
        <v>0</v>
      </c>
    </row>
    <row r="6" spans="2:9" ht="15" customHeight="1" x14ac:dyDescent="0.2">
      <c r="B6" t="s">
        <v>45</v>
      </c>
      <c r="C6" s="12">
        <v>4940</v>
      </c>
      <c r="D6" s="8">
        <v>11.8</v>
      </c>
      <c r="E6" s="12">
        <v>1341</v>
      </c>
      <c r="F6" s="8">
        <v>5.82</v>
      </c>
      <c r="G6" s="12">
        <v>3599</v>
      </c>
      <c r="H6" s="8">
        <v>19.79</v>
      </c>
      <c r="I6" s="12">
        <v>0</v>
      </c>
    </row>
    <row r="7" spans="2:9" ht="15" customHeight="1" x14ac:dyDescent="0.2">
      <c r="B7" t="s">
        <v>46</v>
      </c>
      <c r="C7" s="12">
        <v>3002</v>
      </c>
      <c r="D7" s="8">
        <v>7.17</v>
      </c>
      <c r="E7" s="12">
        <v>1232</v>
      </c>
      <c r="F7" s="8">
        <v>5.35</v>
      </c>
      <c r="G7" s="12">
        <v>1748</v>
      </c>
      <c r="H7" s="8">
        <v>9.61</v>
      </c>
      <c r="I7" s="12">
        <v>14</v>
      </c>
    </row>
    <row r="8" spans="2:9" ht="15" customHeight="1" x14ac:dyDescent="0.2">
      <c r="B8" t="s">
        <v>47</v>
      </c>
      <c r="C8" s="12">
        <v>177</v>
      </c>
      <c r="D8" s="8">
        <v>0.42</v>
      </c>
      <c r="E8" s="12">
        <v>3</v>
      </c>
      <c r="F8" s="8">
        <v>0.01</v>
      </c>
      <c r="G8" s="12">
        <v>160</v>
      </c>
      <c r="H8" s="8">
        <v>0.88</v>
      </c>
      <c r="I8" s="12">
        <v>0</v>
      </c>
    </row>
    <row r="9" spans="2:9" ht="15" customHeight="1" x14ac:dyDescent="0.2">
      <c r="B9" t="s">
        <v>48</v>
      </c>
      <c r="C9" s="12">
        <v>261</v>
      </c>
      <c r="D9" s="8">
        <v>0.62</v>
      </c>
      <c r="E9" s="12">
        <v>22</v>
      </c>
      <c r="F9" s="8">
        <v>0.1</v>
      </c>
      <c r="G9" s="12">
        <v>238</v>
      </c>
      <c r="H9" s="8">
        <v>1.31</v>
      </c>
      <c r="I9" s="12">
        <v>1</v>
      </c>
    </row>
    <row r="10" spans="2:9" ht="15" customHeight="1" x14ac:dyDescent="0.2">
      <c r="B10" t="s">
        <v>49</v>
      </c>
      <c r="C10" s="12">
        <v>515</v>
      </c>
      <c r="D10" s="8">
        <v>1.23</v>
      </c>
      <c r="E10" s="12">
        <v>171</v>
      </c>
      <c r="F10" s="8">
        <v>0.74</v>
      </c>
      <c r="G10" s="12">
        <v>334</v>
      </c>
      <c r="H10" s="8">
        <v>1.84</v>
      </c>
      <c r="I10" s="12">
        <v>5</v>
      </c>
    </row>
    <row r="11" spans="2:9" ht="15" customHeight="1" x14ac:dyDescent="0.2">
      <c r="B11" t="s">
        <v>50</v>
      </c>
      <c r="C11" s="12">
        <v>11433</v>
      </c>
      <c r="D11" s="8">
        <v>27.3</v>
      </c>
      <c r="E11" s="12">
        <v>5722</v>
      </c>
      <c r="F11" s="8">
        <v>24.84</v>
      </c>
      <c r="G11" s="12">
        <v>5636</v>
      </c>
      <c r="H11" s="8">
        <v>30.99</v>
      </c>
      <c r="I11" s="12">
        <v>73</v>
      </c>
    </row>
    <row r="12" spans="2:9" ht="15" customHeight="1" x14ac:dyDescent="0.2">
      <c r="B12" t="s">
        <v>51</v>
      </c>
      <c r="C12" s="12">
        <v>332</v>
      </c>
      <c r="D12" s="8">
        <v>0.79</v>
      </c>
      <c r="E12" s="12">
        <v>64</v>
      </c>
      <c r="F12" s="8">
        <v>0.28000000000000003</v>
      </c>
      <c r="G12" s="12">
        <v>268</v>
      </c>
      <c r="H12" s="8">
        <v>1.47</v>
      </c>
      <c r="I12" s="12">
        <v>0</v>
      </c>
    </row>
    <row r="13" spans="2:9" ht="15" customHeight="1" x14ac:dyDescent="0.2">
      <c r="B13" t="s">
        <v>52</v>
      </c>
      <c r="C13" s="12">
        <v>2575</v>
      </c>
      <c r="D13" s="8">
        <v>6.15</v>
      </c>
      <c r="E13" s="12">
        <v>884</v>
      </c>
      <c r="F13" s="8">
        <v>3.84</v>
      </c>
      <c r="G13" s="12">
        <v>1681</v>
      </c>
      <c r="H13" s="8">
        <v>9.24</v>
      </c>
      <c r="I13" s="12">
        <v>0</v>
      </c>
    </row>
    <row r="14" spans="2:9" ht="15" customHeight="1" x14ac:dyDescent="0.2">
      <c r="B14" t="s">
        <v>53</v>
      </c>
      <c r="C14" s="12">
        <v>2149</v>
      </c>
      <c r="D14" s="8">
        <v>5.13</v>
      </c>
      <c r="E14" s="12">
        <v>1184</v>
      </c>
      <c r="F14" s="8">
        <v>5.14</v>
      </c>
      <c r="G14" s="12">
        <v>945</v>
      </c>
      <c r="H14" s="8">
        <v>5.2</v>
      </c>
      <c r="I14" s="12">
        <v>2</v>
      </c>
    </row>
    <row r="15" spans="2:9" ht="15" customHeight="1" x14ac:dyDescent="0.2">
      <c r="B15" t="s">
        <v>54</v>
      </c>
      <c r="C15" s="12">
        <v>5631</v>
      </c>
      <c r="D15" s="8">
        <v>13.44</v>
      </c>
      <c r="E15" s="12">
        <v>4681</v>
      </c>
      <c r="F15" s="8">
        <v>20.32</v>
      </c>
      <c r="G15" s="12">
        <v>904</v>
      </c>
      <c r="H15" s="8">
        <v>4.97</v>
      </c>
      <c r="I15" s="12">
        <v>3</v>
      </c>
    </row>
    <row r="16" spans="2:9" ht="15" customHeight="1" x14ac:dyDescent="0.2">
      <c r="B16" t="s">
        <v>55</v>
      </c>
      <c r="C16" s="12">
        <v>5464</v>
      </c>
      <c r="D16" s="8">
        <v>13.05</v>
      </c>
      <c r="E16" s="12">
        <v>4555</v>
      </c>
      <c r="F16" s="8">
        <v>19.78</v>
      </c>
      <c r="G16" s="12">
        <v>869</v>
      </c>
      <c r="H16" s="8">
        <v>4.78</v>
      </c>
      <c r="I16" s="12">
        <v>18</v>
      </c>
    </row>
    <row r="17" spans="2:9" ht="15" customHeight="1" x14ac:dyDescent="0.2">
      <c r="B17" t="s">
        <v>56</v>
      </c>
      <c r="C17" s="12">
        <v>1432</v>
      </c>
      <c r="D17" s="8">
        <v>3.42</v>
      </c>
      <c r="E17" s="12">
        <v>949</v>
      </c>
      <c r="F17" s="8">
        <v>4.12</v>
      </c>
      <c r="G17" s="12">
        <v>252</v>
      </c>
      <c r="H17" s="8">
        <v>1.39</v>
      </c>
      <c r="I17" s="12">
        <v>26</v>
      </c>
    </row>
    <row r="18" spans="2:9" ht="15" customHeight="1" x14ac:dyDescent="0.2">
      <c r="B18" t="s">
        <v>57</v>
      </c>
      <c r="C18" s="12">
        <v>2167</v>
      </c>
      <c r="D18" s="8">
        <v>5.17</v>
      </c>
      <c r="E18" s="12">
        <v>1285</v>
      </c>
      <c r="F18" s="8">
        <v>5.58</v>
      </c>
      <c r="G18" s="12">
        <v>797</v>
      </c>
      <c r="H18" s="8">
        <v>4.38</v>
      </c>
      <c r="I18" s="12">
        <v>26</v>
      </c>
    </row>
    <row r="19" spans="2:9" ht="15" customHeight="1" x14ac:dyDescent="0.2">
      <c r="B19" t="s">
        <v>58</v>
      </c>
      <c r="C19" s="12">
        <v>1787</v>
      </c>
      <c r="D19" s="8">
        <v>4.2699999999999996</v>
      </c>
      <c r="E19" s="12">
        <v>939</v>
      </c>
      <c r="F19" s="8">
        <v>4.08</v>
      </c>
      <c r="G19" s="12">
        <v>740</v>
      </c>
      <c r="H19" s="8">
        <v>4.07</v>
      </c>
      <c r="I19" s="12">
        <v>35</v>
      </c>
    </row>
    <row r="20" spans="2:9" ht="15" customHeight="1" x14ac:dyDescent="0.2">
      <c r="B20" s="9" t="s">
        <v>241</v>
      </c>
      <c r="C20" s="12">
        <f>SUM(LTBL_46000[総数／事業所数])</f>
        <v>41882</v>
      </c>
      <c r="E20" s="12">
        <f>SUBTOTAL(109,LTBL_46000[個人／事業所数])</f>
        <v>23033</v>
      </c>
      <c r="G20" s="12">
        <f>SUBTOTAL(109,LTBL_46000[法人／事業所数])</f>
        <v>18187</v>
      </c>
      <c r="I20" s="12">
        <f>SUBTOTAL(109,LTBL_46000[法人以外の団体／事業所数])</f>
        <v>203</v>
      </c>
    </row>
    <row r="21" spans="2:9" ht="15" customHeight="1" x14ac:dyDescent="0.2">
      <c r="E21" s="11">
        <f>LTBL_46000[[#Totals],[個人／事業所数]]/LTBL_46000[[#Totals],[総数／事業所数]]</f>
        <v>0.54994985912802641</v>
      </c>
      <c r="G21" s="11">
        <f>LTBL_46000[[#Totals],[法人／事業所数]]/LTBL_46000[[#Totals],[総数／事業所数]]</f>
        <v>0.4342438278974261</v>
      </c>
      <c r="I21" s="11">
        <f>LTBL_46000[[#Totals],[法人以外の団体／事業所数]]/LTBL_46000[[#Totals],[総数／事業所数]]</f>
        <v>4.8469509574518886E-3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4648</v>
      </c>
      <c r="D24" s="8">
        <v>11.1</v>
      </c>
      <c r="E24" s="12">
        <v>4096</v>
      </c>
      <c r="F24" s="8">
        <v>17.78</v>
      </c>
      <c r="G24" s="12">
        <v>550</v>
      </c>
      <c r="H24" s="8">
        <v>3.02</v>
      </c>
      <c r="I24" s="12">
        <v>2</v>
      </c>
    </row>
    <row r="25" spans="2:9" ht="15" customHeight="1" x14ac:dyDescent="0.2">
      <c r="B25" t="s">
        <v>82</v>
      </c>
      <c r="C25" s="12">
        <v>4522</v>
      </c>
      <c r="D25" s="8">
        <v>10.8</v>
      </c>
      <c r="E25" s="12">
        <v>4046</v>
      </c>
      <c r="F25" s="8">
        <v>17.57</v>
      </c>
      <c r="G25" s="12">
        <v>470</v>
      </c>
      <c r="H25" s="8">
        <v>2.58</v>
      </c>
      <c r="I25" s="12">
        <v>5</v>
      </c>
    </row>
    <row r="26" spans="2:9" ht="15" customHeight="1" x14ac:dyDescent="0.2">
      <c r="B26" t="s">
        <v>75</v>
      </c>
      <c r="C26" s="12">
        <v>3424</v>
      </c>
      <c r="D26" s="8">
        <v>8.18</v>
      </c>
      <c r="E26" s="12">
        <v>1672</v>
      </c>
      <c r="F26" s="8">
        <v>7.26</v>
      </c>
      <c r="G26" s="12">
        <v>1718</v>
      </c>
      <c r="H26" s="8">
        <v>9.4499999999999993</v>
      </c>
      <c r="I26" s="12">
        <v>33</v>
      </c>
    </row>
    <row r="27" spans="2:9" ht="15" customHeight="1" x14ac:dyDescent="0.2">
      <c r="B27" t="s">
        <v>73</v>
      </c>
      <c r="C27" s="12">
        <v>2869</v>
      </c>
      <c r="D27" s="8">
        <v>6.85</v>
      </c>
      <c r="E27" s="12">
        <v>2096</v>
      </c>
      <c r="F27" s="8">
        <v>9.1</v>
      </c>
      <c r="G27" s="12">
        <v>745</v>
      </c>
      <c r="H27" s="8">
        <v>4.0999999999999996</v>
      </c>
      <c r="I27" s="12">
        <v>27</v>
      </c>
    </row>
    <row r="28" spans="2:9" ht="15" customHeight="1" x14ac:dyDescent="0.2">
      <c r="B28" t="s">
        <v>67</v>
      </c>
      <c r="C28" s="12">
        <v>2283</v>
      </c>
      <c r="D28" s="8">
        <v>5.45</v>
      </c>
      <c r="E28" s="12">
        <v>395</v>
      </c>
      <c r="F28" s="8">
        <v>1.71</v>
      </c>
      <c r="G28" s="12">
        <v>1888</v>
      </c>
      <c r="H28" s="8">
        <v>10.38</v>
      </c>
      <c r="I28" s="12">
        <v>0</v>
      </c>
    </row>
    <row r="29" spans="2:9" ht="15" customHeight="1" x14ac:dyDescent="0.2">
      <c r="B29" t="s">
        <v>77</v>
      </c>
      <c r="C29" s="12">
        <v>1666</v>
      </c>
      <c r="D29" s="8">
        <v>3.98</v>
      </c>
      <c r="E29" s="12">
        <v>626</v>
      </c>
      <c r="F29" s="8">
        <v>2.72</v>
      </c>
      <c r="G29" s="12">
        <v>1030</v>
      </c>
      <c r="H29" s="8">
        <v>5.66</v>
      </c>
      <c r="I29" s="12">
        <v>0</v>
      </c>
    </row>
    <row r="30" spans="2:9" ht="15" customHeight="1" x14ac:dyDescent="0.2">
      <c r="B30" t="s">
        <v>74</v>
      </c>
      <c r="C30" s="12">
        <v>1574</v>
      </c>
      <c r="D30" s="8">
        <v>3.76</v>
      </c>
      <c r="E30" s="12">
        <v>983</v>
      </c>
      <c r="F30" s="8">
        <v>4.2699999999999996</v>
      </c>
      <c r="G30" s="12">
        <v>591</v>
      </c>
      <c r="H30" s="8">
        <v>3.25</v>
      </c>
      <c r="I30" s="12">
        <v>0</v>
      </c>
    </row>
    <row r="31" spans="2:9" ht="15" customHeight="1" x14ac:dyDescent="0.2">
      <c r="B31" t="s">
        <v>84</v>
      </c>
      <c r="C31" s="12">
        <v>1444</v>
      </c>
      <c r="D31" s="8">
        <v>3.45</v>
      </c>
      <c r="E31" s="12">
        <v>1271</v>
      </c>
      <c r="F31" s="8">
        <v>5.52</v>
      </c>
      <c r="G31" s="12">
        <v>170</v>
      </c>
      <c r="H31" s="8">
        <v>0.93</v>
      </c>
      <c r="I31" s="12">
        <v>0</v>
      </c>
    </row>
    <row r="32" spans="2:9" ht="15" customHeight="1" x14ac:dyDescent="0.2">
      <c r="B32" t="s">
        <v>83</v>
      </c>
      <c r="C32" s="12">
        <v>1432</v>
      </c>
      <c r="D32" s="8">
        <v>3.42</v>
      </c>
      <c r="E32" s="12">
        <v>949</v>
      </c>
      <c r="F32" s="8">
        <v>4.12</v>
      </c>
      <c r="G32" s="12">
        <v>252</v>
      </c>
      <c r="H32" s="8">
        <v>1.39</v>
      </c>
      <c r="I32" s="12">
        <v>26</v>
      </c>
    </row>
    <row r="33" spans="2:9" ht="15" customHeight="1" x14ac:dyDescent="0.2">
      <c r="B33" t="s">
        <v>68</v>
      </c>
      <c r="C33" s="12">
        <v>1431</v>
      </c>
      <c r="D33" s="8">
        <v>3.42</v>
      </c>
      <c r="E33" s="12">
        <v>611</v>
      </c>
      <c r="F33" s="8">
        <v>2.65</v>
      </c>
      <c r="G33" s="12">
        <v>820</v>
      </c>
      <c r="H33" s="8">
        <v>4.51</v>
      </c>
      <c r="I33" s="12">
        <v>0</v>
      </c>
    </row>
    <row r="34" spans="2:9" ht="15" customHeight="1" x14ac:dyDescent="0.2">
      <c r="B34" t="s">
        <v>69</v>
      </c>
      <c r="C34" s="12">
        <v>1226</v>
      </c>
      <c r="D34" s="8">
        <v>2.93</v>
      </c>
      <c r="E34" s="12">
        <v>335</v>
      </c>
      <c r="F34" s="8">
        <v>1.45</v>
      </c>
      <c r="G34" s="12">
        <v>891</v>
      </c>
      <c r="H34" s="8">
        <v>4.9000000000000004</v>
      </c>
      <c r="I34" s="12">
        <v>0</v>
      </c>
    </row>
    <row r="35" spans="2:9" ht="15" customHeight="1" x14ac:dyDescent="0.2">
      <c r="B35" t="s">
        <v>78</v>
      </c>
      <c r="C35" s="12">
        <v>1063</v>
      </c>
      <c r="D35" s="8">
        <v>2.54</v>
      </c>
      <c r="E35" s="12">
        <v>768</v>
      </c>
      <c r="F35" s="8">
        <v>3.33</v>
      </c>
      <c r="G35" s="12">
        <v>295</v>
      </c>
      <c r="H35" s="8">
        <v>1.62</v>
      </c>
      <c r="I35" s="12">
        <v>0</v>
      </c>
    </row>
    <row r="36" spans="2:9" ht="15" customHeight="1" x14ac:dyDescent="0.2">
      <c r="B36" t="s">
        <v>79</v>
      </c>
      <c r="C36" s="12">
        <v>999</v>
      </c>
      <c r="D36" s="8">
        <v>2.39</v>
      </c>
      <c r="E36" s="12">
        <v>407</v>
      </c>
      <c r="F36" s="8">
        <v>1.77</v>
      </c>
      <c r="G36" s="12">
        <v>576</v>
      </c>
      <c r="H36" s="8">
        <v>3.17</v>
      </c>
      <c r="I36" s="12">
        <v>2</v>
      </c>
    </row>
    <row r="37" spans="2:9" ht="15" customHeight="1" x14ac:dyDescent="0.2">
      <c r="B37" t="s">
        <v>72</v>
      </c>
      <c r="C37" s="12">
        <v>951</v>
      </c>
      <c r="D37" s="8">
        <v>2.27</v>
      </c>
      <c r="E37" s="12">
        <v>463</v>
      </c>
      <c r="F37" s="8">
        <v>2.0099999999999998</v>
      </c>
      <c r="G37" s="12">
        <v>478</v>
      </c>
      <c r="H37" s="8">
        <v>2.63</v>
      </c>
      <c r="I37" s="12">
        <v>10</v>
      </c>
    </row>
    <row r="38" spans="2:9" ht="15" customHeight="1" x14ac:dyDescent="0.2">
      <c r="B38" t="s">
        <v>86</v>
      </c>
      <c r="C38" s="12">
        <v>847</v>
      </c>
      <c r="D38" s="8">
        <v>2.02</v>
      </c>
      <c r="E38" s="12">
        <v>691</v>
      </c>
      <c r="F38" s="8">
        <v>3</v>
      </c>
      <c r="G38" s="12">
        <v>155</v>
      </c>
      <c r="H38" s="8">
        <v>0.85</v>
      </c>
      <c r="I38" s="12">
        <v>0</v>
      </c>
    </row>
    <row r="39" spans="2:9" ht="15" customHeight="1" x14ac:dyDescent="0.2">
      <c r="B39" t="s">
        <v>85</v>
      </c>
      <c r="C39" s="12">
        <v>723</v>
      </c>
      <c r="D39" s="8">
        <v>1.73</v>
      </c>
      <c r="E39" s="12">
        <v>14</v>
      </c>
      <c r="F39" s="8">
        <v>0.06</v>
      </c>
      <c r="G39" s="12">
        <v>627</v>
      </c>
      <c r="H39" s="8">
        <v>3.45</v>
      </c>
      <c r="I39" s="12">
        <v>26</v>
      </c>
    </row>
    <row r="40" spans="2:9" ht="15" customHeight="1" x14ac:dyDescent="0.2">
      <c r="B40" t="s">
        <v>70</v>
      </c>
      <c r="C40" s="12">
        <v>670</v>
      </c>
      <c r="D40" s="8">
        <v>1.6</v>
      </c>
      <c r="E40" s="12">
        <v>292</v>
      </c>
      <c r="F40" s="8">
        <v>1.27</v>
      </c>
      <c r="G40" s="12">
        <v>370</v>
      </c>
      <c r="H40" s="8">
        <v>2.0299999999999998</v>
      </c>
      <c r="I40" s="12">
        <v>6</v>
      </c>
    </row>
    <row r="41" spans="2:9" ht="15" customHeight="1" x14ac:dyDescent="0.2">
      <c r="B41" t="s">
        <v>76</v>
      </c>
      <c r="C41" s="12">
        <v>642</v>
      </c>
      <c r="D41" s="8">
        <v>1.53</v>
      </c>
      <c r="E41" s="12">
        <v>220</v>
      </c>
      <c r="F41" s="8">
        <v>0.96</v>
      </c>
      <c r="G41" s="12">
        <v>422</v>
      </c>
      <c r="H41" s="8">
        <v>2.3199999999999998</v>
      </c>
      <c r="I41" s="12">
        <v>0</v>
      </c>
    </row>
    <row r="42" spans="2:9" ht="15" customHeight="1" x14ac:dyDescent="0.2">
      <c r="B42" t="s">
        <v>80</v>
      </c>
      <c r="C42" s="12">
        <v>636</v>
      </c>
      <c r="D42" s="8">
        <v>1.52</v>
      </c>
      <c r="E42" s="12">
        <v>434</v>
      </c>
      <c r="F42" s="8">
        <v>1.88</v>
      </c>
      <c r="G42" s="12">
        <v>182</v>
      </c>
      <c r="H42" s="8">
        <v>1</v>
      </c>
      <c r="I42" s="12">
        <v>1</v>
      </c>
    </row>
    <row r="43" spans="2:9" ht="15" customHeight="1" x14ac:dyDescent="0.2">
      <c r="B43" t="s">
        <v>71</v>
      </c>
      <c r="C43" s="12">
        <v>596</v>
      </c>
      <c r="D43" s="8">
        <v>1.42</v>
      </c>
      <c r="E43" s="12">
        <v>152</v>
      </c>
      <c r="F43" s="8">
        <v>0.66</v>
      </c>
      <c r="G43" s="12">
        <v>443</v>
      </c>
      <c r="H43" s="8">
        <v>2.44</v>
      </c>
      <c r="I43" s="12">
        <v>1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2403</v>
      </c>
      <c r="D47" s="8">
        <v>5.74</v>
      </c>
      <c r="E47" s="12">
        <v>2258</v>
      </c>
      <c r="F47" s="8">
        <v>9.8000000000000007</v>
      </c>
      <c r="G47" s="12">
        <v>145</v>
      </c>
      <c r="H47" s="8">
        <v>0.8</v>
      </c>
      <c r="I47" s="12">
        <v>0</v>
      </c>
    </row>
    <row r="48" spans="2:9" ht="15" customHeight="1" x14ac:dyDescent="0.2">
      <c r="B48" t="s">
        <v>139</v>
      </c>
      <c r="C48" s="12">
        <v>1279</v>
      </c>
      <c r="D48" s="8">
        <v>3.05</v>
      </c>
      <c r="E48" s="12">
        <v>1242</v>
      </c>
      <c r="F48" s="8">
        <v>5.39</v>
      </c>
      <c r="G48" s="12">
        <v>37</v>
      </c>
      <c r="H48" s="8">
        <v>0.2</v>
      </c>
      <c r="I48" s="12">
        <v>0</v>
      </c>
    </row>
    <row r="49" spans="2:9" ht="15" customHeight="1" x14ac:dyDescent="0.2">
      <c r="B49" t="s">
        <v>137</v>
      </c>
      <c r="C49" s="12">
        <v>1198</v>
      </c>
      <c r="D49" s="8">
        <v>2.86</v>
      </c>
      <c r="E49" s="12">
        <v>1079</v>
      </c>
      <c r="F49" s="8">
        <v>4.68</v>
      </c>
      <c r="G49" s="12">
        <v>119</v>
      </c>
      <c r="H49" s="8">
        <v>0.65</v>
      </c>
      <c r="I49" s="12">
        <v>0</v>
      </c>
    </row>
    <row r="50" spans="2:9" ht="15" customHeight="1" x14ac:dyDescent="0.2">
      <c r="B50" t="s">
        <v>138</v>
      </c>
      <c r="C50" s="12">
        <v>1114</v>
      </c>
      <c r="D50" s="8">
        <v>2.66</v>
      </c>
      <c r="E50" s="12">
        <v>1052</v>
      </c>
      <c r="F50" s="8">
        <v>4.57</v>
      </c>
      <c r="G50" s="12">
        <v>62</v>
      </c>
      <c r="H50" s="8">
        <v>0.34</v>
      </c>
      <c r="I50" s="12">
        <v>0</v>
      </c>
    </row>
    <row r="51" spans="2:9" ht="15" customHeight="1" x14ac:dyDescent="0.2">
      <c r="B51" t="s">
        <v>130</v>
      </c>
      <c r="C51" s="12">
        <v>1062</v>
      </c>
      <c r="D51" s="8">
        <v>2.54</v>
      </c>
      <c r="E51" s="12">
        <v>681</v>
      </c>
      <c r="F51" s="8">
        <v>2.96</v>
      </c>
      <c r="G51" s="12">
        <v>381</v>
      </c>
      <c r="H51" s="8">
        <v>2.09</v>
      </c>
      <c r="I51" s="12">
        <v>0</v>
      </c>
    </row>
    <row r="52" spans="2:9" ht="15" customHeight="1" x14ac:dyDescent="0.2">
      <c r="B52" t="s">
        <v>142</v>
      </c>
      <c r="C52" s="12">
        <v>1058</v>
      </c>
      <c r="D52" s="8">
        <v>2.5299999999999998</v>
      </c>
      <c r="E52" s="12">
        <v>961</v>
      </c>
      <c r="F52" s="8">
        <v>4.17</v>
      </c>
      <c r="G52" s="12">
        <v>97</v>
      </c>
      <c r="H52" s="8">
        <v>0.53</v>
      </c>
      <c r="I52" s="12">
        <v>0</v>
      </c>
    </row>
    <row r="53" spans="2:9" ht="15" customHeight="1" x14ac:dyDescent="0.2">
      <c r="B53" t="s">
        <v>136</v>
      </c>
      <c r="C53" s="12">
        <v>1055</v>
      </c>
      <c r="D53" s="8">
        <v>2.52</v>
      </c>
      <c r="E53" s="12">
        <v>871</v>
      </c>
      <c r="F53" s="8">
        <v>3.78</v>
      </c>
      <c r="G53" s="12">
        <v>184</v>
      </c>
      <c r="H53" s="8">
        <v>1.01</v>
      </c>
      <c r="I53" s="12">
        <v>0</v>
      </c>
    </row>
    <row r="54" spans="2:9" ht="15" customHeight="1" x14ac:dyDescent="0.2">
      <c r="B54" t="s">
        <v>129</v>
      </c>
      <c r="C54" s="12">
        <v>1053</v>
      </c>
      <c r="D54" s="8">
        <v>2.5099999999999998</v>
      </c>
      <c r="E54" s="12">
        <v>741</v>
      </c>
      <c r="F54" s="8">
        <v>3.22</v>
      </c>
      <c r="G54" s="12">
        <v>301</v>
      </c>
      <c r="H54" s="8">
        <v>1.66</v>
      </c>
      <c r="I54" s="12">
        <v>11</v>
      </c>
    </row>
    <row r="55" spans="2:9" ht="15" customHeight="1" x14ac:dyDescent="0.2">
      <c r="B55" t="s">
        <v>134</v>
      </c>
      <c r="C55" s="12">
        <v>1043</v>
      </c>
      <c r="D55" s="8">
        <v>2.4900000000000002</v>
      </c>
      <c r="E55" s="12">
        <v>460</v>
      </c>
      <c r="F55" s="8">
        <v>2</v>
      </c>
      <c r="G55" s="12">
        <v>575</v>
      </c>
      <c r="H55" s="8">
        <v>3.16</v>
      </c>
      <c r="I55" s="12">
        <v>0</v>
      </c>
    </row>
    <row r="56" spans="2:9" ht="15" customHeight="1" x14ac:dyDescent="0.2">
      <c r="B56" t="s">
        <v>124</v>
      </c>
      <c r="C56" s="12">
        <v>880</v>
      </c>
      <c r="D56" s="8">
        <v>2.1</v>
      </c>
      <c r="E56" s="12">
        <v>57</v>
      </c>
      <c r="F56" s="8">
        <v>0.25</v>
      </c>
      <c r="G56" s="12">
        <v>823</v>
      </c>
      <c r="H56" s="8">
        <v>4.53</v>
      </c>
      <c r="I56" s="12">
        <v>0</v>
      </c>
    </row>
    <row r="57" spans="2:9" ht="15" customHeight="1" x14ac:dyDescent="0.2">
      <c r="B57" t="s">
        <v>133</v>
      </c>
      <c r="C57" s="12">
        <v>872</v>
      </c>
      <c r="D57" s="8">
        <v>2.08</v>
      </c>
      <c r="E57" s="12">
        <v>568</v>
      </c>
      <c r="F57" s="8">
        <v>2.4700000000000002</v>
      </c>
      <c r="G57" s="12">
        <v>299</v>
      </c>
      <c r="H57" s="8">
        <v>1.64</v>
      </c>
      <c r="I57" s="12">
        <v>4</v>
      </c>
    </row>
    <row r="58" spans="2:9" ht="15" customHeight="1" x14ac:dyDescent="0.2">
      <c r="B58" t="s">
        <v>143</v>
      </c>
      <c r="C58" s="12">
        <v>847</v>
      </c>
      <c r="D58" s="8">
        <v>2.02</v>
      </c>
      <c r="E58" s="12">
        <v>691</v>
      </c>
      <c r="F58" s="8">
        <v>3</v>
      </c>
      <c r="G58" s="12">
        <v>155</v>
      </c>
      <c r="H58" s="8">
        <v>0.85</v>
      </c>
      <c r="I58" s="12">
        <v>0</v>
      </c>
    </row>
    <row r="59" spans="2:9" ht="15" customHeight="1" x14ac:dyDescent="0.2">
      <c r="B59" t="s">
        <v>141</v>
      </c>
      <c r="C59" s="12">
        <v>760</v>
      </c>
      <c r="D59" s="8">
        <v>1.81</v>
      </c>
      <c r="E59" s="12">
        <v>617</v>
      </c>
      <c r="F59" s="8">
        <v>2.68</v>
      </c>
      <c r="G59" s="12">
        <v>136</v>
      </c>
      <c r="H59" s="8">
        <v>0.75</v>
      </c>
      <c r="I59" s="12">
        <v>7</v>
      </c>
    </row>
    <row r="60" spans="2:9" ht="15" customHeight="1" x14ac:dyDescent="0.2">
      <c r="B60" t="s">
        <v>131</v>
      </c>
      <c r="C60" s="12">
        <v>628</v>
      </c>
      <c r="D60" s="8">
        <v>1.5</v>
      </c>
      <c r="E60" s="12">
        <v>225</v>
      </c>
      <c r="F60" s="8">
        <v>0.98</v>
      </c>
      <c r="G60" s="12">
        <v>403</v>
      </c>
      <c r="H60" s="8">
        <v>2.2200000000000002</v>
      </c>
      <c r="I60" s="12">
        <v>0</v>
      </c>
    </row>
    <row r="61" spans="2:9" ht="15" customHeight="1" x14ac:dyDescent="0.2">
      <c r="B61" t="s">
        <v>135</v>
      </c>
      <c r="C61" s="12">
        <v>612</v>
      </c>
      <c r="D61" s="8">
        <v>1.46</v>
      </c>
      <c r="E61" s="12">
        <v>198</v>
      </c>
      <c r="F61" s="8">
        <v>0.86</v>
      </c>
      <c r="G61" s="12">
        <v>402</v>
      </c>
      <c r="H61" s="8">
        <v>2.21</v>
      </c>
      <c r="I61" s="12">
        <v>0</v>
      </c>
    </row>
    <row r="62" spans="2:9" ht="15" customHeight="1" x14ac:dyDescent="0.2">
      <c r="B62" t="s">
        <v>126</v>
      </c>
      <c r="C62" s="12">
        <v>605</v>
      </c>
      <c r="D62" s="8">
        <v>1.44</v>
      </c>
      <c r="E62" s="12">
        <v>201</v>
      </c>
      <c r="F62" s="8">
        <v>0.87</v>
      </c>
      <c r="G62" s="12">
        <v>404</v>
      </c>
      <c r="H62" s="8">
        <v>2.2200000000000002</v>
      </c>
      <c r="I62" s="12">
        <v>0</v>
      </c>
    </row>
    <row r="63" spans="2:9" ht="15" customHeight="1" x14ac:dyDescent="0.2">
      <c r="B63" t="s">
        <v>127</v>
      </c>
      <c r="C63" s="12">
        <v>603</v>
      </c>
      <c r="D63" s="8">
        <v>1.44</v>
      </c>
      <c r="E63" s="12">
        <v>471</v>
      </c>
      <c r="F63" s="8">
        <v>2.04</v>
      </c>
      <c r="G63" s="12">
        <v>132</v>
      </c>
      <c r="H63" s="8">
        <v>0.73</v>
      </c>
      <c r="I63" s="12">
        <v>0</v>
      </c>
    </row>
    <row r="64" spans="2:9" ht="15" customHeight="1" x14ac:dyDescent="0.2">
      <c r="B64" t="s">
        <v>132</v>
      </c>
      <c r="C64" s="12">
        <v>599</v>
      </c>
      <c r="D64" s="8">
        <v>1.43</v>
      </c>
      <c r="E64" s="12">
        <v>146</v>
      </c>
      <c r="F64" s="8">
        <v>0.63</v>
      </c>
      <c r="G64" s="12">
        <v>453</v>
      </c>
      <c r="H64" s="8">
        <v>2.4900000000000002</v>
      </c>
      <c r="I64" s="12">
        <v>0</v>
      </c>
    </row>
    <row r="65" spans="2:9" ht="15" customHeight="1" x14ac:dyDescent="0.2">
      <c r="B65" t="s">
        <v>128</v>
      </c>
      <c r="C65" s="12">
        <v>551</v>
      </c>
      <c r="D65" s="8">
        <v>1.32</v>
      </c>
      <c r="E65" s="12">
        <v>369</v>
      </c>
      <c r="F65" s="8">
        <v>1.6</v>
      </c>
      <c r="G65" s="12">
        <v>176</v>
      </c>
      <c r="H65" s="8">
        <v>0.97</v>
      </c>
      <c r="I65" s="12">
        <v>6</v>
      </c>
    </row>
    <row r="66" spans="2:9" ht="15" customHeight="1" x14ac:dyDescent="0.2">
      <c r="B66" t="s">
        <v>125</v>
      </c>
      <c r="C66" s="12">
        <v>537</v>
      </c>
      <c r="D66" s="8">
        <v>1.28</v>
      </c>
      <c r="E66" s="12">
        <v>81</v>
      </c>
      <c r="F66" s="8">
        <v>0.35</v>
      </c>
      <c r="G66" s="12">
        <v>456</v>
      </c>
      <c r="H66" s="8">
        <v>2.5099999999999998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E2F3-8D30-48BD-8FD2-7E5731DB41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3</v>
      </c>
      <c r="D5" s="8">
        <v>0.02</v>
      </c>
      <c r="E5" s="12">
        <v>1</v>
      </c>
      <c r="F5" s="8">
        <v>0.01</v>
      </c>
      <c r="G5" s="12">
        <v>2</v>
      </c>
      <c r="H5" s="8">
        <v>0.03</v>
      </c>
      <c r="I5" s="12">
        <v>0</v>
      </c>
    </row>
    <row r="6" spans="2:9" ht="15" customHeight="1" x14ac:dyDescent="0.2">
      <c r="B6" t="s">
        <v>45</v>
      </c>
      <c r="C6" s="12">
        <v>1758</v>
      </c>
      <c r="D6" s="8">
        <v>11.99</v>
      </c>
      <c r="E6" s="12">
        <v>292</v>
      </c>
      <c r="F6" s="8">
        <v>4.32</v>
      </c>
      <c r="G6" s="12">
        <v>1466</v>
      </c>
      <c r="H6" s="8">
        <v>18.739999999999998</v>
      </c>
      <c r="I6" s="12">
        <v>0</v>
      </c>
    </row>
    <row r="7" spans="2:9" ht="15" customHeight="1" x14ac:dyDescent="0.2">
      <c r="B7" t="s">
        <v>46</v>
      </c>
      <c r="C7" s="12">
        <v>733</v>
      </c>
      <c r="D7" s="8">
        <v>5</v>
      </c>
      <c r="E7" s="12">
        <v>222</v>
      </c>
      <c r="F7" s="8">
        <v>3.28</v>
      </c>
      <c r="G7" s="12">
        <v>510</v>
      </c>
      <c r="H7" s="8">
        <v>6.52</v>
      </c>
      <c r="I7" s="12">
        <v>1</v>
      </c>
    </row>
    <row r="8" spans="2:9" ht="15" customHeight="1" x14ac:dyDescent="0.2">
      <c r="B8" t="s">
        <v>47</v>
      </c>
      <c r="C8" s="12">
        <v>32</v>
      </c>
      <c r="D8" s="8">
        <v>0.22</v>
      </c>
      <c r="E8" s="12">
        <v>1</v>
      </c>
      <c r="F8" s="8">
        <v>0.01</v>
      </c>
      <c r="G8" s="12">
        <v>31</v>
      </c>
      <c r="H8" s="8">
        <v>0.4</v>
      </c>
      <c r="I8" s="12">
        <v>0</v>
      </c>
    </row>
    <row r="9" spans="2:9" ht="15" customHeight="1" x14ac:dyDescent="0.2">
      <c r="B9" t="s">
        <v>48</v>
      </c>
      <c r="C9" s="12">
        <v>146</v>
      </c>
      <c r="D9" s="8">
        <v>1</v>
      </c>
      <c r="E9" s="12">
        <v>13</v>
      </c>
      <c r="F9" s="8">
        <v>0.19</v>
      </c>
      <c r="G9" s="12">
        <v>133</v>
      </c>
      <c r="H9" s="8">
        <v>1.7</v>
      </c>
      <c r="I9" s="12">
        <v>0</v>
      </c>
    </row>
    <row r="10" spans="2:9" ht="15" customHeight="1" x14ac:dyDescent="0.2">
      <c r="B10" t="s">
        <v>49</v>
      </c>
      <c r="C10" s="12">
        <v>212</v>
      </c>
      <c r="D10" s="8">
        <v>1.45</v>
      </c>
      <c r="E10" s="12">
        <v>96</v>
      </c>
      <c r="F10" s="8">
        <v>1.42</v>
      </c>
      <c r="G10" s="12">
        <v>114</v>
      </c>
      <c r="H10" s="8">
        <v>1.46</v>
      </c>
      <c r="I10" s="12">
        <v>0</v>
      </c>
    </row>
    <row r="11" spans="2:9" ht="15" customHeight="1" x14ac:dyDescent="0.2">
      <c r="B11" t="s">
        <v>50</v>
      </c>
      <c r="C11" s="12">
        <v>3721</v>
      </c>
      <c r="D11" s="8">
        <v>25.38</v>
      </c>
      <c r="E11" s="12">
        <v>1318</v>
      </c>
      <c r="F11" s="8">
        <v>19.5</v>
      </c>
      <c r="G11" s="12">
        <v>2371</v>
      </c>
      <c r="H11" s="8">
        <v>30.31</v>
      </c>
      <c r="I11" s="12">
        <v>32</v>
      </c>
    </row>
    <row r="12" spans="2:9" ht="15" customHeight="1" x14ac:dyDescent="0.2">
      <c r="B12" t="s">
        <v>51</v>
      </c>
      <c r="C12" s="12">
        <v>160</v>
      </c>
      <c r="D12" s="8">
        <v>1.0900000000000001</v>
      </c>
      <c r="E12" s="12">
        <v>22</v>
      </c>
      <c r="F12" s="8">
        <v>0.33</v>
      </c>
      <c r="G12" s="12">
        <v>138</v>
      </c>
      <c r="H12" s="8">
        <v>1.76</v>
      </c>
      <c r="I12" s="12">
        <v>0</v>
      </c>
    </row>
    <row r="13" spans="2:9" ht="15" customHeight="1" x14ac:dyDescent="0.2">
      <c r="B13" t="s">
        <v>52</v>
      </c>
      <c r="C13" s="12">
        <v>1502</v>
      </c>
      <c r="D13" s="8">
        <v>10.24</v>
      </c>
      <c r="E13" s="12">
        <v>483</v>
      </c>
      <c r="F13" s="8">
        <v>7.14</v>
      </c>
      <c r="G13" s="12">
        <v>1019</v>
      </c>
      <c r="H13" s="8">
        <v>13.03</v>
      </c>
      <c r="I13" s="12">
        <v>0</v>
      </c>
    </row>
    <row r="14" spans="2:9" ht="15" customHeight="1" x14ac:dyDescent="0.2">
      <c r="B14" t="s">
        <v>53</v>
      </c>
      <c r="C14" s="12">
        <v>1007</v>
      </c>
      <c r="D14" s="8">
        <v>6.87</v>
      </c>
      <c r="E14" s="12">
        <v>514</v>
      </c>
      <c r="F14" s="8">
        <v>7.6</v>
      </c>
      <c r="G14" s="12">
        <v>490</v>
      </c>
      <c r="H14" s="8">
        <v>6.26</v>
      </c>
      <c r="I14" s="12">
        <v>1</v>
      </c>
    </row>
    <row r="15" spans="2:9" ht="15" customHeight="1" x14ac:dyDescent="0.2">
      <c r="B15" t="s">
        <v>54</v>
      </c>
      <c r="C15" s="12">
        <v>1743</v>
      </c>
      <c r="D15" s="8">
        <v>11.89</v>
      </c>
      <c r="E15" s="12">
        <v>1347</v>
      </c>
      <c r="F15" s="8">
        <v>19.93</v>
      </c>
      <c r="G15" s="12">
        <v>388</v>
      </c>
      <c r="H15" s="8">
        <v>4.96</v>
      </c>
      <c r="I15" s="12">
        <v>0</v>
      </c>
    </row>
    <row r="16" spans="2:9" ht="15" customHeight="1" x14ac:dyDescent="0.2">
      <c r="B16" t="s">
        <v>55</v>
      </c>
      <c r="C16" s="12">
        <v>1713</v>
      </c>
      <c r="D16" s="8">
        <v>11.68</v>
      </c>
      <c r="E16" s="12">
        <v>1337</v>
      </c>
      <c r="F16" s="8">
        <v>19.78</v>
      </c>
      <c r="G16" s="12">
        <v>375</v>
      </c>
      <c r="H16" s="8">
        <v>4.79</v>
      </c>
      <c r="I16" s="12">
        <v>1</v>
      </c>
    </row>
    <row r="17" spans="2:9" ht="15" customHeight="1" x14ac:dyDescent="0.2">
      <c r="B17" t="s">
        <v>56</v>
      </c>
      <c r="C17" s="12">
        <v>494</v>
      </c>
      <c r="D17" s="8">
        <v>3.37</v>
      </c>
      <c r="E17" s="12">
        <v>361</v>
      </c>
      <c r="F17" s="8">
        <v>5.34</v>
      </c>
      <c r="G17" s="12">
        <v>126</v>
      </c>
      <c r="H17" s="8">
        <v>1.61</v>
      </c>
      <c r="I17" s="12">
        <v>6</v>
      </c>
    </row>
    <row r="18" spans="2:9" ht="15" customHeight="1" x14ac:dyDescent="0.2">
      <c r="B18" t="s">
        <v>57</v>
      </c>
      <c r="C18" s="12">
        <v>859</v>
      </c>
      <c r="D18" s="8">
        <v>5.86</v>
      </c>
      <c r="E18" s="12">
        <v>520</v>
      </c>
      <c r="F18" s="8">
        <v>7.69</v>
      </c>
      <c r="G18" s="12">
        <v>320</v>
      </c>
      <c r="H18" s="8">
        <v>4.09</v>
      </c>
      <c r="I18" s="12">
        <v>15</v>
      </c>
    </row>
    <row r="19" spans="2:9" ht="15" customHeight="1" x14ac:dyDescent="0.2">
      <c r="B19" t="s">
        <v>58</v>
      </c>
      <c r="C19" s="12">
        <v>579</v>
      </c>
      <c r="D19" s="8">
        <v>3.95</v>
      </c>
      <c r="E19" s="12">
        <v>233</v>
      </c>
      <c r="F19" s="8">
        <v>3.45</v>
      </c>
      <c r="G19" s="12">
        <v>340</v>
      </c>
      <c r="H19" s="8">
        <v>4.3499999999999996</v>
      </c>
      <c r="I19" s="12">
        <v>5</v>
      </c>
    </row>
    <row r="20" spans="2:9" ht="15" customHeight="1" x14ac:dyDescent="0.2">
      <c r="B20" s="9" t="s">
        <v>241</v>
      </c>
      <c r="C20" s="12">
        <f>SUM(LTBL_46201[総数／事業所数])</f>
        <v>14662</v>
      </c>
      <c r="E20" s="12">
        <f>SUBTOTAL(109,LTBL_46201[個人／事業所数])</f>
        <v>6760</v>
      </c>
      <c r="G20" s="12">
        <f>SUBTOTAL(109,LTBL_46201[法人／事業所数])</f>
        <v>7823</v>
      </c>
      <c r="I20" s="12">
        <f>SUBTOTAL(109,LTBL_46201[法人以外の団体／事業所数])</f>
        <v>61</v>
      </c>
    </row>
    <row r="21" spans="2:9" ht="15" customHeight="1" x14ac:dyDescent="0.2">
      <c r="E21" s="11">
        <f>LTBL_46201[[#Totals],[個人／事業所数]]/LTBL_46201[[#Totals],[総数／事業所数]]</f>
        <v>0.4610557904787887</v>
      </c>
      <c r="G21" s="11">
        <f>LTBL_46201[[#Totals],[法人／事業所数]]/LTBL_46201[[#Totals],[総数／事業所数]]</f>
        <v>0.53355613149638526</v>
      </c>
      <c r="I21" s="11">
        <f>LTBL_46201[[#Totals],[法人以外の団体／事業所数]]/LTBL_46201[[#Totals],[総数／事業所数]]</f>
        <v>4.1604146773973538E-3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1591</v>
      </c>
      <c r="D24" s="8">
        <v>10.85</v>
      </c>
      <c r="E24" s="12">
        <v>1297</v>
      </c>
      <c r="F24" s="8">
        <v>19.190000000000001</v>
      </c>
      <c r="G24" s="12">
        <v>294</v>
      </c>
      <c r="H24" s="8">
        <v>3.76</v>
      </c>
      <c r="I24" s="12">
        <v>0</v>
      </c>
    </row>
    <row r="25" spans="2:9" ht="15" customHeight="1" x14ac:dyDescent="0.2">
      <c r="B25" t="s">
        <v>82</v>
      </c>
      <c r="C25" s="12">
        <v>1459</v>
      </c>
      <c r="D25" s="8">
        <v>9.9499999999999993</v>
      </c>
      <c r="E25" s="12">
        <v>1230</v>
      </c>
      <c r="F25" s="8">
        <v>18.2</v>
      </c>
      <c r="G25" s="12">
        <v>229</v>
      </c>
      <c r="H25" s="8">
        <v>2.93</v>
      </c>
      <c r="I25" s="12">
        <v>0</v>
      </c>
    </row>
    <row r="26" spans="2:9" ht="15" customHeight="1" x14ac:dyDescent="0.2">
      <c r="B26" t="s">
        <v>77</v>
      </c>
      <c r="C26" s="12">
        <v>1059</v>
      </c>
      <c r="D26" s="8">
        <v>7.22</v>
      </c>
      <c r="E26" s="12">
        <v>377</v>
      </c>
      <c r="F26" s="8">
        <v>5.58</v>
      </c>
      <c r="G26" s="12">
        <v>682</v>
      </c>
      <c r="H26" s="8">
        <v>8.7200000000000006</v>
      </c>
      <c r="I26" s="12">
        <v>0</v>
      </c>
    </row>
    <row r="27" spans="2:9" ht="15" customHeight="1" x14ac:dyDescent="0.2">
      <c r="B27" t="s">
        <v>75</v>
      </c>
      <c r="C27" s="12">
        <v>994</v>
      </c>
      <c r="D27" s="8">
        <v>6.78</v>
      </c>
      <c r="E27" s="12">
        <v>411</v>
      </c>
      <c r="F27" s="8">
        <v>6.08</v>
      </c>
      <c r="G27" s="12">
        <v>562</v>
      </c>
      <c r="H27" s="8">
        <v>7.18</v>
      </c>
      <c r="I27" s="12">
        <v>21</v>
      </c>
    </row>
    <row r="28" spans="2:9" ht="15" customHeight="1" x14ac:dyDescent="0.2">
      <c r="B28" t="s">
        <v>67</v>
      </c>
      <c r="C28" s="12">
        <v>714</v>
      </c>
      <c r="D28" s="8">
        <v>4.87</v>
      </c>
      <c r="E28" s="12">
        <v>80</v>
      </c>
      <c r="F28" s="8">
        <v>1.18</v>
      </c>
      <c r="G28" s="12">
        <v>634</v>
      </c>
      <c r="H28" s="8">
        <v>8.1</v>
      </c>
      <c r="I28" s="12">
        <v>0</v>
      </c>
    </row>
    <row r="29" spans="2:9" ht="15" customHeight="1" x14ac:dyDescent="0.2">
      <c r="B29" t="s">
        <v>73</v>
      </c>
      <c r="C29" s="12">
        <v>635</v>
      </c>
      <c r="D29" s="8">
        <v>4.33</v>
      </c>
      <c r="E29" s="12">
        <v>380</v>
      </c>
      <c r="F29" s="8">
        <v>5.62</v>
      </c>
      <c r="G29" s="12">
        <v>252</v>
      </c>
      <c r="H29" s="8">
        <v>3.22</v>
      </c>
      <c r="I29" s="12">
        <v>3</v>
      </c>
    </row>
    <row r="30" spans="2:9" ht="15" customHeight="1" x14ac:dyDescent="0.2">
      <c r="B30" t="s">
        <v>84</v>
      </c>
      <c r="C30" s="12">
        <v>598</v>
      </c>
      <c r="D30" s="8">
        <v>4.08</v>
      </c>
      <c r="E30" s="12">
        <v>516</v>
      </c>
      <c r="F30" s="8">
        <v>7.63</v>
      </c>
      <c r="G30" s="12">
        <v>82</v>
      </c>
      <c r="H30" s="8">
        <v>1.05</v>
      </c>
      <c r="I30" s="12">
        <v>0</v>
      </c>
    </row>
    <row r="31" spans="2:9" ht="15" customHeight="1" x14ac:dyDescent="0.2">
      <c r="B31" t="s">
        <v>78</v>
      </c>
      <c r="C31" s="12">
        <v>583</v>
      </c>
      <c r="D31" s="8">
        <v>3.98</v>
      </c>
      <c r="E31" s="12">
        <v>382</v>
      </c>
      <c r="F31" s="8">
        <v>5.65</v>
      </c>
      <c r="G31" s="12">
        <v>201</v>
      </c>
      <c r="H31" s="8">
        <v>2.57</v>
      </c>
      <c r="I31" s="12">
        <v>0</v>
      </c>
    </row>
    <row r="32" spans="2:9" ht="15" customHeight="1" x14ac:dyDescent="0.2">
      <c r="B32" t="s">
        <v>68</v>
      </c>
      <c r="C32" s="12">
        <v>571</v>
      </c>
      <c r="D32" s="8">
        <v>3.89</v>
      </c>
      <c r="E32" s="12">
        <v>145</v>
      </c>
      <c r="F32" s="8">
        <v>2.14</v>
      </c>
      <c r="G32" s="12">
        <v>426</v>
      </c>
      <c r="H32" s="8">
        <v>5.45</v>
      </c>
      <c r="I32" s="12">
        <v>0</v>
      </c>
    </row>
    <row r="33" spans="2:9" ht="15" customHeight="1" x14ac:dyDescent="0.2">
      <c r="B33" t="s">
        <v>83</v>
      </c>
      <c r="C33" s="12">
        <v>494</v>
      </c>
      <c r="D33" s="8">
        <v>3.37</v>
      </c>
      <c r="E33" s="12">
        <v>361</v>
      </c>
      <c r="F33" s="8">
        <v>5.34</v>
      </c>
      <c r="G33" s="12">
        <v>126</v>
      </c>
      <c r="H33" s="8">
        <v>1.61</v>
      </c>
      <c r="I33" s="12">
        <v>6</v>
      </c>
    </row>
    <row r="34" spans="2:9" ht="15" customHeight="1" x14ac:dyDescent="0.2">
      <c r="B34" t="s">
        <v>69</v>
      </c>
      <c r="C34" s="12">
        <v>473</v>
      </c>
      <c r="D34" s="8">
        <v>3.23</v>
      </c>
      <c r="E34" s="12">
        <v>67</v>
      </c>
      <c r="F34" s="8">
        <v>0.99</v>
      </c>
      <c r="G34" s="12">
        <v>406</v>
      </c>
      <c r="H34" s="8">
        <v>5.19</v>
      </c>
      <c r="I34" s="12">
        <v>0</v>
      </c>
    </row>
    <row r="35" spans="2:9" ht="15" customHeight="1" x14ac:dyDescent="0.2">
      <c r="B35" t="s">
        <v>74</v>
      </c>
      <c r="C35" s="12">
        <v>461</v>
      </c>
      <c r="D35" s="8">
        <v>3.14</v>
      </c>
      <c r="E35" s="12">
        <v>231</v>
      </c>
      <c r="F35" s="8">
        <v>3.42</v>
      </c>
      <c r="G35" s="12">
        <v>230</v>
      </c>
      <c r="H35" s="8">
        <v>2.94</v>
      </c>
      <c r="I35" s="12">
        <v>0</v>
      </c>
    </row>
    <row r="36" spans="2:9" ht="15" customHeight="1" x14ac:dyDescent="0.2">
      <c r="B36" t="s">
        <v>79</v>
      </c>
      <c r="C36" s="12">
        <v>376</v>
      </c>
      <c r="D36" s="8">
        <v>2.56</v>
      </c>
      <c r="E36" s="12">
        <v>128</v>
      </c>
      <c r="F36" s="8">
        <v>1.89</v>
      </c>
      <c r="G36" s="12">
        <v>245</v>
      </c>
      <c r="H36" s="8">
        <v>3.13</v>
      </c>
      <c r="I36" s="12">
        <v>1</v>
      </c>
    </row>
    <row r="37" spans="2:9" ht="15" customHeight="1" x14ac:dyDescent="0.2">
      <c r="B37" t="s">
        <v>72</v>
      </c>
      <c r="C37" s="12">
        <v>375</v>
      </c>
      <c r="D37" s="8">
        <v>2.56</v>
      </c>
      <c r="E37" s="12">
        <v>134</v>
      </c>
      <c r="F37" s="8">
        <v>1.98</v>
      </c>
      <c r="G37" s="12">
        <v>233</v>
      </c>
      <c r="H37" s="8">
        <v>2.98</v>
      </c>
      <c r="I37" s="12">
        <v>8</v>
      </c>
    </row>
    <row r="38" spans="2:9" ht="15" customHeight="1" x14ac:dyDescent="0.2">
      <c r="B38" t="s">
        <v>76</v>
      </c>
      <c r="C38" s="12">
        <v>350</v>
      </c>
      <c r="D38" s="8">
        <v>2.39</v>
      </c>
      <c r="E38" s="12">
        <v>95</v>
      </c>
      <c r="F38" s="8">
        <v>1.41</v>
      </c>
      <c r="G38" s="12">
        <v>255</v>
      </c>
      <c r="H38" s="8">
        <v>3.26</v>
      </c>
      <c r="I38" s="12">
        <v>0</v>
      </c>
    </row>
    <row r="39" spans="2:9" ht="15" customHeight="1" x14ac:dyDescent="0.2">
      <c r="B39" t="s">
        <v>88</v>
      </c>
      <c r="C39" s="12">
        <v>309</v>
      </c>
      <c r="D39" s="8">
        <v>2.11</v>
      </c>
      <c r="E39" s="12">
        <v>24</v>
      </c>
      <c r="F39" s="8">
        <v>0.36</v>
      </c>
      <c r="G39" s="12">
        <v>285</v>
      </c>
      <c r="H39" s="8">
        <v>3.64</v>
      </c>
      <c r="I39" s="12">
        <v>0</v>
      </c>
    </row>
    <row r="40" spans="2:9" ht="15" customHeight="1" x14ac:dyDescent="0.2">
      <c r="B40" t="s">
        <v>89</v>
      </c>
      <c r="C40" s="12">
        <v>279</v>
      </c>
      <c r="D40" s="8">
        <v>1.9</v>
      </c>
      <c r="E40" s="12">
        <v>47</v>
      </c>
      <c r="F40" s="8">
        <v>0.7</v>
      </c>
      <c r="G40" s="12">
        <v>232</v>
      </c>
      <c r="H40" s="8">
        <v>2.97</v>
      </c>
      <c r="I40" s="12">
        <v>0</v>
      </c>
    </row>
    <row r="41" spans="2:9" ht="15" customHeight="1" x14ac:dyDescent="0.2">
      <c r="B41" t="s">
        <v>85</v>
      </c>
      <c r="C41" s="12">
        <v>261</v>
      </c>
      <c r="D41" s="8">
        <v>1.78</v>
      </c>
      <c r="E41" s="12">
        <v>4</v>
      </c>
      <c r="F41" s="8">
        <v>0.06</v>
      </c>
      <c r="G41" s="12">
        <v>238</v>
      </c>
      <c r="H41" s="8">
        <v>3.04</v>
      </c>
      <c r="I41" s="12">
        <v>15</v>
      </c>
    </row>
    <row r="42" spans="2:9" ht="15" customHeight="1" x14ac:dyDescent="0.2">
      <c r="B42" t="s">
        <v>71</v>
      </c>
      <c r="C42" s="12">
        <v>250</v>
      </c>
      <c r="D42" s="8">
        <v>1.71</v>
      </c>
      <c r="E42" s="12">
        <v>49</v>
      </c>
      <c r="F42" s="8">
        <v>0.72</v>
      </c>
      <c r="G42" s="12">
        <v>201</v>
      </c>
      <c r="H42" s="8">
        <v>2.57</v>
      </c>
      <c r="I42" s="12">
        <v>0</v>
      </c>
    </row>
    <row r="43" spans="2:9" ht="15" customHeight="1" x14ac:dyDescent="0.2">
      <c r="B43" t="s">
        <v>87</v>
      </c>
      <c r="C43" s="12">
        <v>245</v>
      </c>
      <c r="D43" s="8">
        <v>1.67</v>
      </c>
      <c r="E43" s="12">
        <v>22</v>
      </c>
      <c r="F43" s="8">
        <v>0.33</v>
      </c>
      <c r="G43" s="12">
        <v>223</v>
      </c>
      <c r="H43" s="8">
        <v>2.85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766</v>
      </c>
      <c r="D47" s="8">
        <v>5.22</v>
      </c>
      <c r="E47" s="12">
        <v>694</v>
      </c>
      <c r="F47" s="8">
        <v>10.27</v>
      </c>
      <c r="G47" s="12">
        <v>72</v>
      </c>
      <c r="H47" s="8">
        <v>0.92</v>
      </c>
      <c r="I47" s="12">
        <v>0</v>
      </c>
    </row>
    <row r="48" spans="2:9" ht="15" customHeight="1" x14ac:dyDescent="0.2">
      <c r="B48" t="s">
        <v>134</v>
      </c>
      <c r="C48" s="12">
        <v>630</v>
      </c>
      <c r="D48" s="8">
        <v>4.3</v>
      </c>
      <c r="E48" s="12">
        <v>259</v>
      </c>
      <c r="F48" s="8">
        <v>3.83</v>
      </c>
      <c r="G48" s="12">
        <v>371</v>
      </c>
      <c r="H48" s="8">
        <v>4.74</v>
      </c>
      <c r="I48" s="12">
        <v>0</v>
      </c>
    </row>
    <row r="49" spans="2:9" ht="15" customHeight="1" x14ac:dyDescent="0.2">
      <c r="B49" t="s">
        <v>137</v>
      </c>
      <c r="C49" s="12">
        <v>440</v>
      </c>
      <c r="D49" s="8">
        <v>3</v>
      </c>
      <c r="E49" s="12">
        <v>377</v>
      </c>
      <c r="F49" s="8">
        <v>5.58</v>
      </c>
      <c r="G49" s="12">
        <v>63</v>
      </c>
      <c r="H49" s="8">
        <v>0.81</v>
      </c>
      <c r="I49" s="12">
        <v>0</v>
      </c>
    </row>
    <row r="50" spans="2:9" ht="15" customHeight="1" x14ac:dyDescent="0.2">
      <c r="B50" t="s">
        <v>142</v>
      </c>
      <c r="C50" s="12">
        <v>406</v>
      </c>
      <c r="D50" s="8">
        <v>2.77</v>
      </c>
      <c r="E50" s="12">
        <v>354</v>
      </c>
      <c r="F50" s="8">
        <v>5.24</v>
      </c>
      <c r="G50" s="12">
        <v>52</v>
      </c>
      <c r="H50" s="8">
        <v>0.66</v>
      </c>
      <c r="I50" s="12">
        <v>0</v>
      </c>
    </row>
    <row r="51" spans="2:9" ht="15" customHeight="1" x14ac:dyDescent="0.2">
      <c r="B51" t="s">
        <v>138</v>
      </c>
      <c r="C51" s="12">
        <v>398</v>
      </c>
      <c r="D51" s="8">
        <v>2.71</v>
      </c>
      <c r="E51" s="12">
        <v>354</v>
      </c>
      <c r="F51" s="8">
        <v>5.24</v>
      </c>
      <c r="G51" s="12">
        <v>44</v>
      </c>
      <c r="H51" s="8">
        <v>0.56000000000000005</v>
      </c>
      <c r="I51" s="12">
        <v>0</v>
      </c>
    </row>
    <row r="52" spans="2:9" ht="15" customHeight="1" x14ac:dyDescent="0.2">
      <c r="B52" t="s">
        <v>139</v>
      </c>
      <c r="C52" s="12">
        <v>392</v>
      </c>
      <c r="D52" s="8">
        <v>2.67</v>
      </c>
      <c r="E52" s="12">
        <v>366</v>
      </c>
      <c r="F52" s="8">
        <v>5.41</v>
      </c>
      <c r="G52" s="12">
        <v>26</v>
      </c>
      <c r="H52" s="8">
        <v>0.33</v>
      </c>
      <c r="I52" s="12">
        <v>0</v>
      </c>
    </row>
    <row r="53" spans="2:9" ht="15" customHeight="1" x14ac:dyDescent="0.2">
      <c r="B53" t="s">
        <v>136</v>
      </c>
      <c r="C53" s="12">
        <v>382</v>
      </c>
      <c r="D53" s="8">
        <v>2.61</v>
      </c>
      <c r="E53" s="12">
        <v>284</v>
      </c>
      <c r="F53" s="8">
        <v>4.2</v>
      </c>
      <c r="G53" s="12">
        <v>98</v>
      </c>
      <c r="H53" s="8">
        <v>1.25</v>
      </c>
      <c r="I53" s="12">
        <v>0</v>
      </c>
    </row>
    <row r="54" spans="2:9" ht="15" customHeight="1" x14ac:dyDescent="0.2">
      <c r="B54" t="s">
        <v>130</v>
      </c>
      <c r="C54" s="12">
        <v>323</v>
      </c>
      <c r="D54" s="8">
        <v>2.2000000000000002</v>
      </c>
      <c r="E54" s="12">
        <v>159</v>
      </c>
      <c r="F54" s="8">
        <v>2.35</v>
      </c>
      <c r="G54" s="12">
        <v>164</v>
      </c>
      <c r="H54" s="8">
        <v>2.1</v>
      </c>
      <c r="I54" s="12">
        <v>0</v>
      </c>
    </row>
    <row r="55" spans="2:9" ht="15" customHeight="1" x14ac:dyDescent="0.2">
      <c r="B55" t="s">
        <v>141</v>
      </c>
      <c r="C55" s="12">
        <v>309</v>
      </c>
      <c r="D55" s="8">
        <v>2.11</v>
      </c>
      <c r="E55" s="12">
        <v>241</v>
      </c>
      <c r="F55" s="8">
        <v>3.57</v>
      </c>
      <c r="G55" s="12">
        <v>66</v>
      </c>
      <c r="H55" s="8">
        <v>0.84</v>
      </c>
      <c r="I55" s="12">
        <v>2</v>
      </c>
    </row>
    <row r="56" spans="2:9" ht="15" customHeight="1" x14ac:dyDescent="0.2">
      <c r="B56" t="s">
        <v>133</v>
      </c>
      <c r="C56" s="12">
        <v>289</v>
      </c>
      <c r="D56" s="8">
        <v>1.97</v>
      </c>
      <c r="E56" s="12">
        <v>172</v>
      </c>
      <c r="F56" s="8">
        <v>2.54</v>
      </c>
      <c r="G56" s="12">
        <v>117</v>
      </c>
      <c r="H56" s="8">
        <v>1.5</v>
      </c>
      <c r="I56" s="12">
        <v>0</v>
      </c>
    </row>
    <row r="57" spans="2:9" ht="15" customHeight="1" x14ac:dyDescent="0.2">
      <c r="B57" t="s">
        <v>144</v>
      </c>
      <c r="C57" s="12">
        <v>272</v>
      </c>
      <c r="D57" s="8">
        <v>1.86</v>
      </c>
      <c r="E57" s="12">
        <v>83</v>
      </c>
      <c r="F57" s="8">
        <v>1.23</v>
      </c>
      <c r="G57" s="12">
        <v>189</v>
      </c>
      <c r="H57" s="8">
        <v>2.42</v>
      </c>
      <c r="I57" s="12">
        <v>0</v>
      </c>
    </row>
    <row r="58" spans="2:9" ht="15" customHeight="1" x14ac:dyDescent="0.2">
      <c r="B58" t="s">
        <v>135</v>
      </c>
      <c r="C58" s="12">
        <v>270</v>
      </c>
      <c r="D58" s="8">
        <v>1.84</v>
      </c>
      <c r="E58" s="12">
        <v>75</v>
      </c>
      <c r="F58" s="8">
        <v>1.1100000000000001</v>
      </c>
      <c r="G58" s="12">
        <v>193</v>
      </c>
      <c r="H58" s="8">
        <v>2.4700000000000002</v>
      </c>
      <c r="I58" s="12">
        <v>0</v>
      </c>
    </row>
    <row r="59" spans="2:9" ht="15" customHeight="1" x14ac:dyDescent="0.2">
      <c r="B59" t="s">
        <v>129</v>
      </c>
      <c r="C59" s="12">
        <v>252</v>
      </c>
      <c r="D59" s="8">
        <v>1.72</v>
      </c>
      <c r="E59" s="12">
        <v>141</v>
      </c>
      <c r="F59" s="8">
        <v>2.09</v>
      </c>
      <c r="G59" s="12">
        <v>111</v>
      </c>
      <c r="H59" s="8">
        <v>1.42</v>
      </c>
      <c r="I59" s="12">
        <v>0</v>
      </c>
    </row>
    <row r="60" spans="2:9" ht="15" customHeight="1" x14ac:dyDescent="0.2">
      <c r="B60" t="s">
        <v>131</v>
      </c>
      <c r="C60" s="12">
        <v>240</v>
      </c>
      <c r="D60" s="8">
        <v>1.64</v>
      </c>
      <c r="E60" s="12">
        <v>69</v>
      </c>
      <c r="F60" s="8">
        <v>1.02</v>
      </c>
      <c r="G60" s="12">
        <v>171</v>
      </c>
      <c r="H60" s="8">
        <v>2.19</v>
      </c>
      <c r="I60" s="12">
        <v>0</v>
      </c>
    </row>
    <row r="61" spans="2:9" ht="15" customHeight="1" x14ac:dyDescent="0.2">
      <c r="B61" t="s">
        <v>143</v>
      </c>
      <c r="C61" s="12">
        <v>216</v>
      </c>
      <c r="D61" s="8">
        <v>1.47</v>
      </c>
      <c r="E61" s="12">
        <v>149</v>
      </c>
      <c r="F61" s="8">
        <v>2.2000000000000002</v>
      </c>
      <c r="G61" s="12">
        <v>66</v>
      </c>
      <c r="H61" s="8">
        <v>0.84</v>
      </c>
      <c r="I61" s="12">
        <v>0</v>
      </c>
    </row>
    <row r="62" spans="2:9" ht="15" customHeight="1" x14ac:dyDescent="0.2">
      <c r="B62" t="s">
        <v>145</v>
      </c>
      <c r="C62" s="12">
        <v>210</v>
      </c>
      <c r="D62" s="8">
        <v>1.43</v>
      </c>
      <c r="E62" s="12">
        <v>34</v>
      </c>
      <c r="F62" s="8">
        <v>0.5</v>
      </c>
      <c r="G62" s="12">
        <v>176</v>
      </c>
      <c r="H62" s="8">
        <v>2.25</v>
      </c>
      <c r="I62" s="12">
        <v>0</v>
      </c>
    </row>
    <row r="63" spans="2:9" ht="15" customHeight="1" x14ac:dyDescent="0.2">
      <c r="B63" t="s">
        <v>124</v>
      </c>
      <c r="C63" s="12">
        <v>209</v>
      </c>
      <c r="D63" s="8">
        <v>1.43</v>
      </c>
      <c r="E63" s="12">
        <v>12</v>
      </c>
      <c r="F63" s="8">
        <v>0.18</v>
      </c>
      <c r="G63" s="12">
        <v>197</v>
      </c>
      <c r="H63" s="8">
        <v>2.52</v>
      </c>
      <c r="I63" s="12">
        <v>0</v>
      </c>
    </row>
    <row r="64" spans="2:9" ht="15" customHeight="1" x14ac:dyDescent="0.2">
      <c r="B64" t="s">
        <v>125</v>
      </c>
      <c r="C64" s="12">
        <v>203</v>
      </c>
      <c r="D64" s="8">
        <v>1.38</v>
      </c>
      <c r="E64" s="12">
        <v>19</v>
      </c>
      <c r="F64" s="8">
        <v>0.28000000000000003</v>
      </c>
      <c r="G64" s="12">
        <v>184</v>
      </c>
      <c r="H64" s="8">
        <v>2.35</v>
      </c>
      <c r="I64" s="12">
        <v>0</v>
      </c>
    </row>
    <row r="65" spans="2:9" ht="15" customHeight="1" x14ac:dyDescent="0.2">
      <c r="B65" t="s">
        <v>126</v>
      </c>
      <c r="C65" s="12">
        <v>190</v>
      </c>
      <c r="D65" s="8">
        <v>1.3</v>
      </c>
      <c r="E65" s="12">
        <v>36</v>
      </c>
      <c r="F65" s="8">
        <v>0.53</v>
      </c>
      <c r="G65" s="12">
        <v>154</v>
      </c>
      <c r="H65" s="8">
        <v>1.97</v>
      </c>
      <c r="I65" s="12">
        <v>0</v>
      </c>
    </row>
    <row r="66" spans="2:9" ht="15" customHeight="1" x14ac:dyDescent="0.2">
      <c r="B66" t="s">
        <v>146</v>
      </c>
      <c r="C66" s="12">
        <v>185</v>
      </c>
      <c r="D66" s="8">
        <v>1.26</v>
      </c>
      <c r="E66" s="12">
        <v>102</v>
      </c>
      <c r="F66" s="8">
        <v>1.51</v>
      </c>
      <c r="G66" s="12">
        <v>83</v>
      </c>
      <c r="H66" s="8">
        <v>1.06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A1F3-4ACB-4E03-9836-0F025B6327D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3</v>
      </c>
      <c r="D5" s="8">
        <v>0.12</v>
      </c>
      <c r="E5" s="12">
        <v>0</v>
      </c>
      <c r="F5" s="8">
        <v>0</v>
      </c>
      <c r="G5" s="12">
        <v>3</v>
      </c>
      <c r="H5" s="8">
        <v>0.31</v>
      </c>
      <c r="I5" s="12">
        <v>0</v>
      </c>
    </row>
    <row r="6" spans="2:9" ht="15" customHeight="1" x14ac:dyDescent="0.2">
      <c r="B6" t="s">
        <v>45</v>
      </c>
      <c r="C6" s="12">
        <v>263</v>
      </c>
      <c r="D6" s="8">
        <v>10.92</v>
      </c>
      <c r="E6" s="12">
        <v>64</v>
      </c>
      <c r="F6" s="8">
        <v>4.5599999999999996</v>
      </c>
      <c r="G6" s="12">
        <v>199</v>
      </c>
      <c r="H6" s="8">
        <v>20.71</v>
      </c>
      <c r="I6" s="12">
        <v>0</v>
      </c>
    </row>
    <row r="7" spans="2:9" ht="15" customHeight="1" x14ac:dyDescent="0.2">
      <c r="B7" t="s">
        <v>46</v>
      </c>
      <c r="C7" s="12">
        <v>166</v>
      </c>
      <c r="D7" s="8">
        <v>6.89</v>
      </c>
      <c r="E7" s="12">
        <v>77</v>
      </c>
      <c r="F7" s="8">
        <v>5.48</v>
      </c>
      <c r="G7" s="12">
        <v>87</v>
      </c>
      <c r="H7" s="8">
        <v>9.0500000000000007</v>
      </c>
      <c r="I7" s="12">
        <v>2</v>
      </c>
    </row>
    <row r="8" spans="2:9" ht="15" customHeight="1" x14ac:dyDescent="0.2">
      <c r="B8" t="s">
        <v>47</v>
      </c>
      <c r="C8" s="12">
        <v>12</v>
      </c>
      <c r="D8" s="8">
        <v>0.5</v>
      </c>
      <c r="E8" s="12">
        <v>1</v>
      </c>
      <c r="F8" s="8">
        <v>7.0000000000000007E-2</v>
      </c>
      <c r="G8" s="12">
        <v>11</v>
      </c>
      <c r="H8" s="8">
        <v>1.1399999999999999</v>
      </c>
      <c r="I8" s="12">
        <v>0</v>
      </c>
    </row>
    <row r="9" spans="2:9" ht="15" customHeight="1" x14ac:dyDescent="0.2">
      <c r="B9" t="s">
        <v>48</v>
      </c>
      <c r="C9" s="12">
        <v>12</v>
      </c>
      <c r="D9" s="8">
        <v>0.5</v>
      </c>
      <c r="E9" s="12">
        <v>0</v>
      </c>
      <c r="F9" s="8">
        <v>0</v>
      </c>
      <c r="G9" s="12">
        <v>12</v>
      </c>
      <c r="H9" s="8">
        <v>1.25</v>
      </c>
      <c r="I9" s="12">
        <v>0</v>
      </c>
    </row>
    <row r="10" spans="2:9" ht="15" customHeight="1" x14ac:dyDescent="0.2">
      <c r="B10" t="s">
        <v>49</v>
      </c>
      <c r="C10" s="12">
        <v>17</v>
      </c>
      <c r="D10" s="8">
        <v>0.71</v>
      </c>
      <c r="E10" s="12">
        <v>4</v>
      </c>
      <c r="F10" s="8">
        <v>0.28000000000000003</v>
      </c>
      <c r="G10" s="12">
        <v>13</v>
      </c>
      <c r="H10" s="8">
        <v>1.35</v>
      </c>
      <c r="I10" s="12">
        <v>0</v>
      </c>
    </row>
    <row r="11" spans="2:9" ht="15" customHeight="1" x14ac:dyDescent="0.2">
      <c r="B11" t="s">
        <v>50</v>
      </c>
      <c r="C11" s="12">
        <v>669</v>
      </c>
      <c r="D11" s="8">
        <v>27.78</v>
      </c>
      <c r="E11" s="12">
        <v>358</v>
      </c>
      <c r="F11" s="8">
        <v>25.5</v>
      </c>
      <c r="G11" s="12">
        <v>308</v>
      </c>
      <c r="H11" s="8">
        <v>32.049999999999997</v>
      </c>
      <c r="I11" s="12">
        <v>3</v>
      </c>
    </row>
    <row r="12" spans="2:9" ht="15" customHeight="1" x14ac:dyDescent="0.2">
      <c r="B12" t="s">
        <v>51</v>
      </c>
      <c r="C12" s="12">
        <v>17</v>
      </c>
      <c r="D12" s="8">
        <v>0.71</v>
      </c>
      <c r="E12" s="12">
        <v>1</v>
      </c>
      <c r="F12" s="8">
        <v>7.0000000000000007E-2</v>
      </c>
      <c r="G12" s="12">
        <v>16</v>
      </c>
      <c r="H12" s="8">
        <v>1.66</v>
      </c>
      <c r="I12" s="12">
        <v>0</v>
      </c>
    </row>
    <row r="13" spans="2:9" ht="15" customHeight="1" x14ac:dyDescent="0.2">
      <c r="B13" t="s">
        <v>52</v>
      </c>
      <c r="C13" s="12">
        <v>95</v>
      </c>
      <c r="D13" s="8">
        <v>3.95</v>
      </c>
      <c r="E13" s="12">
        <v>30</v>
      </c>
      <c r="F13" s="8">
        <v>2.14</v>
      </c>
      <c r="G13" s="12">
        <v>64</v>
      </c>
      <c r="H13" s="8">
        <v>6.66</v>
      </c>
      <c r="I13" s="12">
        <v>0</v>
      </c>
    </row>
    <row r="14" spans="2:9" ht="15" customHeight="1" x14ac:dyDescent="0.2">
      <c r="B14" t="s">
        <v>53</v>
      </c>
      <c r="C14" s="12">
        <v>127</v>
      </c>
      <c r="D14" s="8">
        <v>5.27</v>
      </c>
      <c r="E14" s="12">
        <v>78</v>
      </c>
      <c r="F14" s="8">
        <v>5.56</v>
      </c>
      <c r="G14" s="12">
        <v>47</v>
      </c>
      <c r="H14" s="8">
        <v>4.8899999999999997</v>
      </c>
      <c r="I14" s="12">
        <v>1</v>
      </c>
    </row>
    <row r="15" spans="2:9" ht="15" customHeight="1" x14ac:dyDescent="0.2">
      <c r="B15" t="s">
        <v>54</v>
      </c>
      <c r="C15" s="12">
        <v>340</v>
      </c>
      <c r="D15" s="8">
        <v>14.12</v>
      </c>
      <c r="E15" s="12">
        <v>295</v>
      </c>
      <c r="F15" s="8">
        <v>21.01</v>
      </c>
      <c r="G15" s="12">
        <v>43</v>
      </c>
      <c r="H15" s="8">
        <v>4.47</v>
      </c>
      <c r="I15" s="12">
        <v>0</v>
      </c>
    </row>
    <row r="16" spans="2:9" ht="15" customHeight="1" x14ac:dyDescent="0.2">
      <c r="B16" t="s">
        <v>55</v>
      </c>
      <c r="C16" s="12">
        <v>358</v>
      </c>
      <c r="D16" s="8">
        <v>14.87</v>
      </c>
      <c r="E16" s="12">
        <v>297</v>
      </c>
      <c r="F16" s="8">
        <v>21.15</v>
      </c>
      <c r="G16" s="12">
        <v>56</v>
      </c>
      <c r="H16" s="8">
        <v>5.83</v>
      </c>
      <c r="I16" s="12">
        <v>5</v>
      </c>
    </row>
    <row r="17" spans="2:9" ht="15" customHeight="1" x14ac:dyDescent="0.2">
      <c r="B17" t="s">
        <v>56</v>
      </c>
      <c r="C17" s="12">
        <v>76</v>
      </c>
      <c r="D17" s="8">
        <v>3.16</v>
      </c>
      <c r="E17" s="12">
        <v>49</v>
      </c>
      <c r="F17" s="8">
        <v>3.49</v>
      </c>
      <c r="G17" s="12">
        <v>18</v>
      </c>
      <c r="H17" s="8">
        <v>1.87</v>
      </c>
      <c r="I17" s="12">
        <v>2</v>
      </c>
    </row>
    <row r="18" spans="2:9" ht="15" customHeight="1" x14ac:dyDescent="0.2">
      <c r="B18" t="s">
        <v>57</v>
      </c>
      <c r="C18" s="12">
        <v>115</v>
      </c>
      <c r="D18" s="8">
        <v>4.78</v>
      </c>
      <c r="E18" s="12">
        <v>71</v>
      </c>
      <c r="F18" s="8">
        <v>5.0599999999999996</v>
      </c>
      <c r="G18" s="12">
        <v>44</v>
      </c>
      <c r="H18" s="8">
        <v>4.58</v>
      </c>
      <c r="I18" s="12">
        <v>0</v>
      </c>
    </row>
    <row r="19" spans="2:9" ht="15" customHeight="1" x14ac:dyDescent="0.2">
      <c r="B19" t="s">
        <v>58</v>
      </c>
      <c r="C19" s="12">
        <v>138</v>
      </c>
      <c r="D19" s="8">
        <v>5.73</v>
      </c>
      <c r="E19" s="12">
        <v>79</v>
      </c>
      <c r="F19" s="8">
        <v>5.63</v>
      </c>
      <c r="G19" s="12">
        <v>40</v>
      </c>
      <c r="H19" s="8">
        <v>4.16</v>
      </c>
      <c r="I19" s="12">
        <v>9</v>
      </c>
    </row>
    <row r="20" spans="2:9" ht="15" customHeight="1" x14ac:dyDescent="0.2">
      <c r="B20" s="9" t="s">
        <v>241</v>
      </c>
      <c r="C20" s="12">
        <f>SUM(LTBL_46203[総数／事業所数])</f>
        <v>2408</v>
      </c>
      <c r="E20" s="12">
        <f>SUBTOTAL(109,LTBL_46203[個人／事業所数])</f>
        <v>1404</v>
      </c>
      <c r="G20" s="12">
        <f>SUBTOTAL(109,LTBL_46203[法人／事業所数])</f>
        <v>961</v>
      </c>
      <c r="I20" s="12">
        <f>SUBTOTAL(109,LTBL_46203[法人以外の団体／事業所数])</f>
        <v>22</v>
      </c>
    </row>
    <row r="21" spans="2:9" ht="15" customHeight="1" x14ac:dyDescent="0.2">
      <c r="E21" s="11">
        <f>LTBL_46203[[#Totals],[個人／事業所数]]/LTBL_46203[[#Totals],[総数／事業所数]]</f>
        <v>0.5830564784053156</v>
      </c>
      <c r="G21" s="11">
        <f>LTBL_46203[[#Totals],[法人／事業所数]]/LTBL_46203[[#Totals],[総数／事業所数]]</f>
        <v>0.39908637873754155</v>
      </c>
      <c r="I21" s="11">
        <f>LTBL_46203[[#Totals],[法人以外の団体／事業所数]]/LTBL_46203[[#Totals],[総数／事業所数]]</f>
        <v>9.1362126245847185E-3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307</v>
      </c>
      <c r="D24" s="8">
        <v>12.75</v>
      </c>
      <c r="E24" s="12">
        <v>284</v>
      </c>
      <c r="F24" s="8">
        <v>20.23</v>
      </c>
      <c r="G24" s="12">
        <v>23</v>
      </c>
      <c r="H24" s="8">
        <v>2.39</v>
      </c>
      <c r="I24" s="12">
        <v>0</v>
      </c>
    </row>
    <row r="25" spans="2:9" ht="15" customHeight="1" x14ac:dyDescent="0.2">
      <c r="B25" t="s">
        <v>82</v>
      </c>
      <c r="C25" s="12">
        <v>280</v>
      </c>
      <c r="D25" s="8">
        <v>11.63</v>
      </c>
      <c r="E25" s="12">
        <v>254</v>
      </c>
      <c r="F25" s="8">
        <v>18.09</v>
      </c>
      <c r="G25" s="12">
        <v>26</v>
      </c>
      <c r="H25" s="8">
        <v>2.71</v>
      </c>
      <c r="I25" s="12">
        <v>0</v>
      </c>
    </row>
    <row r="26" spans="2:9" ht="15" customHeight="1" x14ac:dyDescent="0.2">
      <c r="B26" t="s">
        <v>75</v>
      </c>
      <c r="C26" s="12">
        <v>210</v>
      </c>
      <c r="D26" s="8">
        <v>8.7200000000000006</v>
      </c>
      <c r="E26" s="12">
        <v>121</v>
      </c>
      <c r="F26" s="8">
        <v>8.6199999999999992</v>
      </c>
      <c r="G26" s="12">
        <v>89</v>
      </c>
      <c r="H26" s="8">
        <v>9.26</v>
      </c>
      <c r="I26" s="12">
        <v>0</v>
      </c>
    </row>
    <row r="27" spans="2:9" ht="15" customHeight="1" x14ac:dyDescent="0.2">
      <c r="B27" t="s">
        <v>73</v>
      </c>
      <c r="C27" s="12">
        <v>143</v>
      </c>
      <c r="D27" s="8">
        <v>5.94</v>
      </c>
      <c r="E27" s="12">
        <v>92</v>
      </c>
      <c r="F27" s="8">
        <v>6.55</v>
      </c>
      <c r="G27" s="12">
        <v>49</v>
      </c>
      <c r="H27" s="8">
        <v>5.0999999999999996</v>
      </c>
      <c r="I27" s="12">
        <v>2</v>
      </c>
    </row>
    <row r="28" spans="2:9" ht="15" customHeight="1" x14ac:dyDescent="0.2">
      <c r="B28" t="s">
        <v>67</v>
      </c>
      <c r="C28" s="12">
        <v>122</v>
      </c>
      <c r="D28" s="8">
        <v>5.07</v>
      </c>
      <c r="E28" s="12">
        <v>17</v>
      </c>
      <c r="F28" s="8">
        <v>1.21</v>
      </c>
      <c r="G28" s="12">
        <v>105</v>
      </c>
      <c r="H28" s="8">
        <v>10.93</v>
      </c>
      <c r="I28" s="12">
        <v>0</v>
      </c>
    </row>
    <row r="29" spans="2:9" ht="15" customHeight="1" x14ac:dyDescent="0.2">
      <c r="B29" t="s">
        <v>74</v>
      </c>
      <c r="C29" s="12">
        <v>120</v>
      </c>
      <c r="D29" s="8">
        <v>4.9800000000000004</v>
      </c>
      <c r="E29" s="12">
        <v>86</v>
      </c>
      <c r="F29" s="8">
        <v>6.13</v>
      </c>
      <c r="G29" s="12">
        <v>34</v>
      </c>
      <c r="H29" s="8">
        <v>3.54</v>
      </c>
      <c r="I29" s="12">
        <v>0</v>
      </c>
    </row>
    <row r="30" spans="2:9" ht="15" customHeight="1" x14ac:dyDescent="0.2">
      <c r="B30" t="s">
        <v>84</v>
      </c>
      <c r="C30" s="12">
        <v>81</v>
      </c>
      <c r="D30" s="8">
        <v>3.36</v>
      </c>
      <c r="E30" s="12">
        <v>71</v>
      </c>
      <c r="F30" s="8">
        <v>5.0599999999999996</v>
      </c>
      <c r="G30" s="12">
        <v>10</v>
      </c>
      <c r="H30" s="8">
        <v>1.04</v>
      </c>
      <c r="I30" s="12">
        <v>0</v>
      </c>
    </row>
    <row r="31" spans="2:9" ht="15" customHeight="1" x14ac:dyDescent="0.2">
      <c r="B31" t="s">
        <v>79</v>
      </c>
      <c r="C31" s="12">
        <v>77</v>
      </c>
      <c r="D31" s="8">
        <v>3.2</v>
      </c>
      <c r="E31" s="12">
        <v>41</v>
      </c>
      <c r="F31" s="8">
        <v>2.92</v>
      </c>
      <c r="G31" s="12">
        <v>34</v>
      </c>
      <c r="H31" s="8">
        <v>3.54</v>
      </c>
      <c r="I31" s="12">
        <v>1</v>
      </c>
    </row>
    <row r="32" spans="2:9" ht="15" customHeight="1" x14ac:dyDescent="0.2">
      <c r="B32" t="s">
        <v>68</v>
      </c>
      <c r="C32" s="12">
        <v>76</v>
      </c>
      <c r="D32" s="8">
        <v>3.16</v>
      </c>
      <c r="E32" s="12">
        <v>31</v>
      </c>
      <c r="F32" s="8">
        <v>2.21</v>
      </c>
      <c r="G32" s="12">
        <v>45</v>
      </c>
      <c r="H32" s="8">
        <v>4.68</v>
      </c>
      <c r="I32" s="12">
        <v>0</v>
      </c>
    </row>
    <row r="33" spans="2:9" ht="15" customHeight="1" x14ac:dyDescent="0.2">
      <c r="B33" t="s">
        <v>83</v>
      </c>
      <c r="C33" s="12">
        <v>76</v>
      </c>
      <c r="D33" s="8">
        <v>3.16</v>
      </c>
      <c r="E33" s="12">
        <v>49</v>
      </c>
      <c r="F33" s="8">
        <v>3.49</v>
      </c>
      <c r="G33" s="12">
        <v>18</v>
      </c>
      <c r="H33" s="8">
        <v>1.87</v>
      </c>
      <c r="I33" s="12">
        <v>2</v>
      </c>
    </row>
    <row r="34" spans="2:9" ht="15" customHeight="1" x14ac:dyDescent="0.2">
      <c r="B34" t="s">
        <v>86</v>
      </c>
      <c r="C34" s="12">
        <v>76</v>
      </c>
      <c r="D34" s="8">
        <v>3.16</v>
      </c>
      <c r="E34" s="12">
        <v>64</v>
      </c>
      <c r="F34" s="8">
        <v>4.5599999999999996</v>
      </c>
      <c r="G34" s="12">
        <v>12</v>
      </c>
      <c r="H34" s="8">
        <v>1.25</v>
      </c>
      <c r="I34" s="12">
        <v>0</v>
      </c>
    </row>
    <row r="35" spans="2:9" ht="15" customHeight="1" x14ac:dyDescent="0.2">
      <c r="B35" t="s">
        <v>69</v>
      </c>
      <c r="C35" s="12">
        <v>65</v>
      </c>
      <c r="D35" s="8">
        <v>2.7</v>
      </c>
      <c r="E35" s="12">
        <v>16</v>
      </c>
      <c r="F35" s="8">
        <v>1.1399999999999999</v>
      </c>
      <c r="G35" s="12">
        <v>49</v>
      </c>
      <c r="H35" s="8">
        <v>5.0999999999999996</v>
      </c>
      <c r="I35" s="12">
        <v>0</v>
      </c>
    </row>
    <row r="36" spans="2:9" ht="15" customHeight="1" x14ac:dyDescent="0.2">
      <c r="B36" t="s">
        <v>91</v>
      </c>
      <c r="C36" s="12">
        <v>56</v>
      </c>
      <c r="D36" s="8">
        <v>2.33</v>
      </c>
      <c r="E36" s="12">
        <v>32</v>
      </c>
      <c r="F36" s="8">
        <v>2.2799999999999998</v>
      </c>
      <c r="G36" s="12">
        <v>23</v>
      </c>
      <c r="H36" s="8">
        <v>2.39</v>
      </c>
      <c r="I36" s="12">
        <v>1</v>
      </c>
    </row>
    <row r="37" spans="2:9" ht="15" customHeight="1" x14ac:dyDescent="0.2">
      <c r="B37" t="s">
        <v>72</v>
      </c>
      <c r="C37" s="12">
        <v>52</v>
      </c>
      <c r="D37" s="8">
        <v>2.16</v>
      </c>
      <c r="E37" s="12">
        <v>24</v>
      </c>
      <c r="F37" s="8">
        <v>1.71</v>
      </c>
      <c r="G37" s="12">
        <v>28</v>
      </c>
      <c r="H37" s="8">
        <v>2.91</v>
      </c>
      <c r="I37" s="12">
        <v>0</v>
      </c>
    </row>
    <row r="38" spans="2:9" ht="15" customHeight="1" x14ac:dyDescent="0.2">
      <c r="B38" t="s">
        <v>77</v>
      </c>
      <c r="C38" s="12">
        <v>50</v>
      </c>
      <c r="D38" s="8">
        <v>2.08</v>
      </c>
      <c r="E38" s="12">
        <v>13</v>
      </c>
      <c r="F38" s="8">
        <v>0.93</v>
      </c>
      <c r="G38" s="12">
        <v>36</v>
      </c>
      <c r="H38" s="8">
        <v>3.75</v>
      </c>
      <c r="I38" s="12">
        <v>0</v>
      </c>
    </row>
    <row r="39" spans="2:9" ht="15" customHeight="1" x14ac:dyDescent="0.2">
      <c r="B39" t="s">
        <v>78</v>
      </c>
      <c r="C39" s="12">
        <v>46</v>
      </c>
      <c r="D39" s="8">
        <v>1.91</v>
      </c>
      <c r="E39" s="12">
        <v>37</v>
      </c>
      <c r="F39" s="8">
        <v>2.64</v>
      </c>
      <c r="G39" s="12">
        <v>9</v>
      </c>
      <c r="H39" s="8">
        <v>0.94</v>
      </c>
      <c r="I39" s="12">
        <v>0</v>
      </c>
    </row>
    <row r="40" spans="2:9" ht="15" customHeight="1" x14ac:dyDescent="0.2">
      <c r="B40" t="s">
        <v>70</v>
      </c>
      <c r="C40" s="12">
        <v>44</v>
      </c>
      <c r="D40" s="8">
        <v>1.83</v>
      </c>
      <c r="E40" s="12">
        <v>20</v>
      </c>
      <c r="F40" s="8">
        <v>1.42</v>
      </c>
      <c r="G40" s="12">
        <v>23</v>
      </c>
      <c r="H40" s="8">
        <v>2.39</v>
      </c>
      <c r="I40" s="12">
        <v>1</v>
      </c>
    </row>
    <row r="41" spans="2:9" ht="15" customHeight="1" x14ac:dyDescent="0.2">
      <c r="B41" t="s">
        <v>87</v>
      </c>
      <c r="C41" s="12">
        <v>42</v>
      </c>
      <c r="D41" s="8">
        <v>1.74</v>
      </c>
      <c r="E41" s="12">
        <v>11</v>
      </c>
      <c r="F41" s="8">
        <v>0.78</v>
      </c>
      <c r="G41" s="12">
        <v>31</v>
      </c>
      <c r="H41" s="8">
        <v>3.23</v>
      </c>
      <c r="I41" s="12">
        <v>0</v>
      </c>
    </row>
    <row r="42" spans="2:9" ht="15" customHeight="1" x14ac:dyDescent="0.2">
      <c r="B42" t="s">
        <v>90</v>
      </c>
      <c r="C42" s="12">
        <v>34</v>
      </c>
      <c r="D42" s="8">
        <v>1.41</v>
      </c>
      <c r="E42" s="12">
        <v>15</v>
      </c>
      <c r="F42" s="8">
        <v>1.07</v>
      </c>
      <c r="G42" s="12">
        <v>18</v>
      </c>
      <c r="H42" s="8">
        <v>1.87</v>
      </c>
      <c r="I42" s="12">
        <v>1</v>
      </c>
    </row>
    <row r="43" spans="2:9" ht="15" customHeight="1" x14ac:dyDescent="0.2">
      <c r="B43" t="s">
        <v>85</v>
      </c>
      <c r="C43" s="12">
        <v>34</v>
      </c>
      <c r="D43" s="8">
        <v>1.41</v>
      </c>
      <c r="E43" s="12">
        <v>0</v>
      </c>
      <c r="F43" s="8">
        <v>0</v>
      </c>
      <c r="G43" s="12">
        <v>34</v>
      </c>
      <c r="H43" s="8">
        <v>3.54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140</v>
      </c>
      <c r="C47" s="12">
        <v>146</v>
      </c>
      <c r="D47" s="8">
        <v>6.06</v>
      </c>
      <c r="E47" s="12">
        <v>136</v>
      </c>
      <c r="F47" s="8">
        <v>9.69</v>
      </c>
      <c r="G47" s="12">
        <v>10</v>
      </c>
      <c r="H47" s="8">
        <v>1.04</v>
      </c>
      <c r="I47" s="12">
        <v>0</v>
      </c>
    </row>
    <row r="48" spans="2:9" ht="15" customHeight="1" x14ac:dyDescent="0.2">
      <c r="B48" t="s">
        <v>138</v>
      </c>
      <c r="C48" s="12">
        <v>96</v>
      </c>
      <c r="D48" s="8">
        <v>3.99</v>
      </c>
      <c r="E48" s="12">
        <v>95</v>
      </c>
      <c r="F48" s="8">
        <v>6.77</v>
      </c>
      <c r="G48" s="12">
        <v>1</v>
      </c>
      <c r="H48" s="8">
        <v>0.1</v>
      </c>
      <c r="I48" s="12">
        <v>0</v>
      </c>
    </row>
    <row r="49" spans="2:9" ht="15" customHeight="1" x14ac:dyDescent="0.2">
      <c r="B49" t="s">
        <v>139</v>
      </c>
      <c r="C49" s="12">
        <v>82</v>
      </c>
      <c r="D49" s="8">
        <v>3.41</v>
      </c>
      <c r="E49" s="12">
        <v>80</v>
      </c>
      <c r="F49" s="8">
        <v>5.7</v>
      </c>
      <c r="G49" s="12">
        <v>2</v>
      </c>
      <c r="H49" s="8">
        <v>0.21</v>
      </c>
      <c r="I49" s="12">
        <v>0</v>
      </c>
    </row>
    <row r="50" spans="2:9" ht="15" customHeight="1" x14ac:dyDescent="0.2">
      <c r="B50" t="s">
        <v>136</v>
      </c>
      <c r="C50" s="12">
        <v>79</v>
      </c>
      <c r="D50" s="8">
        <v>3.28</v>
      </c>
      <c r="E50" s="12">
        <v>72</v>
      </c>
      <c r="F50" s="8">
        <v>5.13</v>
      </c>
      <c r="G50" s="12">
        <v>7</v>
      </c>
      <c r="H50" s="8">
        <v>0.73</v>
      </c>
      <c r="I50" s="12">
        <v>0</v>
      </c>
    </row>
    <row r="51" spans="2:9" ht="15" customHeight="1" x14ac:dyDescent="0.2">
      <c r="B51" t="s">
        <v>143</v>
      </c>
      <c r="C51" s="12">
        <v>76</v>
      </c>
      <c r="D51" s="8">
        <v>3.16</v>
      </c>
      <c r="E51" s="12">
        <v>64</v>
      </c>
      <c r="F51" s="8">
        <v>4.5599999999999996</v>
      </c>
      <c r="G51" s="12">
        <v>12</v>
      </c>
      <c r="H51" s="8">
        <v>1.25</v>
      </c>
      <c r="I51" s="12">
        <v>0</v>
      </c>
    </row>
    <row r="52" spans="2:9" ht="15" customHeight="1" x14ac:dyDescent="0.2">
      <c r="B52" t="s">
        <v>130</v>
      </c>
      <c r="C52" s="12">
        <v>75</v>
      </c>
      <c r="D52" s="8">
        <v>3.11</v>
      </c>
      <c r="E52" s="12">
        <v>61</v>
      </c>
      <c r="F52" s="8">
        <v>4.34</v>
      </c>
      <c r="G52" s="12">
        <v>14</v>
      </c>
      <c r="H52" s="8">
        <v>1.46</v>
      </c>
      <c r="I52" s="12">
        <v>0</v>
      </c>
    </row>
    <row r="53" spans="2:9" ht="15" customHeight="1" x14ac:dyDescent="0.2">
      <c r="B53" t="s">
        <v>137</v>
      </c>
      <c r="C53" s="12">
        <v>72</v>
      </c>
      <c r="D53" s="8">
        <v>2.99</v>
      </c>
      <c r="E53" s="12">
        <v>66</v>
      </c>
      <c r="F53" s="8">
        <v>4.7</v>
      </c>
      <c r="G53" s="12">
        <v>6</v>
      </c>
      <c r="H53" s="8">
        <v>0.62</v>
      </c>
      <c r="I53" s="12">
        <v>0</v>
      </c>
    </row>
    <row r="54" spans="2:9" ht="15" customHeight="1" x14ac:dyDescent="0.2">
      <c r="B54" t="s">
        <v>133</v>
      </c>
      <c r="C54" s="12">
        <v>61</v>
      </c>
      <c r="D54" s="8">
        <v>2.5299999999999998</v>
      </c>
      <c r="E54" s="12">
        <v>49</v>
      </c>
      <c r="F54" s="8">
        <v>3.49</v>
      </c>
      <c r="G54" s="12">
        <v>12</v>
      </c>
      <c r="H54" s="8">
        <v>1.25</v>
      </c>
      <c r="I54" s="12">
        <v>0</v>
      </c>
    </row>
    <row r="55" spans="2:9" ht="15" customHeight="1" x14ac:dyDescent="0.2">
      <c r="B55" t="s">
        <v>142</v>
      </c>
      <c r="C55" s="12">
        <v>61</v>
      </c>
      <c r="D55" s="8">
        <v>2.5299999999999998</v>
      </c>
      <c r="E55" s="12">
        <v>54</v>
      </c>
      <c r="F55" s="8">
        <v>3.85</v>
      </c>
      <c r="G55" s="12">
        <v>7</v>
      </c>
      <c r="H55" s="8">
        <v>0.73</v>
      </c>
      <c r="I55" s="12">
        <v>0</v>
      </c>
    </row>
    <row r="56" spans="2:9" ht="15" customHeight="1" x14ac:dyDescent="0.2">
      <c r="B56" t="s">
        <v>129</v>
      </c>
      <c r="C56" s="12">
        <v>57</v>
      </c>
      <c r="D56" s="8">
        <v>2.37</v>
      </c>
      <c r="E56" s="12">
        <v>40</v>
      </c>
      <c r="F56" s="8">
        <v>2.85</v>
      </c>
      <c r="G56" s="12">
        <v>16</v>
      </c>
      <c r="H56" s="8">
        <v>1.66</v>
      </c>
      <c r="I56" s="12">
        <v>1</v>
      </c>
    </row>
    <row r="57" spans="2:9" ht="15" customHeight="1" x14ac:dyDescent="0.2">
      <c r="B57" t="s">
        <v>124</v>
      </c>
      <c r="C57" s="12">
        <v>42</v>
      </c>
      <c r="D57" s="8">
        <v>1.74</v>
      </c>
      <c r="E57" s="12">
        <v>2</v>
      </c>
      <c r="F57" s="8">
        <v>0.14000000000000001</v>
      </c>
      <c r="G57" s="12">
        <v>40</v>
      </c>
      <c r="H57" s="8">
        <v>4.16</v>
      </c>
      <c r="I57" s="12">
        <v>0</v>
      </c>
    </row>
    <row r="58" spans="2:9" ht="15" customHeight="1" x14ac:dyDescent="0.2">
      <c r="B58" t="s">
        <v>147</v>
      </c>
      <c r="C58" s="12">
        <v>41</v>
      </c>
      <c r="D58" s="8">
        <v>1.7</v>
      </c>
      <c r="E58" s="12">
        <v>22</v>
      </c>
      <c r="F58" s="8">
        <v>1.57</v>
      </c>
      <c r="G58" s="12">
        <v>19</v>
      </c>
      <c r="H58" s="8">
        <v>1.98</v>
      </c>
      <c r="I58" s="12">
        <v>0</v>
      </c>
    </row>
    <row r="59" spans="2:9" ht="15" customHeight="1" x14ac:dyDescent="0.2">
      <c r="B59" t="s">
        <v>125</v>
      </c>
      <c r="C59" s="12">
        <v>40</v>
      </c>
      <c r="D59" s="8">
        <v>1.66</v>
      </c>
      <c r="E59" s="12">
        <v>6</v>
      </c>
      <c r="F59" s="8">
        <v>0.43</v>
      </c>
      <c r="G59" s="12">
        <v>34</v>
      </c>
      <c r="H59" s="8">
        <v>3.54</v>
      </c>
      <c r="I59" s="12">
        <v>0</v>
      </c>
    </row>
    <row r="60" spans="2:9" ht="15" customHeight="1" x14ac:dyDescent="0.2">
      <c r="B60" t="s">
        <v>135</v>
      </c>
      <c r="C60" s="12">
        <v>40</v>
      </c>
      <c r="D60" s="8">
        <v>1.66</v>
      </c>
      <c r="E60" s="12">
        <v>21</v>
      </c>
      <c r="F60" s="8">
        <v>1.5</v>
      </c>
      <c r="G60" s="12">
        <v>18</v>
      </c>
      <c r="H60" s="8">
        <v>1.87</v>
      </c>
      <c r="I60" s="12">
        <v>0</v>
      </c>
    </row>
    <row r="61" spans="2:9" ht="15" customHeight="1" x14ac:dyDescent="0.2">
      <c r="B61" t="s">
        <v>128</v>
      </c>
      <c r="C61" s="12">
        <v>39</v>
      </c>
      <c r="D61" s="8">
        <v>1.62</v>
      </c>
      <c r="E61" s="12">
        <v>24</v>
      </c>
      <c r="F61" s="8">
        <v>1.71</v>
      </c>
      <c r="G61" s="12">
        <v>14</v>
      </c>
      <c r="H61" s="8">
        <v>1.46</v>
      </c>
      <c r="I61" s="12">
        <v>1</v>
      </c>
    </row>
    <row r="62" spans="2:9" ht="15" customHeight="1" x14ac:dyDescent="0.2">
      <c r="B62" t="s">
        <v>141</v>
      </c>
      <c r="C62" s="12">
        <v>37</v>
      </c>
      <c r="D62" s="8">
        <v>1.54</v>
      </c>
      <c r="E62" s="12">
        <v>27</v>
      </c>
      <c r="F62" s="8">
        <v>1.92</v>
      </c>
      <c r="G62" s="12">
        <v>10</v>
      </c>
      <c r="H62" s="8">
        <v>1.04</v>
      </c>
      <c r="I62" s="12">
        <v>0</v>
      </c>
    </row>
    <row r="63" spans="2:9" ht="15" customHeight="1" x14ac:dyDescent="0.2">
      <c r="B63" t="s">
        <v>131</v>
      </c>
      <c r="C63" s="12">
        <v>36</v>
      </c>
      <c r="D63" s="8">
        <v>1.5</v>
      </c>
      <c r="E63" s="12">
        <v>16</v>
      </c>
      <c r="F63" s="8">
        <v>1.1399999999999999</v>
      </c>
      <c r="G63" s="12">
        <v>20</v>
      </c>
      <c r="H63" s="8">
        <v>2.08</v>
      </c>
      <c r="I63" s="12">
        <v>0</v>
      </c>
    </row>
    <row r="64" spans="2:9" ht="15" customHeight="1" x14ac:dyDescent="0.2">
      <c r="B64" t="s">
        <v>126</v>
      </c>
      <c r="C64" s="12">
        <v>34</v>
      </c>
      <c r="D64" s="8">
        <v>1.41</v>
      </c>
      <c r="E64" s="12">
        <v>7</v>
      </c>
      <c r="F64" s="8">
        <v>0.5</v>
      </c>
      <c r="G64" s="12">
        <v>27</v>
      </c>
      <c r="H64" s="8">
        <v>2.81</v>
      </c>
      <c r="I64" s="12">
        <v>0</v>
      </c>
    </row>
    <row r="65" spans="2:9" ht="15" customHeight="1" x14ac:dyDescent="0.2">
      <c r="B65" t="s">
        <v>148</v>
      </c>
      <c r="C65" s="12">
        <v>34</v>
      </c>
      <c r="D65" s="8">
        <v>1.41</v>
      </c>
      <c r="E65" s="12">
        <v>26</v>
      </c>
      <c r="F65" s="8">
        <v>1.85</v>
      </c>
      <c r="G65" s="12">
        <v>7</v>
      </c>
      <c r="H65" s="8">
        <v>0.73</v>
      </c>
      <c r="I65" s="12">
        <v>1</v>
      </c>
    </row>
    <row r="66" spans="2:9" ht="15" customHeight="1" x14ac:dyDescent="0.2">
      <c r="B66" t="s">
        <v>134</v>
      </c>
      <c r="C66" s="12">
        <v>31</v>
      </c>
      <c r="D66" s="8">
        <v>1.29</v>
      </c>
      <c r="E66" s="12">
        <v>10</v>
      </c>
      <c r="F66" s="8">
        <v>0.71</v>
      </c>
      <c r="G66" s="12">
        <v>21</v>
      </c>
      <c r="H66" s="8">
        <v>2.19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AE6B-9F72-44A4-A42E-39918D36957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2</v>
      </c>
      <c r="D5" s="8">
        <v>0.3</v>
      </c>
      <c r="E5" s="12">
        <v>0</v>
      </c>
      <c r="F5" s="8">
        <v>0</v>
      </c>
      <c r="G5" s="12">
        <v>2</v>
      </c>
      <c r="H5" s="8">
        <v>0.91</v>
      </c>
      <c r="I5" s="12">
        <v>0</v>
      </c>
    </row>
    <row r="6" spans="2:9" ht="15" customHeight="1" x14ac:dyDescent="0.2">
      <c r="B6" t="s">
        <v>45</v>
      </c>
      <c r="C6" s="12">
        <v>44</v>
      </c>
      <c r="D6" s="8">
        <v>6.62</v>
      </c>
      <c r="E6" s="12">
        <v>23</v>
      </c>
      <c r="F6" s="8">
        <v>5.37</v>
      </c>
      <c r="G6" s="12">
        <v>21</v>
      </c>
      <c r="H6" s="8">
        <v>9.59</v>
      </c>
      <c r="I6" s="12">
        <v>0</v>
      </c>
    </row>
    <row r="7" spans="2:9" ht="15" customHeight="1" x14ac:dyDescent="0.2">
      <c r="B7" t="s">
        <v>46</v>
      </c>
      <c r="C7" s="12">
        <v>90</v>
      </c>
      <c r="D7" s="8">
        <v>13.53</v>
      </c>
      <c r="E7" s="12">
        <v>29</v>
      </c>
      <c r="F7" s="8">
        <v>6.78</v>
      </c>
      <c r="G7" s="12">
        <v>61</v>
      </c>
      <c r="H7" s="8">
        <v>27.85</v>
      </c>
      <c r="I7" s="12">
        <v>0</v>
      </c>
    </row>
    <row r="8" spans="2:9" ht="15" customHeight="1" x14ac:dyDescent="0.2">
      <c r="B8" t="s">
        <v>47</v>
      </c>
      <c r="C8" s="12">
        <v>13</v>
      </c>
      <c r="D8" s="8">
        <v>1.95</v>
      </c>
      <c r="E8" s="12">
        <v>0</v>
      </c>
      <c r="F8" s="8">
        <v>0</v>
      </c>
      <c r="G8" s="12">
        <v>12</v>
      </c>
      <c r="H8" s="8">
        <v>5.48</v>
      </c>
      <c r="I8" s="12">
        <v>0</v>
      </c>
    </row>
    <row r="9" spans="2:9" ht="15" customHeight="1" x14ac:dyDescent="0.2">
      <c r="B9" t="s">
        <v>48</v>
      </c>
      <c r="C9" s="12">
        <v>4</v>
      </c>
      <c r="D9" s="8">
        <v>0.6</v>
      </c>
      <c r="E9" s="12">
        <v>1</v>
      </c>
      <c r="F9" s="8">
        <v>0.23</v>
      </c>
      <c r="G9" s="12">
        <v>3</v>
      </c>
      <c r="H9" s="8">
        <v>1.37</v>
      </c>
      <c r="I9" s="12">
        <v>0</v>
      </c>
    </row>
    <row r="10" spans="2:9" ht="15" customHeight="1" x14ac:dyDescent="0.2">
      <c r="B10" t="s">
        <v>49</v>
      </c>
      <c r="C10" s="12">
        <v>9</v>
      </c>
      <c r="D10" s="8">
        <v>1.35</v>
      </c>
      <c r="E10" s="12">
        <v>1</v>
      </c>
      <c r="F10" s="8">
        <v>0.23</v>
      </c>
      <c r="G10" s="12">
        <v>7</v>
      </c>
      <c r="H10" s="8">
        <v>3.2</v>
      </c>
      <c r="I10" s="12">
        <v>1</v>
      </c>
    </row>
    <row r="11" spans="2:9" ht="15" customHeight="1" x14ac:dyDescent="0.2">
      <c r="B11" t="s">
        <v>50</v>
      </c>
      <c r="C11" s="12">
        <v>201</v>
      </c>
      <c r="D11" s="8">
        <v>30.23</v>
      </c>
      <c r="E11" s="12">
        <v>136</v>
      </c>
      <c r="F11" s="8">
        <v>31.78</v>
      </c>
      <c r="G11" s="12">
        <v>63</v>
      </c>
      <c r="H11" s="8">
        <v>28.77</v>
      </c>
      <c r="I11" s="12">
        <v>2</v>
      </c>
    </row>
    <row r="12" spans="2:9" ht="15" customHeight="1" x14ac:dyDescent="0.2">
      <c r="B12" t="s">
        <v>51</v>
      </c>
      <c r="C12" s="12">
        <v>7</v>
      </c>
      <c r="D12" s="8">
        <v>1.05</v>
      </c>
      <c r="E12" s="12">
        <v>5</v>
      </c>
      <c r="F12" s="8">
        <v>1.17</v>
      </c>
      <c r="G12" s="12">
        <v>2</v>
      </c>
      <c r="H12" s="8">
        <v>0.91</v>
      </c>
      <c r="I12" s="12">
        <v>0</v>
      </c>
    </row>
    <row r="13" spans="2:9" ht="15" customHeight="1" x14ac:dyDescent="0.2">
      <c r="B13" t="s">
        <v>52</v>
      </c>
      <c r="C13" s="12">
        <v>13</v>
      </c>
      <c r="D13" s="8">
        <v>1.95</v>
      </c>
      <c r="E13" s="12">
        <v>6</v>
      </c>
      <c r="F13" s="8">
        <v>1.4</v>
      </c>
      <c r="G13" s="12">
        <v>7</v>
      </c>
      <c r="H13" s="8">
        <v>3.2</v>
      </c>
      <c r="I13" s="12">
        <v>0</v>
      </c>
    </row>
    <row r="14" spans="2:9" ht="15" customHeight="1" x14ac:dyDescent="0.2">
      <c r="B14" t="s">
        <v>53</v>
      </c>
      <c r="C14" s="12">
        <v>21</v>
      </c>
      <c r="D14" s="8">
        <v>3.16</v>
      </c>
      <c r="E14" s="12">
        <v>19</v>
      </c>
      <c r="F14" s="8">
        <v>4.4400000000000004</v>
      </c>
      <c r="G14" s="12">
        <v>2</v>
      </c>
      <c r="H14" s="8">
        <v>0.91</v>
      </c>
      <c r="I14" s="12">
        <v>0</v>
      </c>
    </row>
    <row r="15" spans="2:9" ht="15" customHeight="1" x14ac:dyDescent="0.2">
      <c r="B15" t="s">
        <v>54</v>
      </c>
      <c r="C15" s="12">
        <v>89</v>
      </c>
      <c r="D15" s="8">
        <v>13.38</v>
      </c>
      <c r="E15" s="12">
        <v>82</v>
      </c>
      <c r="F15" s="8">
        <v>19.16</v>
      </c>
      <c r="G15" s="12">
        <v>6</v>
      </c>
      <c r="H15" s="8">
        <v>2.74</v>
      </c>
      <c r="I15" s="12">
        <v>0</v>
      </c>
    </row>
    <row r="16" spans="2:9" ht="15" customHeight="1" x14ac:dyDescent="0.2">
      <c r="B16" t="s">
        <v>55</v>
      </c>
      <c r="C16" s="12">
        <v>86</v>
      </c>
      <c r="D16" s="8">
        <v>12.93</v>
      </c>
      <c r="E16" s="12">
        <v>74</v>
      </c>
      <c r="F16" s="8">
        <v>17.29</v>
      </c>
      <c r="G16" s="12">
        <v>11</v>
      </c>
      <c r="H16" s="8">
        <v>5.0199999999999996</v>
      </c>
      <c r="I16" s="12">
        <v>0</v>
      </c>
    </row>
    <row r="17" spans="2:9" ht="15" customHeight="1" x14ac:dyDescent="0.2">
      <c r="B17" t="s">
        <v>56</v>
      </c>
      <c r="C17" s="12">
        <v>21</v>
      </c>
      <c r="D17" s="8">
        <v>3.16</v>
      </c>
      <c r="E17" s="12">
        <v>10</v>
      </c>
      <c r="F17" s="8">
        <v>2.34</v>
      </c>
      <c r="G17" s="12">
        <v>4</v>
      </c>
      <c r="H17" s="8">
        <v>1.83</v>
      </c>
      <c r="I17" s="12">
        <v>2</v>
      </c>
    </row>
    <row r="18" spans="2:9" ht="15" customHeight="1" x14ac:dyDescent="0.2">
      <c r="B18" t="s">
        <v>57</v>
      </c>
      <c r="C18" s="12">
        <v>37</v>
      </c>
      <c r="D18" s="8">
        <v>5.56</v>
      </c>
      <c r="E18" s="12">
        <v>22</v>
      </c>
      <c r="F18" s="8">
        <v>5.14</v>
      </c>
      <c r="G18" s="12">
        <v>13</v>
      </c>
      <c r="H18" s="8">
        <v>5.94</v>
      </c>
      <c r="I18" s="12">
        <v>0</v>
      </c>
    </row>
    <row r="19" spans="2:9" ht="15" customHeight="1" x14ac:dyDescent="0.2">
      <c r="B19" t="s">
        <v>58</v>
      </c>
      <c r="C19" s="12">
        <v>28</v>
      </c>
      <c r="D19" s="8">
        <v>4.21</v>
      </c>
      <c r="E19" s="12">
        <v>20</v>
      </c>
      <c r="F19" s="8">
        <v>4.67</v>
      </c>
      <c r="G19" s="12">
        <v>5</v>
      </c>
      <c r="H19" s="8">
        <v>2.2799999999999998</v>
      </c>
      <c r="I19" s="12">
        <v>1</v>
      </c>
    </row>
    <row r="20" spans="2:9" ht="15" customHeight="1" x14ac:dyDescent="0.2">
      <c r="B20" s="9" t="s">
        <v>241</v>
      </c>
      <c r="C20" s="12">
        <f>SUM(LTBL_46204[総数／事業所数])</f>
        <v>665</v>
      </c>
      <c r="E20" s="12">
        <f>SUBTOTAL(109,LTBL_46204[個人／事業所数])</f>
        <v>428</v>
      </c>
      <c r="G20" s="12">
        <f>SUBTOTAL(109,LTBL_46204[法人／事業所数])</f>
        <v>219</v>
      </c>
      <c r="I20" s="12">
        <f>SUBTOTAL(109,LTBL_46204[法人以外の団体／事業所数])</f>
        <v>6</v>
      </c>
    </row>
    <row r="21" spans="2:9" ht="15" customHeight="1" x14ac:dyDescent="0.2">
      <c r="E21" s="11">
        <f>LTBL_46204[[#Totals],[個人／事業所数]]/LTBL_46204[[#Totals],[総数／事業所数]]</f>
        <v>0.64360902255639096</v>
      </c>
      <c r="G21" s="11">
        <f>LTBL_46204[[#Totals],[法人／事業所数]]/LTBL_46204[[#Totals],[総数／事業所数]]</f>
        <v>0.32932330827067668</v>
      </c>
      <c r="I21" s="11">
        <f>LTBL_46204[[#Totals],[法人以外の団体／事業所数]]/LTBL_46204[[#Totals],[総数／事業所数]]</f>
        <v>9.0225563909774441E-3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77</v>
      </c>
      <c r="D24" s="8">
        <v>11.58</v>
      </c>
      <c r="E24" s="12">
        <v>75</v>
      </c>
      <c r="F24" s="8">
        <v>17.52</v>
      </c>
      <c r="G24" s="12">
        <v>2</v>
      </c>
      <c r="H24" s="8">
        <v>0.91</v>
      </c>
      <c r="I24" s="12">
        <v>0</v>
      </c>
    </row>
    <row r="25" spans="2:9" ht="15" customHeight="1" x14ac:dyDescent="0.2">
      <c r="B25" t="s">
        <v>82</v>
      </c>
      <c r="C25" s="12">
        <v>70</v>
      </c>
      <c r="D25" s="8">
        <v>10.53</v>
      </c>
      <c r="E25" s="12">
        <v>63</v>
      </c>
      <c r="F25" s="8">
        <v>14.72</v>
      </c>
      <c r="G25" s="12">
        <v>7</v>
      </c>
      <c r="H25" s="8">
        <v>3.2</v>
      </c>
      <c r="I25" s="12">
        <v>0</v>
      </c>
    </row>
    <row r="26" spans="2:9" ht="15" customHeight="1" x14ac:dyDescent="0.2">
      <c r="B26" t="s">
        <v>75</v>
      </c>
      <c r="C26" s="12">
        <v>66</v>
      </c>
      <c r="D26" s="8">
        <v>9.92</v>
      </c>
      <c r="E26" s="12">
        <v>38</v>
      </c>
      <c r="F26" s="8">
        <v>8.8800000000000008</v>
      </c>
      <c r="G26" s="12">
        <v>27</v>
      </c>
      <c r="H26" s="8">
        <v>12.33</v>
      </c>
      <c r="I26" s="12">
        <v>1</v>
      </c>
    </row>
    <row r="27" spans="2:9" ht="15" customHeight="1" x14ac:dyDescent="0.2">
      <c r="B27" t="s">
        <v>73</v>
      </c>
      <c r="C27" s="12">
        <v>52</v>
      </c>
      <c r="D27" s="8">
        <v>7.82</v>
      </c>
      <c r="E27" s="12">
        <v>46</v>
      </c>
      <c r="F27" s="8">
        <v>10.75</v>
      </c>
      <c r="G27" s="12">
        <v>6</v>
      </c>
      <c r="H27" s="8">
        <v>2.74</v>
      </c>
      <c r="I27" s="12">
        <v>0</v>
      </c>
    </row>
    <row r="28" spans="2:9" ht="15" customHeight="1" x14ac:dyDescent="0.2">
      <c r="B28" t="s">
        <v>90</v>
      </c>
      <c r="C28" s="12">
        <v>36</v>
      </c>
      <c r="D28" s="8">
        <v>5.41</v>
      </c>
      <c r="E28" s="12">
        <v>7</v>
      </c>
      <c r="F28" s="8">
        <v>1.64</v>
      </c>
      <c r="G28" s="12">
        <v>29</v>
      </c>
      <c r="H28" s="8">
        <v>13.24</v>
      </c>
      <c r="I28" s="12">
        <v>0</v>
      </c>
    </row>
    <row r="29" spans="2:9" ht="15" customHeight="1" x14ac:dyDescent="0.2">
      <c r="B29" t="s">
        <v>74</v>
      </c>
      <c r="C29" s="12">
        <v>35</v>
      </c>
      <c r="D29" s="8">
        <v>5.26</v>
      </c>
      <c r="E29" s="12">
        <v>25</v>
      </c>
      <c r="F29" s="8">
        <v>5.84</v>
      </c>
      <c r="G29" s="12">
        <v>10</v>
      </c>
      <c r="H29" s="8">
        <v>4.57</v>
      </c>
      <c r="I29" s="12">
        <v>0</v>
      </c>
    </row>
    <row r="30" spans="2:9" ht="15" customHeight="1" x14ac:dyDescent="0.2">
      <c r="B30" t="s">
        <v>70</v>
      </c>
      <c r="C30" s="12">
        <v>34</v>
      </c>
      <c r="D30" s="8">
        <v>5.1100000000000003</v>
      </c>
      <c r="E30" s="12">
        <v>13</v>
      </c>
      <c r="F30" s="8">
        <v>3.04</v>
      </c>
      <c r="G30" s="12">
        <v>21</v>
      </c>
      <c r="H30" s="8">
        <v>9.59</v>
      </c>
      <c r="I30" s="12">
        <v>0</v>
      </c>
    </row>
    <row r="31" spans="2:9" ht="15" customHeight="1" x14ac:dyDescent="0.2">
      <c r="B31" t="s">
        <v>84</v>
      </c>
      <c r="C31" s="12">
        <v>25</v>
      </c>
      <c r="D31" s="8">
        <v>3.76</v>
      </c>
      <c r="E31" s="12">
        <v>22</v>
      </c>
      <c r="F31" s="8">
        <v>5.14</v>
      </c>
      <c r="G31" s="12">
        <v>3</v>
      </c>
      <c r="H31" s="8">
        <v>1.37</v>
      </c>
      <c r="I31" s="12">
        <v>0</v>
      </c>
    </row>
    <row r="32" spans="2:9" ht="15" customHeight="1" x14ac:dyDescent="0.2">
      <c r="B32" t="s">
        <v>83</v>
      </c>
      <c r="C32" s="12">
        <v>21</v>
      </c>
      <c r="D32" s="8">
        <v>3.16</v>
      </c>
      <c r="E32" s="12">
        <v>10</v>
      </c>
      <c r="F32" s="8">
        <v>2.34</v>
      </c>
      <c r="G32" s="12">
        <v>4</v>
      </c>
      <c r="H32" s="8">
        <v>1.83</v>
      </c>
      <c r="I32" s="12">
        <v>2</v>
      </c>
    </row>
    <row r="33" spans="2:9" ht="15" customHeight="1" x14ac:dyDescent="0.2">
      <c r="B33" t="s">
        <v>86</v>
      </c>
      <c r="C33" s="12">
        <v>18</v>
      </c>
      <c r="D33" s="8">
        <v>2.71</v>
      </c>
      <c r="E33" s="12">
        <v>16</v>
      </c>
      <c r="F33" s="8">
        <v>3.74</v>
      </c>
      <c r="G33" s="12">
        <v>2</v>
      </c>
      <c r="H33" s="8">
        <v>0.91</v>
      </c>
      <c r="I33" s="12">
        <v>0</v>
      </c>
    </row>
    <row r="34" spans="2:9" ht="15" customHeight="1" x14ac:dyDescent="0.2">
      <c r="B34" t="s">
        <v>67</v>
      </c>
      <c r="C34" s="12">
        <v>17</v>
      </c>
      <c r="D34" s="8">
        <v>2.56</v>
      </c>
      <c r="E34" s="12">
        <v>4</v>
      </c>
      <c r="F34" s="8">
        <v>0.93</v>
      </c>
      <c r="G34" s="12">
        <v>13</v>
      </c>
      <c r="H34" s="8">
        <v>5.94</v>
      </c>
      <c r="I34" s="12">
        <v>0</v>
      </c>
    </row>
    <row r="35" spans="2:9" ht="15" customHeight="1" x14ac:dyDescent="0.2">
      <c r="B35" t="s">
        <v>68</v>
      </c>
      <c r="C35" s="12">
        <v>16</v>
      </c>
      <c r="D35" s="8">
        <v>2.41</v>
      </c>
      <c r="E35" s="12">
        <v>13</v>
      </c>
      <c r="F35" s="8">
        <v>3.04</v>
      </c>
      <c r="G35" s="12">
        <v>3</v>
      </c>
      <c r="H35" s="8">
        <v>1.37</v>
      </c>
      <c r="I35" s="12">
        <v>0</v>
      </c>
    </row>
    <row r="36" spans="2:9" ht="15" customHeight="1" x14ac:dyDescent="0.2">
      <c r="B36" t="s">
        <v>72</v>
      </c>
      <c r="C36" s="12">
        <v>16</v>
      </c>
      <c r="D36" s="8">
        <v>2.41</v>
      </c>
      <c r="E36" s="12">
        <v>13</v>
      </c>
      <c r="F36" s="8">
        <v>3.04</v>
      </c>
      <c r="G36" s="12">
        <v>3</v>
      </c>
      <c r="H36" s="8">
        <v>1.37</v>
      </c>
      <c r="I36" s="12">
        <v>0</v>
      </c>
    </row>
    <row r="37" spans="2:9" ht="15" customHeight="1" x14ac:dyDescent="0.2">
      <c r="B37" t="s">
        <v>92</v>
      </c>
      <c r="C37" s="12">
        <v>12</v>
      </c>
      <c r="D37" s="8">
        <v>1.8</v>
      </c>
      <c r="E37" s="12">
        <v>0</v>
      </c>
      <c r="F37" s="8">
        <v>0</v>
      </c>
      <c r="G37" s="12">
        <v>12</v>
      </c>
      <c r="H37" s="8">
        <v>5.48</v>
      </c>
      <c r="I37" s="12">
        <v>0</v>
      </c>
    </row>
    <row r="38" spans="2:9" ht="15" customHeight="1" x14ac:dyDescent="0.2">
      <c r="B38" t="s">
        <v>85</v>
      </c>
      <c r="C38" s="12">
        <v>12</v>
      </c>
      <c r="D38" s="8">
        <v>1.8</v>
      </c>
      <c r="E38" s="12">
        <v>0</v>
      </c>
      <c r="F38" s="8">
        <v>0</v>
      </c>
      <c r="G38" s="12">
        <v>10</v>
      </c>
      <c r="H38" s="8">
        <v>4.57</v>
      </c>
      <c r="I38" s="12">
        <v>0</v>
      </c>
    </row>
    <row r="39" spans="2:9" ht="15" customHeight="1" x14ac:dyDescent="0.2">
      <c r="B39" t="s">
        <v>69</v>
      </c>
      <c r="C39" s="12">
        <v>11</v>
      </c>
      <c r="D39" s="8">
        <v>1.65</v>
      </c>
      <c r="E39" s="12">
        <v>6</v>
      </c>
      <c r="F39" s="8">
        <v>1.4</v>
      </c>
      <c r="G39" s="12">
        <v>5</v>
      </c>
      <c r="H39" s="8">
        <v>2.2799999999999998</v>
      </c>
      <c r="I39" s="12">
        <v>0</v>
      </c>
    </row>
    <row r="40" spans="2:9" ht="15" customHeight="1" x14ac:dyDescent="0.2">
      <c r="B40" t="s">
        <v>87</v>
      </c>
      <c r="C40" s="12">
        <v>11</v>
      </c>
      <c r="D40" s="8">
        <v>1.65</v>
      </c>
      <c r="E40" s="12">
        <v>5</v>
      </c>
      <c r="F40" s="8">
        <v>1.17</v>
      </c>
      <c r="G40" s="12">
        <v>5</v>
      </c>
      <c r="H40" s="8">
        <v>2.2799999999999998</v>
      </c>
      <c r="I40" s="12">
        <v>1</v>
      </c>
    </row>
    <row r="41" spans="2:9" ht="15" customHeight="1" x14ac:dyDescent="0.2">
      <c r="B41" t="s">
        <v>79</v>
      </c>
      <c r="C41" s="12">
        <v>11</v>
      </c>
      <c r="D41" s="8">
        <v>1.65</v>
      </c>
      <c r="E41" s="12">
        <v>9</v>
      </c>
      <c r="F41" s="8">
        <v>2.1</v>
      </c>
      <c r="G41" s="12">
        <v>2</v>
      </c>
      <c r="H41" s="8">
        <v>0.91</v>
      </c>
      <c r="I41" s="12">
        <v>0</v>
      </c>
    </row>
    <row r="42" spans="2:9" ht="15" customHeight="1" x14ac:dyDescent="0.2">
      <c r="B42" t="s">
        <v>71</v>
      </c>
      <c r="C42" s="12">
        <v>9</v>
      </c>
      <c r="D42" s="8">
        <v>1.35</v>
      </c>
      <c r="E42" s="12">
        <v>4</v>
      </c>
      <c r="F42" s="8">
        <v>0.93</v>
      </c>
      <c r="G42" s="12">
        <v>5</v>
      </c>
      <c r="H42" s="8">
        <v>2.2799999999999998</v>
      </c>
      <c r="I42" s="12">
        <v>0</v>
      </c>
    </row>
    <row r="43" spans="2:9" ht="15" customHeight="1" x14ac:dyDescent="0.2">
      <c r="B43" t="s">
        <v>78</v>
      </c>
      <c r="C43" s="12">
        <v>9</v>
      </c>
      <c r="D43" s="8">
        <v>1.35</v>
      </c>
      <c r="E43" s="12">
        <v>9</v>
      </c>
      <c r="F43" s="8">
        <v>2.1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91</v>
      </c>
      <c r="C44" s="12">
        <v>9</v>
      </c>
      <c r="D44" s="8">
        <v>1.35</v>
      </c>
      <c r="E44" s="12">
        <v>7</v>
      </c>
      <c r="F44" s="8">
        <v>1.64</v>
      </c>
      <c r="G44" s="12">
        <v>2</v>
      </c>
      <c r="H44" s="8">
        <v>0.91</v>
      </c>
      <c r="I44" s="12">
        <v>0</v>
      </c>
    </row>
    <row r="47" spans="2:9" ht="33" customHeight="1" x14ac:dyDescent="0.2">
      <c r="B47" t="s">
        <v>243</v>
      </c>
      <c r="C47" s="10" t="s">
        <v>60</v>
      </c>
      <c r="D47" s="10" t="s">
        <v>61</v>
      </c>
      <c r="E47" s="10" t="s">
        <v>62</v>
      </c>
      <c r="F47" s="10" t="s">
        <v>63</v>
      </c>
      <c r="G47" s="10" t="s">
        <v>64</v>
      </c>
      <c r="H47" s="10" t="s">
        <v>65</v>
      </c>
      <c r="I47" s="10" t="s">
        <v>66</v>
      </c>
    </row>
    <row r="48" spans="2:9" ht="15" customHeight="1" x14ac:dyDescent="0.2">
      <c r="B48" t="s">
        <v>140</v>
      </c>
      <c r="C48" s="12">
        <v>36</v>
      </c>
      <c r="D48" s="8">
        <v>5.41</v>
      </c>
      <c r="E48" s="12">
        <v>36</v>
      </c>
      <c r="F48" s="8">
        <v>8.41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150</v>
      </c>
      <c r="C49" s="12">
        <v>31</v>
      </c>
      <c r="D49" s="8">
        <v>4.66</v>
      </c>
      <c r="E49" s="12">
        <v>7</v>
      </c>
      <c r="F49" s="8">
        <v>1.64</v>
      </c>
      <c r="G49" s="12">
        <v>24</v>
      </c>
      <c r="H49" s="8">
        <v>10.96</v>
      </c>
      <c r="I49" s="12">
        <v>0</v>
      </c>
    </row>
    <row r="50" spans="2:9" ht="15" customHeight="1" x14ac:dyDescent="0.2">
      <c r="B50" t="s">
        <v>133</v>
      </c>
      <c r="C50" s="12">
        <v>24</v>
      </c>
      <c r="D50" s="8">
        <v>3.61</v>
      </c>
      <c r="E50" s="12">
        <v>19</v>
      </c>
      <c r="F50" s="8">
        <v>4.4400000000000004</v>
      </c>
      <c r="G50" s="12">
        <v>4</v>
      </c>
      <c r="H50" s="8">
        <v>1.83</v>
      </c>
      <c r="I50" s="12">
        <v>1</v>
      </c>
    </row>
    <row r="51" spans="2:9" ht="15" customHeight="1" x14ac:dyDescent="0.2">
      <c r="B51" t="s">
        <v>137</v>
      </c>
      <c r="C51" s="12">
        <v>24</v>
      </c>
      <c r="D51" s="8">
        <v>3.61</v>
      </c>
      <c r="E51" s="12">
        <v>23</v>
      </c>
      <c r="F51" s="8">
        <v>5.37</v>
      </c>
      <c r="G51" s="12">
        <v>1</v>
      </c>
      <c r="H51" s="8">
        <v>0.46</v>
      </c>
      <c r="I51" s="12">
        <v>0</v>
      </c>
    </row>
    <row r="52" spans="2:9" ht="15" customHeight="1" x14ac:dyDescent="0.2">
      <c r="B52" t="s">
        <v>149</v>
      </c>
      <c r="C52" s="12">
        <v>23</v>
      </c>
      <c r="D52" s="8">
        <v>3.46</v>
      </c>
      <c r="E52" s="12">
        <v>10</v>
      </c>
      <c r="F52" s="8">
        <v>2.34</v>
      </c>
      <c r="G52" s="12">
        <v>13</v>
      </c>
      <c r="H52" s="8">
        <v>5.94</v>
      </c>
      <c r="I52" s="12">
        <v>0</v>
      </c>
    </row>
    <row r="53" spans="2:9" ht="15" customHeight="1" x14ac:dyDescent="0.2">
      <c r="B53" t="s">
        <v>130</v>
      </c>
      <c r="C53" s="12">
        <v>22</v>
      </c>
      <c r="D53" s="8">
        <v>3.31</v>
      </c>
      <c r="E53" s="12">
        <v>19</v>
      </c>
      <c r="F53" s="8">
        <v>4.4400000000000004</v>
      </c>
      <c r="G53" s="12">
        <v>3</v>
      </c>
      <c r="H53" s="8">
        <v>1.37</v>
      </c>
      <c r="I53" s="12">
        <v>0</v>
      </c>
    </row>
    <row r="54" spans="2:9" ht="15" customHeight="1" x14ac:dyDescent="0.2">
      <c r="B54" t="s">
        <v>138</v>
      </c>
      <c r="C54" s="12">
        <v>20</v>
      </c>
      <c r="D54" s="8">
        <v>3.01</v>
      </c>
      <c r="E54" s="12">
        <v>20</v>
      </c>
      <c r="F54" s="8">
        <v>4.67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139</v>
      </c>
      <c r="C55" s="12">
        <v>20</v>
      </c>
      <c r="D55" s="8">
        <v>3.01</v>
      </c>
      <c r="E55" s="12">
        <v>19</v>
      </c>
      <c r="F55" s="8">
        <v>4.4400000000000004</v>
      </c>
      <c r="G55" s="12">
        <v>1</v>
      </c>
      <c r="H55" s="8">
        <v>0.46</v>
      </c>
      <c r="I55" s="12">
        <v>0</v>
      </c>
    </row>
    <row r="56" spans="2:9" ht="15" customHeight="1" x14ac:dyDescent="0.2">
      <c r="B56" t="s">
        <v>129</v>
      </c>
      <c r="C56" s="12">
        <v>19</v>
      </c>
      <c r="D56" s="8">
        <v>2.86</v>
      </c>
      <c r="E56" s="12">
        <v>17</v>
      </c>
      <c r="F56" s="8">
        <v>3.97</v>
      </c>
      <c r="G56" s="12">
        <v>2</v>
      </c>
      <c r="H56" s="8">
        <v>0.91</v>
      </c>
      <c r="I56" s="12">
        <v>0</v>
      </c>
    </row>
    <row r="57" spans="2:9" ht="15" customHeight="1" x14ac:dyDescent="0.2">
      <c r="B57" t="s">
        <v>142</v>
      </c>
      <c r="C57" s="12">
        <v>18</v>
      </c>
      <c r="D57" s="8">
        <v>2.71</v>
      </c>
      <c r="E57" s="12">
        <v>18</v>
      </c>
      <c r="F57" s="8">
        <v>4.21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143</v>
      </c>
      <c r="C58" s="12">
        <v>18</v>
      </c>
      <c r="D58" s="8">
        <v>2.71</v>
      </c>
      <c r="E58" s="12">
        <v>16</v>
      </c>
      <c r="F58" s="8">
        <v>3.74</v>
      </c>
      <c r="G58" s="12">
        <v>2</v>
      </c>
      <c r="H58" s="8">
        <v>0.91</v>
      </c>
      <c r="I58" s="12">
        <v>0</v>
      </c>
    </row>
    <row r="59" spans="2:9" ht="15" customHeight="1" x14ac:dyDescent="0.2">
      <c r="B59" t="s">
        <v>147</v>
      </c>
      <c r="C59" s="12">
        <v>13</v>
      </c>
      <c r="D59" s="8">
        <v>1.95</v>
      </c>
      <c r="E59" s="12">
        <v>6</v>
      </c>
      <c r="F59" s="8">
        <v>1.4</v>
      </c>
      <c r="G59" s="12">
        <v>7</v>
      </c>
      <c r="H59" s="8">
        <v>3.2</v>
      </c>
      <c r="I59" s="12">
        <v>0</v>
      </c>
    </row>
    <row r="60" spans="2:9" ht="15" customHeight="1" x14ac:dyDescent="0.2">
      <c r="B60" t="s">
        <v>151</v>
      </c>
      <c r="C60" s="12">
        <v>11</v>
      </c>
      <c r="D60" s="8">
        <v>1.65</v>
      </c>
      <c r="E60" s="12">
        <v>0</v>
      </c>
      <c r="F60" s="8">
        <v>0</v>
      </c>
      <c r="G60" s="12">
        <v>11</v>
      </c>
      <c r="H60" s="8">
        <v>5.0199999999999996</v>
      </c>
      <c r="I60" s="12">
        <v>0</v>
      </c>
    </row>
    <row r="61" spans="2:9" ht="15" customHeight="1" x14ac:dyDescent="0.2">
      <c r="B61" t="s">
        <v>136</v>
      </c>
      <c r="C61" s="12">
        <v>11</v>
      </c>
      <c r="D61" s="8">
        <v>1.65</v>
      </c>
      <c r="E61" s="12">
        <v>11</v>
      </c>
      <c r="F61" s="8">
        <v>2.57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153</v>
      </c>
      <c r="C62" s="12">
        <v>10</v>
      </c>
      <c r="D62" s="8">
        <v>1.5</v>
      </c>
      <c r="E62" s="12">
        <v>10</v>
      </c>
      <c r="F62" s="8">
        <v>2.34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131</v>
      </c>
      <c r="C63" s="12">
        <v>10</v>
      </c>
      <c r="D63" s="8">
        <v>1.5</v>
      </c>
      <c r="E63" s="12">
        <v>4</v>
      </c>
      <c r="F63" s="8">
        <v>0.93</v>
      </c>
      <c r="G63" s="12">
        <v>6</v>
      </c>
      <c r="H63" s="8">
        <v>2.74</v>
      </c>
      <c r="I63" s="12">
        <v>0</v>
      </c>
    </row>
    <row r="64" spans="2:9" ht="15" customHeight="1" x14ac:dyDescent="0.2">
      <c r="B64" t="s">
        <v>132</v>
      </c>
      <c r="C64" s="12">
        <v>10</v>
      </c>
      <c r="D64" s="8">
        <v>1.5</v>
      </c>
      <c r="E64" s="12">
        <v>2</v>
      </c>
      <c r="F64" s="8">
        <v>0.47</v>
      </c>
      <c r="G64" s="12">
        <v>8</v>
      </c>
      <c r="H64" s="8">
        <v>3.65</v>
      </c>
      <c r="I64" s="12">
        <v>0</v>
      </c>
    </row>
    <row r="65" spans="2:9" ht="15" customHeight="1" x14ac:dyDescent="0.2">
      <c r="B65" t="s">
        <v>152</v>
      </c>
      <c r="C65" s="12">
        <v>9</v>
      </c>
      <c r="D65" s="8">
        <v>1.35</v>
      </c>
      <c r="E65" s="12">
        <v>6</v>
      </c>
      <c r="F65" s="8">
        <v>1.4</v>
      </c>
      <c r="G65" s="12">
        <v>3</v>
      </c>
      <c r="H65" s="8">
        <v>1.37</v>
      </c>
      <c r="I65" s="12">
        <v>0</v>
      </c>
    </row>
    <row r="66" spans="2:9" ht="15" customHeight="1" x14ac:dyDescent="0.2">
      <c r="B66" t="s">
        <v>128</v>
      </c>
      <c r="C66" s="12">
        <v>9</v>
      </c>
      <c r="D66" s="8">
        <v>1.35</v>
      </c>
      <c r="E66" s="12">
        <v>8</v>
      </c>
      <c r="F66" s="8">
        <v>1.87</v>
      </c>
      <c r="G66" s="12">
        <v>1</v>
      </c>
      <c r="H66" s="8">
        <v>0.46</v>
      </c>
      <c r="I66" s="12">
        <v>0</v>
      </c>
    </row>
    <row r="67" spans="2:9" ht="15" customHeight="1" x14ac:dyDescent="0.2">
      <c r="B67" t="s">
        <v>146</v>
      </c>
      <c r="C67" s="12">
        <v>9</v>
      </c>
      <c r="D67" s="8">
        <v>1.35</v>
      </c>
      <c r="E67" s="12">
        <v>5</v>
      </c>
      <c r="F67" s="8">
        <v>1.17</v>
      </c>
      <c r="G67" s="12">
        <v>4</v>
      </c>
      <c r="H67" s="8">
        <v>1.83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A488-4B5E-46A8-B6A3-ACED3ECB1A1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240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2">
      <c r="B5" t="s">
        <v>44</v>
      </c>
      <c r="C5" s="12">
        <v>1</v>
      </c>
      <c r="D5" s="8">
        <v>0.18</v>
      </c>
      <c r="E5" s="12">
        <v>0</v>
      </c>
      <c r="F5" s="8">
        <v>0</v>
      </c>
      <c r="G5" s="12">
        <v>1</v>
      </c>
      <c r="H5" s="8">
        <v>0.52</v>
      </c>
      <c r="I5" s="12">
        <v>0</v>
      </c>
    </row>
    <row r="6" spans="2:9" ht="15" customHeight="1" x14ac:dyDescent="0.2">
      <c r="B6" t="s">
        <v>45</v>
      </c>
      <c r="C6" s="12">
        <v>57</v>
      </c>
      <c r="D6" s="8">
        <v>10.23</v>
      </c>
      <c r="E6" s="12">
        <v>20</v>
      </c>
      <c r="F6" s="8">
        <v>5.52</v>
      </c>
      <c r="G6" s="12">
        <v>37</v>
      </c>
      <c r="H6" s="8">
        <v>19.27</v>
      </c>
      <c r="I6" s="12">
        <v>0</v>
      </c>
    </row>
    <row r="7" spans="2:9" ht="15" customHeight="1" x14ac:dyDescent="0.2">
      <c r="B7" t="s">
        <v>46</v>
      </c>
      <c r="C7" s="12">
        <v>46</v>
      </c>
      <c r="D7" s="8">
        <v>8.26</v>
      </c>
      <c r="E7" s="12">
        <v>20</v>
      </c>
      <c r="F7" s="8">
        <v>5.52</v>
      </c>
      <c r="G7" s="12">
        <v>26</v>
      </c>
      <c r="H7" s="8">
        <v>13.54</v>
      </c>
      <c r="I7" s="12">
        <v>0</v>
      </c>
    </row>
    <row r="8" spans="2:9" ht="15" customHeight="1" x14ac:dyDescent="0.2">
      <c r="B8" t="s">
        <v>47</v>
      </c>
      <c r="C8" s="12">
        <v>3</v>
      </c>
      <c r="D8" s="8">
        <v>0.54</v>
      </c>
      <c r="E8" s="12">
        <v>0</v>
      </c>
      <c r="F8" s="8">
        <v>0</v>
      </c>
      <c r="G8" s="12">
        <v>3</v>
      </c>
      <c r="H8" s="8">
        <v>1.56</v>
      </c>
      <c r="I8" s="12">
        <v>0</v>
      </c>
    </row>
    <row r="9" spans="2:9" ht="15" customHeight="1" x14ac:dyDescent="0.2">
      <c r="B9" t="s">
        <v>48</v>
      </c>
      <c r="C9" s="12">
        <v>2</v>
      </c>
      <c r="D9" s="8">
        <v>0.36</v>
      </c>
      <c r="E9" s="12">
        <v>0</v>
      </c>
      <c r="F9" s="8">
        <v>0</v>
      </c>
      <c r="G9" s="12">
        <v>2</v>
      </c>
      <c r="H9" s="8">
        <v>1.04</v>
      </c>
      <c r="I9" s="12">
        <v>0</v>
      </c>
    </row>
    <row r="10" spans="2:9" ht="15" customHeight="1" x14ac:dyDescent="0.2">
      <c r="B10" t="s">
        <v>49</v>
      </c>
      <c r="C10" s="12">
        <v>9</v>
      </c>
      <c r="D10" s="8">
        <v>1.62</v>
      </c>
      <c r="E10" s="12">
        <v>2</v>
      </c>
      <c r="F10" s="8">
        <v>0.55000000000000004</v>
      </c>
      <c r="G10" s="12">
        <v>7</v>
      </c>
      <c r="H10" s="8">
        <v>3.65</v>
      </c>
      <c r="I10" s="12">
        <v>0</v>
      </c>
    </row>
    <row r="11" spans="2:9" ht="15" customHeight="1" x14ac:dyDescent="0.2">
      <c r="B11" t="s">
        <v>50</v>
      </c>
      <c r="C11" s="12">
        <v>177</v>
      </c>
      <c r="D11" s="8">
        <v>31.78</v>
      </c>
      <c r="E11" s="12">
        <v>118</v>
      </c>
      <c r="F11" s="8">
        <v>32.6</v>
      </c>
      <c r="G11" s="12">
        <v>59</v>
      </c>
      <c r="H11" s="8">
        <v>30.73</v>
      </c>
      <c r="I11" s="12">
        <v>0</v>
      </c>
    </row>
    <row r="12" spans="2:9" ht="15" customHeight="1" x14ac:dyDescent="0.2">
      <c r="B12" t="s">
        <v>51</v>
      </c>
      <c r="C12" s="12">
        <v>2</v>
      </c>
      <c r="D12" s="8">
        <v>0.36</v>
      </c>
      <c r="E12" s="12">
        <v>0</v>
      </c>
      <c r="F12" s="8">
        <v>0</v>
      </c>
      <c r="G12" s="12">
        <v>2</v>
      </c>
      <c r="H12" s="8">
        <v>1.04</v>
      </c>
      <c r="I12" s="12">
        <v>0</v>
      </c>
    </row>
    <row r="13" spans="2:9" ht="15" customHeight="1" x14ac:dyDescent="0.2">
      <c r="B13" t="s">
        <v>52</v>
      </c>
      <c r="C13" s="12">
        <v>24</v>
      </c>
      <c r="D13" s="8">
        <v>4.3099999999999996</v>
      </c>
      <c r="E13" s="12">
        <v>15</v>
      </c>
      <c r="F13" s="8">
        <v>4.1399999999999997</v>
      </c>
      <c r="G13" s="12">
        <v>9</v>
      </c>
      <c r="H13" s="8">
        <v>4.6900000000000004</v>
      </c>
      <c r="I13" s="12">
        <v>0</v>
      </c>
    </row>
    <row r="14" spans="2:9" ht="15" customHeight="1" x14ac:dyDescent="0.2">
      <c r="B14" t="s">
        <v>53</v>
      </c>
      <c r="C14" s="12">
        <v>26</v>
      </c>
      <c r="D14" s="8">
        <v>4.67</v>
      </c>
      <c r="E14" s="12">
        <v>21</v>
      </c>
      <c r="F14" s="8">
        <v>5.8</v>
      </c>
      <c r="G14" s="12">
        <v>4</v>
      </c>
      <c r="H14" s="8">
        <v>2.08</v>
      </c>
      <c r="I14" s="12">
        <v>0</v>
      </c>
    </row>
    <row r="15" spans="2:9" ht="15" customHeight="1" x14ac:dyDescent="0.2">
      <c r="B15" t="s">
        <v>54</v>
      </c>
      <c r="C15" s="12">
        <v>80</v>
      </c>
      <c r="D15" s="8">
        <v>14.36</v>
      </c>
      <c r="E15" s="12">
        <v>65</v>
      </c>
      <c r="F15" s="8">
        <v>17.96</v>
      </c>
      <c r="G15" s="12">
        <v>14</v>
      </c>
      <c r="H15" s="8">
        <v>7.29</v>
      </c>
      <c r="I15" s="12">
        <v>0</v>
      </c>
    </row>
    <row r="16" spans="2:9" ht="15" customHeight="1" x14ac:dyDescent="0.2">
      <c r="B16" t="s">
        <v>55</v>
      </c>
      <c r="C16" s="12">
        <v>71</v>
      </c>
      <c r="D16" s="8">
        <v>12.75</v>
      </c>
      <c r="E16" s="12">
        <v>59</v>
      </c>
      <c r="F16" s="8">
        <v>16.3</v>
      </c>
      <c r="G16" s="12">
        <v>12</v>
      </c>
      <c r="H16" s="8">
        <v>6.25</v>
      </c>
      <c r="I16" s="12">
        <v>0</v>
      </c>
    </row>
    <row r="17" spans="2:9" ht="15" customHeight="1" x14ac:dyDescent="0.2">
      <c r="B17" t="s">
        <v>56</v>
      </c>
      <c r="C17" s="12">
        <v>11</v>
      </c>
      <c r="D17" s="8">
        <v>1.97</v>
      </c>
      <c r="E17" s="12">
        <v>9</v>
      </c>
      <c r="F17" s="8">
        <v>2.4900000000000002</v>
      </c>
      <c r="G17" s="12">
        <v>1</v>
      </c>
      <c r="H17" s="8">
        <v>0.52</v>
      </c>
      <c r="I17" s="12">
        <v>0</v>
      </c>
    </row>
    <row r="18" spans="2:9" ht="15" customHeight="1" x14ac:dyDescent="0.2">
      <c r="B18" t="s">
        <v>57</v>
      </c>
      <c r="C18" s="12">
        <v>27</v>
      </c>
      <c r="D18" s="8">
        <v>4.8499999999999996</v>
      </c>
      <c r="E18" s="12">
        <v>19</v>
      </c>
      <c r="F18" s="8">
        <v>5.25</v>
      </c>
      <c r="G18" s="12">
        <v>8</v>
      </c>
      <c r="H18" s="8">
        <v>4.17</v>
      </c>
      <c r="I18" s="12">
        <v>0</v>
      </c>
    </row>
    <row r="19" spans="2:9" ht="15" customHeight="1" x14ac:dyDescent="0.2">
      <c r="B19" t="s">
        <v>58</v>
      </c>
      <c r="C19" s="12">
        <v>21</v>
      </c>
      <c r="D19" s="8">
        <v>3.77</v>
      </c>
      <c r="E19" s="12">
        <v>14</v>
      </c>
      <c r="F19" s="8">
        <v>3.87</v>
      </c>
      <c r="G19" s="12">
        <v>7</v>
      </c>
      <c r="H19" s="8">
        <v>3.65</v>
      </c>
      <c r="I19" s="12">
        <v>0</v>
      </c>
    </row>
    <row r="20" spans="2:9" ht="15" customHeight="1" x14ac:dyDescent="0.2">
      <c r="B20" s="9" t="s">
        <v>241</v>
      </c>
      <c r="C20" s="12">
        <f>SUM(LTBL_46206[総数／事業所数])</f>
        <v>557</v>
      </c>
      <c r="E20" s="12">
        <f>SUBTOTAL(109,LTBL_46206[個人／事業所数])</f>
        <v>362</v>
      </c>
      <c r="G20" s="12">
        <f>SUBTOTAL(109,LTBL_46206[法人／事業所数])</f>
        <v>192</v>
      </c>
      <c r="I20" s="12">
        <f>SUBTOTAL(109,LTBL_46206[法人以外の団体／事業所数])</f>
        <v>0</v>
      </c>
    </row>
    <row r="21" spans="2:9" ht="15" customHeight="1" x14ac:dyDescent="0.2">
      <c r="E21" s="11">
        <f>LTBL_46206[[#Totals],[個人／事業所数]]/LTBL_46206[[#Totals],[総数／事業所数]]</f>
        <v>0.64991023339317777</v>
      </c>
      <c r="G21" s="11">
        <f>LTBL_46206[[#Totals],[法人／事業所数]]/LTBL_46206[[#Totals],[総数／事業所数]]</f>
        <v>0.34470377019748655</v>
      </c>
      <c r="I21" s="11">
        <f>LTBL_46206[[#Totals],[法人以外の団体／事業所数]]/LTBL_46206[[#Totals],[総数／事業所数]]</f>
        <v>0</v>
      </c>
    </row>
    <row r="23" spans="2:9" ht="33" customHeight="1" x14ac:dyDescent="0.2">
      <c r="B23" t="s">
        <v>242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0" t="s">
        <v>66</v>
      </c>
    </row>
    <row r="24" spans="2:9" ht="15" customHeight="1" x14ac:dyDescent="0.2">
      <c r="B24" t="s">
        <v>81</v>
      </c>
      <c r="C24" s="12">
        <v>66</v>
      </c>
      <c r="D24" s="8">
        <v>11.85</v>
      </c>
      <c r="E24" s="12">
        <v>60</v>
      </c>
      <c r="F24" s="8">
        <v>16.57</v>
      </c>
      <c r="G24" s="12">
        <v>6</v>
      </c>
      <c r="H24" s="8">
        <v>3.13</v>
      </c>
      <c r="I24" s="12">
        <v>0</v>
      </c>
    </row>
    <row r="25" spans="2:9" ht="15" customHeight="1" x14ac:dyDescent="0.2">
      <c r="B25" t="s">
        <v>82</v>
      </c>
      <c r="C25" s="12">
        <v>58</v>
      </c>
      <c r="D25" s="8">
        <v>10.41</v>
      </c>
      <c r="E25" s="12">
        <v>53</v>
      </c>
      <c r="F25" s="8">
        <v>14.64</v>
      </c>
      <c r="G25" s="12">
        <v>5</v>
      </c>
      <c r="H25" s="8">
        <v>2.6</v>
      </c>
      <c r="I25" s="12">
        <v>0</v>
      </c>
    </row>
    <row r="26" spans="2:9" ht="15" customHeight="1" x14ac:dyDescent="0.2">
      <c r="B26" t="s">
        <v>75</v>
      </c>
      <c r="C26" s="12">
        <v>56</v>
      </c>
      <c r="D26" s="8">
        <v>10.050000000000001</v>
      </c>
      <c r="E26" s="12">
        <v>32</v>
      </c>
      <c r="F26" s="8">
        <v>8.84</v>
      </c>
      <c r="G26" s="12">
        <v>24</v>
      </c>
      <c r="H26" s="8">
        <v>12.5</v>
      </c>
      <c r="I26" s="12">
        <v>0</v>
      </c>
    </row>
    <row r="27" spans="2:9" ht="15" customHeight="1" x14ac:dyDescent="0.2">
      <c r="B27" t="s">
        <v>73</v>
      </c>
      <c r="C27" s="12">
        <v>48</v>
      </c>
      <c r="D27" s="8">
        <v>8.6199999999999992</v>
      </c>
      <c r="E27" s="12">
        <v>44</v>
      </c>
      <c r="F27" s="8">
        <v>12.15</v>
      </c>
      <c r="G27" s="12">
        <v>4</v>
      </c>
      <c r="H27" s="8">
        <v>2.08</v>
      </c>
      <c r="I27" s="12">
        <v>0</v>
      </c>
    </row>
    <row r="28" spans="2:9" ht="15" customHeight="1" x14ac:dyDescent="0.2">
      <c r="B28" t="s">
        <v>74</v>
      </c>
      <c r="C28" s="12">
        <v>31</v>
      </c>
      <c r="D28" s="8">
        <v>5.57</v>
      </c>
      <c r="E28" s="12">
        <v>24</v>
      </c>
      <c r="F28" s="8">
        <v>6.63</v>
      </c>
      <c r="G28" s="12">
        <v>7</v>
      </c>
      <c r="H28" s="8">
        <v>3.65</v>
      </c>
      <c r="I28" s="12">
        <v>0</v>
      </c>
    </row>
    <row r="29" spans="2:9" ht="15" customHeight="1" x14ac:dyDescent="0.2">
      <c r="B29" t="s">
        <v>67</v>
      </c>
      <c r="C29" s="12">
        <v>25</v>
      </c>
      <c r="D29" s="8">
        <v>4.49</v>
      </c>
      <c r="E29" s="12">
        <v>3</v>
      </c>
      <c r="F29" s="8">
        <v>0.83</v>
      </c>
      <c r="G29" s="12">
        <v>22</v>
      </c>
      <c r="H29" s="8">
        <v>11.46</v>
      </c>
      <c r="I29" s="12">
        <v>0</v>
      </c>
    </row>
    <row r="30" spans="2:9" ht="15" customHeight="1" x14ac:dyDescent="0.2">
      <c r="B30" t="s">
        <v>71</v>
      </c>
      <c r="C30" s="12">
        <v>23</v>
      </c>
      <c r="D30" s="8">
        <v>4.13</v>
      </c>
      <c r="E30" s="12">
        <v>12</v>
      </c>
      <c r="F30" s="8">
        <v>3.31</v>
      </c>
      <c r="G30" s="12">
        <v>11</v>
      </c>
      <c r="H30" s="8">
        <v>5.73</v>
      </c>
      <c r="I30" s="12">
        <v>0</v>
      </c>
    </row>
    <row r="31" spans="2:9" ht="15" customHeight="1" x14ac:dyDescent="0.2">
      <c r="B31" t="s">
        <v>84</v>
      </c>
      <c r="C31" s="12">
        <v>21</v>
      </c>
      <c r="D31" s="8">
        <v>3.77</v>
      </c>
      <c r="E31" s="12">
        <v>19</v>
      </c>
      <c r="F31" s="8">
        <v>5.25</v>
      </c>
      <c r="G31" s="12">
        <v>2</v>
      </c>
      <c r="H31" s="8">
        <v>1.04</v>
      </c>
      <c r="I31" s="12">
        <v>0</v>
      </c>
    </row>
    <row r="32" spans="2:9" ht="15" customHeight="1" x14ac:dyDescent="0.2">
      <c r="B32" t="s">
        <v>68</v>
      </c>
      <c r="C32" s="12">
        <v>19</v>
      </c>
      <c r="D32" s="8">
        <v>3.41</v>
      </c>
      <c r="E32" s="12">
        <v>11</v>
      </c>
      <c r="F32" s="8">
        <v>3.04</v>
      </c>
      <c r="G32" s="12">
        <v>8</v>
      </c>
      <c r="H32" s="8">
        <v>4.17</v>
      </c>
      <c r="I32" s="12">
        <v>0</v>
      </c>
    </row>
    <row r="33" spans="2:9" ht="15" customHeight="1" x14ac:dyDescent="0.2">
      <c r="B33" t="s">
        <v>78</v>
      </c>
      <c r="C33" s="12">
        <v>15</v>
      </c>
      <c r="D33" s="8">
        <v>2.69</v>
      </c>
      <c r="E33" s="12">
        <v>14</v>
      </c>
      <c r="F33" s="8">
        <v>3.87</v>
      </c>
      <c r="G33" s="12">
        <v>1</v>
      </c>
      <c r="H33" s="8">
        <v>0.52</v>
      </c>
      <c r="I33" s="12">
        <v>0</v>
      </c>
    </row>
    <row r="34" spans="2:9" ht="15" customHeight="1" x14ac:dyDescent="0.2">
      <c r="B34" t="s">
        <v>69</v>
      </c>
      <c r="C34" s="12">
        <v>13</v>
      </c>
      <c r="D34" s="8">
        <v>2.33</v>
      </c>
      <c r="E34" s="12">
        <v>6</v>
      </c>
      <c r="F34" s="8">
        <v>1.66</v>
      </c>
      <c r="G34" s="12">
        <v>7</v>
      </c>
      <c r="H34" s="8">
        <v>3.65</v>
      </c>
      <c r="I34" s="12">
        <v>0</v>
      </c>
    </row>
    <row r="35" spans="2:9" ht="15" customHeight="1" x14ac:dyDescent="0.2">
      <c r="B35" t="s">
        <v>77</v>
      </c>
      <c r="C35" s="12">
        <v>13</v>
      </c>
      <c r="D35" s="8">
        <v>2.33</v>
      </c>
      <c r="E35" s="12">
        <v>9</v>
      </c>
      <c r="F35" s="8">
        <v>2.4900000000000002</v>
      </c>
      <c r="G35" s="12">
        <v>4</v>
      </c>
      <c r="H35" s="8">
        <v>2.08</v>
      </c>
      <c r="I35" s="12">
        <v>0</v>
      </c>
    </row>
    <row r="36" spans="2:9" ht="15" customHeight="1" x14ac:dyDescent="0.2">
      <c r="B36" t="s">
        <v>79</v>
      </c>
      <c r="C36" s="12">
        <v>11</v>
      </c>
      <c r="D36" s="8">
        <v>1.97</v>
      </c>
      <c r="E36" s="12">
        <v>7</v>
      </c>
      <c r="F36" s="8">
        <v>1.93</v>
      </c>
      <c r="G36" s="12">
        <v>3</v>
      </c>
      <c r="H36" s="8">
        <v>1.56</v>
      </c>
      <c r="I36" s="12">
        <v>0</v>
      </c>
    </row>
    <row r="37" spans="2:9" ht="15" customHeight="1" x14ac:dyDescent="0.2">
      <c r="B37" t="s">
        <v>83</v>
      </c>
      <c r="C37" s="12">
        <v>11</v>
      </c>
      <c r="D37" s="8">
        <v>1.97</v>
      </c>
      <c r="E37" s="12">
        <v>9</v>
      </c>
      <c r="F37" s="8">
        <v>2.4900000000000002</v>
      </c>
      <c r="G37" s="12">
        <v>1</v>
      </c>
      <c r="H37" s="8">
        <v>0.52</v>
      </c>
      <c r="I37" s="12">
        <v>0</v>
      </c>
    </row>
    <row r="38" spans="2:9" ht="15" customHeight="1" x14ac:dyDescent="0.2">
      <c r="B38" t="s">
        <v>86</v>
      </c>
      <c r="C38" s="12">
        <v>11</v>
      </c>
      <c r="D38" s="8">
        <v>1.97</v>
      </c>
      <c r="E38" s="12">
        <v>11</v>
      </c>
      <c r="F38" s="8">
        <v>3.04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70</v>
      </c>
      <c r="C39" s="12">
        <v>10</v>
      </c>
      <c r="D39" s="8">
        <v>1.8</v>
      </c>
      <c r="E39" s="12">
        <v>4</v>
      </c>
      <c r="F39" s="8">
        <v>1.1000000000000001</v>
      </c>
      <c r="G39" s="12">
        <v>6</v>
      </c>
      <c r="H39" s="8">
        <v>3.13</v>
      </c>
      <c r="I39" s="12">
        <v>0</v>
      </c>
    </row>
    <row r="40" spans="2:9" ht="15" customHeight="1" x14ac:dyDescent="0.2">
      <c r="B40" t="s">
        <v>76</v>
      </c>
      <c r="C40" s="12">
        <v>9</v>
      </c>
      <c r="D40" s="8">
        <v>1.62</v>
      </c>
      <c r="E40" s="12">
        <v>6</v>
      </c>
      <c r="F40" s="8">
        <v>1.66</v>
      </c>
      <c r="G40" s="12">
        <v>3</v>
      </c>
      <c r="H40" s="8">
        <v>1.56</v>
      </c>
      <c r="I40" s="12">
        <v>0</v>
      </c>
    </row>
    <row r="41" spans="2:9" ht="15" customHeight="1" x14ac:dyDescent="0.2">
      <c r="B41" t="s">
        <v>93</v>
      </c>
      <c r="C41" s="12">
        <v>9</v>
      </c>
      <c r="D41" s="8">
        <v>1.62</v>
      </c>
      <c r="E41" s="12">
        <v>4</v>
      </c>
      <c r="F41" s="8">
        <v>1.1000000000000001</v>
      </c>
      <c r="G41" s="12">
        <v>4</v>
      </c>
      <c r="H41" s="8">
        <v>2.08</v>
      </c>
      <c r="I41" s="12">
        <v>0</v>
      </c>
    </row>
    <row r="42" spans="2:9" ht="15" customHeight="1" x14ac:dyDescent="0.2">
      <c r="B42" t="s">
        <v>94</v>
      </c>
      <c r="C42" s="12">
        <v>8</v>
      </c>
      <c r="D42" s="8">
        <v>1.44</v>
      </c>
      <c r="E42" s="12">
        <v>3</v>
      </c>
      <c r="F42" s="8">
        <v>0.83</v>
      </c>
      <c r="G42" s="12">
        <v>5</v>
      </c>
      <c r="H42" s="8">
        <v>2.6</v>
      </c>
      <c r="I42" s="12">
        <v>0</v>
      </c>
    </row>
    <row r="43" spans="2:9" ht="15" customHeight="1" x14ac:dyDescent="0.2">
      <c r="B43" t="s">
        <v>72</v>
      </c>
      <c r="C43" s="12">
        <v>7</v>
      </c>
      <c r="D43" s="8">
        <v>1.26</v>
      </c>
      <c r="E43" s="12">
        <v>3</v>
      </c>
      <c r="F43" s="8">
        <v>0.83</v>
      </c>
      <c r="G43" s="12">
        <v>4</v>
      </c>
      <c r="H43" s="8">
        <v>2.08</v>
      </c>
      <c r="I43" s="12">
        <v>0</v>
      </c>
    </row>
    <row r="46" spans="2:9" ht="33" customHeight="1" x14ac:dyDescent="0.2">
      <c r="B46" t="s">
        <v>243</v>
      </c>
      <c r="C46" s="10" t="s">
        <v>60</v>
      </c>
      <c r="D46" s="10" t="s">
        <v>61</v>
      </c>
      <c r="E46" s="10" t="s">
        <v>62</v>
      </c>
      <c r="F46" s="10" t="s">
        <v>63</v>
      </c>
      <c r="G46" s="10" t="s">
        <v>64</v>
      </c>
      <c r="H46" s="10" t="s">
        <v>65</v>
      </c>
      <c r="I46" s="10" t="s">
        <v>66</v>
      </c>
    </row>
    <row r="47" spans="2:9" ht="15" customHeight="1" x14ac:dyDescent="0.2">
      <c r="B47" t="s">
        <v>139</v>
      </c>
      <c r="C47" s="12">
        <v>23</v>
      </c>
      <c r="D47" s="8">
        <v>4.13</v>
      </c>
      <c r="E47" s="12">
        <v>22</v>
      </c>
      <c r="F47" s="8">
        <v>6.08</v>
      </c>
      <c r="G47" s="12">
        <v>1</v>
      </c>
      <c r="H47" s="8">
        <v>0.52</v>
      </c>
      <c r="I47" s="12">
        <v>0</v>
      </c>
    </row>
    <row r="48" spans="2:9" ht="15" customHeight="1" x14ac:dyDescent="0.2">
      <c r="B48" t="s">
        <v>138</v>
      </c>
      <c r="C48" s="12">
        <v>22</v>
      </c>
      <c r="D48" s="8">
        <v>3.95</v>
      </c>
      <c r="E48" s="12">
        <v>22</v>
      </c>
      <c r="F48" s="8">
        <v>6.08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140</v>
      </c>
      <c r="C49" s="12">
        <v>21</v>
      </c>
      <c r="D49" s="8">
        <v>3.77</v>
      </c>
      <c r="E49" s="12">
        <v>20</v>
      </c>
      <c r="F49" s="8">
        <v>5.52</v>
      </c>
      <c r="G49" s="12">
        <v>1</v>
      </c>
      <c r="H49" s="8">
        <v>0.52</v>
      </c>
      <c r="I49" s="12">
        <v>0</v>
      </c>
    </row>
    <row r="50" spans="2:9" ht="15" customHeight="1" x14ac:dyDescent="0.2">
      <c r="B50" t="s">
        <v>130</v>
      </c>
      <c r="C50" s="12">
        <v>19</v>
      </c>
      <c r="D50" s="8">
        <v>3.41</v>
      </c>
      <c r="E50" s="12">
        <v>18</v>
      </c>
      <c r="F50" s="8">
        <v>4.97</v>
      </c>
      <c r="G50" s="12">
        <v>1</v>
      </c>
      <c r="H50" s="8">
        <v>0.52</v>
      </c>
      <c r="I50" s="12">
        <v>0</v>
      </c>
    </row>
    <row r="51" spans="2:9" ht="15" customHeight="1" x14ac:dyDescent="0.2">
      <c r="B51" t="s">
        <v>129</v>
      </c>
      <c r="C51" s="12">
        <v>16</v>
      </c>
      <c r="D51" s="8">
        <v>2.87</v>
      </c>
      <c r="E51" s="12">
        <v>16</v>
      </c>
      <c r="F51" s="8">
        <v>4.42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142</v>
      </c>
      <c r="C52" s="12">
        <v>16</v>
      </c>
      <c r="D52" s="8">
        <v>2.87</v>
      </c>
      <c r="E52" s="12">
        <v>16</v>
      </c>
      <c r="F52" s="8">
        <v>4.42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131</v>
      </c>
      <c r="C53" s="12">
        <v>15</v>
      </c>
      <c r="D53" s="8">
        <v>2.69</v>
      </c>
      <c r="E53" s="12">
        <v>10</v>
      </c>
      <c r="F53" s="8">
        <v>2.76</v>
      </c>
      <c r="G53" s="12">
        <v>5</v>
      </c>
      <c r="H53" s="8">
        <v>2.6</v>
      </c>
      <c r="I53" s="12">
        <v>0</v>
      </c>
    </row>
    <row r="54" spans="2:9" ht="15" customHeight="1" x14ac:dyDescent="0.2">
      <c r="B54" t="s">
        <v>136</v>
      </c>
      <c r="C54" s="12">
        <v>15</v>
      </c>
      <c r="D54" s="8">
        <v>2.69</v>
      </c>
      <c r="E54" s="12">
        <v>13</v>
      </c>
      <c r="F54" s="8">
        <v>3.59</v>
      </c>
      <c r="G54" s="12">
        <v>2</v>
      </c>
      <c r="H54" s="8">
        <v>1.04</v>
      </c>
      <c r="I54" s="12">
        <v>0</v>
      </c>
    </row>
    <row r="55" spans="2:9" ht="15" customHeight="1" x14ac:dyDescent="0.2">
      <c r="B55" t="s">
        <v>124</v>
      </c>
      <c r="C55" s="12">
        <v>14</v>
      </c>
      <c r="D55" s="8">
        <v>2.5099999999999998</v>
      </c>
      <c r="E55" s="12">
        <v>0</v>
      </c>
      <c r="F55" s="8">
        <v>0</v>
      </c>
      <c r="G55" s="12">
        <v>14</v>
      </c>
      <c r="H55" s="8">
        <v>7.29</v>
      </c>
      <c r="I55" s="12">
        <v>0</v>
      </c>
    </row>
    <row r="56" spans="2:9" ht="15" customHeight="1" x14ac:dyDescent="0.2">
      <c r="B56" t="s">
        <v>154</v>
      </c>
      <c r="C56" s="12">
        <v>14</v>
      </c>
      <c r="D56" s="8">
        <v>2.5099999999999998</v>
      </c>
      <c r="E56" s="12">
        <v>7</v>
      </c>
      <c r="F56" s="8">
        <v>1.93</v>
      </c>
      <c r="G56" s="12">
        <v>7</v>
      </c>
      <c r="H56" s="8">
        <v>3.65</v>
      </c>
      <c r="I56" s="12">
        <v>0</v>
      </c>
    </row>
    <row r="57" spans="2:9" ht="15" customHeight="1" x14ac:dyDescent="0.2">
      <c r="B57" t="s">
        <v>147</v>
      </c>
      <c r="C57" s="12">
        <v>12</v>
      </c>
      <c r="D57" s="8">
        <v>2.15</v>
      </c>
      <c r="E57" s="12">
        <v>6</v>
      </c>
      <c r="F57" s="8">
        <v>1.66</v>
      </c>
      <c r="G57" s="12">
        <v>6</v>
      </c>
      <c r="H57" s="8">
        <v>3.13</v>
      </c>
      <c r="I57" s="12">
        <v>0</v>
      </c>
    </row>
    <row r="58" spans="2:9" ht="15" customHeight="1" x14ac:dyDescent="0.2">
      <c r="B58" t="s">
        <v>128</v>
      </c>
      <c r="C58" s="12">
        <v>11</v>
      </c>
      <c r="D58" s="8">
        <v>1.97</v>
      </c>
      <c r="E58" s="12">
        <v>10</v>
      </c>
      <c r="F58" s="8">
        <v>2.76</v>
      </c>
      <c r="G58" s="12">
        <v>1</v>
      </c>
      <c r="H58" s="8">
        <v>0.52</v>
      </c>
      <c r="I58" s="12">
        <v>0</v>
      </c>
    </row>
    <row r="59" spans="2:9" ht="15" customHeight="1" x14ac:dyDescent="0.2">
      <c r="B59" t="s">
        <v>132</v>
      </c>
      <c r="C59" s="12">
        <v>11</v>
      </c>
      <c r="D59" s="8">
        <v>1.97</v>
      </c>
      <c r="E59" s="12">
        <v>2</v>
      </c>
      <c r="F59" s="8">
        <v>0.55000000000000004</v>
      </c>
      <c r="G59" s="12">
        <v>9</v>
      </c>
      <c r="H59" s="8">
        <v>4.6900000000000004</v>
      </c>
      <c r="I59" s="12">
        <v>0</v>
      </c>
    </row>
    <row r="60" spans="2:9" ht="15" customHeight="1" x14ac:dyDescent="0.2">
      <c r="B60" t="s">
        <v>134</v>
      </c>
      <c r="C60" s="12">
        <v>11</v>
      </c>
      <c r="D60" s="8">
        <v>1.97</v>
      </c>
      <c r="E60" s="12">
        <v>9</v>
      </c>
      <c r="F60" s="8">
        <v>2.4900000000000002</v>
      </c>
      <c r="G60" s="12">
        <v>2</v>
      </c>
      <c r="H60" s="8">
        <v>1.04</v>
      </c>
      <c r="I60" s="12">
        <v>0</v>
      </c>
    </row>
    <row r="61" spans="2:9" ht="15" customHeight="1" x14ac:dyDescent="0.2">
      <c r="B61" t="s">
        <v>143</v>
      </c>
      <c r="C61" s="12">
        <v>11</v>
      </c>
      <c r="D61" s="8">
        <v>1.97</v>
      </c>
      <c r="E61" s="12">
        <v>11</v>
      </c>
      <c r="F61" s="8">
        <v>3.04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146</v>
      </c>
      <c r="C62" s="12">
        <v>10</v>
      </c>
      <c r="D62" s="8">
        <v>1.8</v>
      </c>
      <c r="E62" s="12">
        <v>7</v>
      </c>
      <c r="F62" s="8">
        <v>1.93</v>
      </c>
      <c r="G62" s="12">
        <v>3</v>
      </c>
      <c r="H62" s="8">
        <v>1.56</v>
      </c>
      <c r="I62" s="12">
        <v>0</v>
      </c>
    </row>
    <row r="63" spans="2:9" ht="15" customHeight="1" x14ac:dyDescent="0.2">
      <c r="B63" t="s">
        <v>126</v>
      </c>
      <c r="C63" s="12">
        <v>9</v>
      </c>
      <c r="D63" s="8">
        <v>1.62</v>
      </c>
      <c r="E63" s="12">
        <v>4</v>
      </c>
      <c r="F63" s="8">
        <v>1.1000000000000001</v>
      </c>
      <c r="G63" s="12">
        <v>5</v>
      </c>
      <c r="H63" s="8">
        <v>2.6</v>
      </c>
      <c r="I63" s="12">
        <v>0</v>
      </c>
    </row>
    <row r="64" spans="2:9" ht="15" customHeight="1" x14ac:dyDescent="0.2">
      <c r="B64" t="s">
        <v>137</v>
      </c>
      <c r="C64" s="12">
        <v>9</v>
      </c>
      <c r="D64" s="8">
        <v>1.62</v>
      </c>
      <c r="E64" s="12">
        <v>9</v>
      </c>
      <c r="F64" s="8">
        <v>2.4900000000000002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155</v>
      </c>
      <c r="C65" s="12">
        <v>8</v>
      </c>
      <c r="D65" s="8">
        <v>1.44</v>
      </c>
      <c r="E65" s="12">
        <v>5</v>
      </c>
      <c r="F65" s="8">
        <v>1.38</v>
      </c>
      <c r="G65" s="12">
        <v>3</v>
      </c>
      <c r="H65" s="8">
        <v>1.56</v>
      </c>
      <c r="I65" s="12">
        <v>0</v>
      </c>
    </row>
    <row r="66" spans="2:9" ht="15" customHeight="1" x14ac:dyDescent="0.2">
      <c r="B66" t="s">
        <v>133</v>
      </c>
      <c r="C66" s="12">
        <v>8</v>
      </c>
      <c r="D66" s="8">
        <v>1.44</v>
      </c>
      <c r="E66" s="12">
        <v>5</v>
      </c>
      <c r="F66" s="8">
        <v>1.38</v>
      </c>
      <c r="G66" s="12">
        <v>3</v>
      </c>
      <c r="H66" s="8">
        <v>1.56</v>
      </c>
      <c r="I66" s="12">
        <v>0</v>
      </c>
    </row>
    <row r="67" spans="2:9" ht="15" customHeight="1" x14ac:dyDescent="0.2">
      <c r="B67" t="s">
        <v>156</v>
      </c>
      <c r="C67" s="12">
        <v>8</v>
      </c>
      <c r="D67" s="8">
        <v>1.44</v>
      </c>
      <c r="E67" s="12">
        <v>7</v>
      </c>
      <c r="F67" s="8">
        <v>1.93</v>
      </c>
      <c r="G67" s="12">
        <v>1</v>
      </c>
      <c r="H67" s="8">
        <v>0.52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3</vt:i4>
      </vt:variant>
    </vt:vector>
  </HeadingPairs>
  <TitlesOfParts>
    <vt:vector size="51" baseType="lpstr">
      <vt:lpstr>目次</vt:lpstr>
      <vt:lpstr>産業大分類</vt:lpstr>
      <vt:lpstr>産業中分類</vt:lpstr>
      <vt:lpstr>産業小分類</vt:lpstr>
      <vt:lpstr>鹿児島県</vt:lpstr>
      <vt:lpstr>鹿児島市</vt:lpstr>
      <vt:lpstr>鹿屋市</vt:lpstr>
      <vt:lpstr>枕崎市</vt:lpstr>
      <vt:lpstr>阿久根市</vt:lpstr>
      <vt:lpstr>出水市</vt:lpstr>
      <vt:lpstr>指宿市</vt:lpstr>
      <vt:lpstr>西之表市</vt:lpstr>
      <vt:lpstr>垂水市</vt:lpstr>
      <vt:lpstr>薩摩川内市</vt:lpstr>
      <vt:lpstr>日置市</vt:lpstr>
      <vt:lpstr>曽於市</vt:lpstr>
      <vt:lpstr>霧島市</vt:lpstr>
      <vt:lpstr>いちき串木野市</vt:lpstr>
      <vt:lpstr>南さつま市</vt:lpstr>
      <vt:lpstr>志布志市</vt:lpstr>
      <vt:lpstr>奄美市</vt:lpstr>
      <vt:lpstr>南九州市</vt:lpstr>
      <vt:lpstr>伊佐市</vt:lpstr>
      <vt:lpstr>姶良市</vt:lpstr>
      <vt:lpstr>鹿児島郡三島村</vt:lpstr>
      <vt:lpstr>鹿児島郡十島村</vt:lpstr>
      <vt:lpstr>薩摩郡さつま町</vt:lpstr>
      <vt:lpstr>出水郡長島町</vt:lpstr>
      <vt:lpstr>姶良郡湧水町</vt:lpstr>
      <vt:lpstr>曽於郡大崎町</vt:lpstr>
      <vt:lpstr>肝属郡東串良町</vt:lpstr>
      <vt:lpstr>肝属郡錦江町</vt:lpstr>
      <vt:lpstr>肝属郡南大隅町</vt:lpstr>
      <vt:lpstr>肝属郡肝付町</vt:lpstr>
      <vt:lpstr>熊毛郡中種子町</vt:lpstr>
      <vt:lpstr>熊毛郡南種子町</vt:lpstr>
      <vt:lpstr>熊毛郡屋久島町</vt:lpstr>
      <vt:lpstr>大島郡大和村</vt:lpstr>
      <vt:lpstr>大島郡宇検村</vt:lpstr>
      <vt:lpstr>大島郡瀬戸内町</vt:lpstr>
      <vt:lpstr>大島郡龍郷町</vt:lpstr>
      <vt:lpstr>大島郡喜界町</vt:lpstr>
      <vt:lpstr>大島郡徳之島町</vt:lpstr>
      <vt:lpstr>大島郡天城町</vt:lpstr>
      <vt:lpstr>大島郡伊仙町</vt:lpstr>
      <vt:lpstr>大島郡和泊町</vt:lpstr>
      <vt:lpstr>大島郡知名町</vt:lpstr>
      <vt:lpstr>大島郡与論町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2023-08-17T02:23:04Z</dcterms:created>
  <dcterms:modified xsi:type="dcterms:W3CDTF">2023-08-17T02:23:04Z</dcterms:modified>
</cp:coreProperties>
</file>